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blo\Documents\RESPALDO\EJERCICIO-2024-ARB\EJERCICIO-2024-ARB\ITDIF-2024\2 MARCO PROGRÁMATICO PRESUPUESTAL-2024\17.- Acuerdo de Dist de Part. Fed Mpios(2024)\"/>
    </mc:Choice>
  </mc:AlternateContent>
  <bookViews>
    <workbookView xWindow="0" yWindow="0" windowWidth="21600" windowHeight="10065" firstSheet="18" activeTab="20"/>
  </bookViews>
  <sheets>
    <sheet name="COEFIC 2020 " sheetId="1" state="hidden" r:id="rId1"/>
    <sheet name="COMPARATIVOS VARIABLES" sheetId="2" r:id="rId2"/>
    <sheet name="COEFIC 2023" sheetId="3" r:id="rId3"/>
    <sheet name="COEFIC 2021 (2)" sheetId="4" state="hidden" r:id="rId4"/>
    <sheet name="FONDOS PART  2022" sheetId="5" state="hidden" r:id="rId5"/>
    <sheet name="FONDOS PART 2024" sheetId="6" r:id="rId6"/>
    <sheet name="FPART" sheetId="7" r:id="rId7"/>
    <sheet name="FG1" sheetId="8" r:id="rId8"/>
    <sheet name="FFM" sheetId="9" r:id="rId9"/>
    <sheet name="IEPS" sheetId="10" r:id="rId10"/>
    <sheet name="FOFIR" sheetId="11" r:id="rId11"/>
    <sheet name="FCISAN" sheetId="12" r:id="rId12"/>
    <sheet name="ISR" sheetId="13" r:id="rId13"/>
    <sheet name="ISAN" sheetId="14" r:id="rId14"/>
    <sheet name="LOT" sheetId="15" r:id="rId15"/>
    <sheet name="ENAJENAC DE INMUE" sheetId="16" r:id="rId16"/>
    <sheet name="IMP BEBIDAS AL" sheetId="17" r:id="rId17"/>
    <sheet name="FOND GASO Y D" sheetId="18" r:id="rId18"/>
    <sheet name="RESUMEN" sheetId="19" r:id="rId19"/>
    <sheet name="POR MPIO" sheetId="20" r:id="rId20"/>
    <sheet name="Consolidado" sheetId="27" r:id="rId21"/>
    <sheet name="Calendario" sheetId="28" r:id="rId22"/>
    <sheet name="FONDO III 2022  (2)" sheetId="21" state="hidden" r:id="rId23"/>
    <sheet name="FONDO III 2022" sheetId="22" state="hidden" r:id="rId24"/>
    <sheet name="FONDO IV 2022" sheetId="23" state="hidden" r:id="rId25"/>
    <sheet name="FAEISPUM 2023" sheetId="24" state="hidden" r:id="rId26"/>
    <sheet name="Hoja5" sheetId="25" state="hidden" r:id="rId27"/>
    <sheet name="Hoja6" sheetId="26" state="hidden" r:id="rId28"/>
  </sheets>
  <definedNames>
    <definedName name="_xlnm._FilterDatabase" localSheetId="19">'POR MPIO'!$A$64:$O$64</definedName>
    <definedName name="A_impresión_IM" localSheetId="24">#REF!</definedName>
    <definedName name="A_impresión_IM">#REF!</definedName>
    <definedName name="_xlnm.Print_Area" localSheetId="15">'ENAJENAC DE INMUE'!$A$1:$I$128</definedName>
    <definedName name="_xlnm.Print_Area" localSheetId="11">FCISAN!$A$1:$I$128</definedName>
    <definedName name="_xlnm.Print_Area" localSheetId="8">FFM!$A$1:$J$129</definedName>
    <definedName name="_xlnm.Print_Area" localSheetId="7">'FG1'!$A$1:$I$129</definedName>
    <definedName name="_xlnm.Print_Area" localSheetId="10">FOFIR!$A$1:$I$128</definedName>
    <definedName name="_xlnm.Print_Area" localSheetId="17">'FOND GASO Y D'!$B$1:$H$129</definedName>
    <definedName name="_xlnm.Print_Area" localSheetId="6">FPART!$A$6:$M$129</definedName>
    <definedName name="_xlnm.Print_Area" localSheetId="9">IEPS!$A$1:$I$128</definedName>
    <definedName name="_xlnm.Print_Area" localSheetId="16">'IMP BEBIDAS AL'!$A$1:$I$128</definedName>
    <definedName name="_xlnm.Print_Area" localSheetId="13">ISAN!$A$1:$I$128</definedName>
    <definedName name="_xlnm.Print_Area" localSheetId="14">LOT!$A$1:$I$128</definedName>
    <definedName name="CUADRO" localSheetId="24">#REF!</definedName>
    <definedName name="CUADRO">#REF!</definedName>
    <definedName name="iii">#REF!</definedName>
    <definedName name="Títulos_a_imprimir_IM" localSheetId="24">#REF!</definedName>
    <definedName name="Títulos_a_imprimir_IM">#REF!</definedName>
    <definedName name="XXXXXXX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" i="18" l="1"/>
  <c r="F15" i="18"/>
  <c r="E16" i="18"/>
  <c r="F16" i="18"/>
  <c r="G16" i="18"/>
  <c r="H16" i="18"/>
  <c r="E17" i="18"/>
  <c r="F17" i="18"/>
  <c r="G17" i="18"/>
  <c r="H17" i="18"/>
  <c r="E18" i="18"/>
  <c r="F18" i="18"/>
  <c r="G18" i="18"/>
  <c r="H18" i="18"/>
  <c r="E19" i="18"/>
  <c r="F19" i="18"/>
  <c r="G19" i="18"/>
  <c r="H19" i="18"/>
  <c r="E20" i="18"/>
  <c r="F20" i="18"/>
  <c r="G20" i="18"/>
  <c r="H20" i="18"/>
  <c r="E21" i="18"/>
  <c r="F21" i="18"/>
  <c r="G21" i="18"/>
  <c r="G15" i="18" s="1"/>
  <c r="E22" i="18"/>
  <c r="F22" i="18"/>
  <c r="G22" i="18"/>
  <c r="H22" i="18"/>
  <c r="E23" i="18"/>
  <c r="F23" i="18"/>
  <c r="G23" i="18"/>
  <c r="H23" i="18"/>
  <c r="E24" i="18"/>
  <c r="F24" i="18"/>
  <c r="G24" i="18"/>
  <c r="H24" i="18"/>
  <c r="E25" i="18"/>
  <c r="F25" i="18"/>
  <c r="G25" i="18"/>
  <c r="H25" i="18"/>
  <c r="E26" i="18"/>
  <c r="F26" i="18"/>
  <c r="G26" i="18"/>
  <c r="H26" i="18"/>
  <c r="E27" i="18"/>
  <c r="F27" i="18"/>
  <c r="G27" i="18"/>
  <c r="H27" i="18"/>
  <c r="E28" i="18"/>
  <c r="F28" i="18"/>
  <c r="G28" i="18"/>
  <c r="H28" i="18"/>
  <c r="E29" i="18"/>
  <c r="F29" i="18"/>
  <c r="G29" i="18"/>
  <c r="H29" i="18"/>
  <c r="E30" i="18"/>
  <c r="F30" i="18"/>
  <c r="G30" i="18"/>
  <c r="H30" i="18"/>
  <c r="E31" i="18"/>
  <c r="F31" i="18"/>
  <c r="G31" i="18"/>
  <c r="H31" i="18"/>
  <c r="E32" i="18"/>
  <c r="F32" i="18"/>
  <c r="G32" i="18"/>
  <c r="H32" i="18"/>
  <c r="E33" i="18"/>
  <c r="F33" i="18"/>
  <c r="G33" i="18"/>
  <c r="H33" i="18"/>
  <c r="E34" i="18"/>
  <c r="F34" i="18"/>
  <c r="G34" i="18"/>
  <c r="H34" i="18"/>
  <c r="E35" i="18"/>
  <c r="F35" i="18"/>
  <c r="G35" i="18"/>
  <c r="H35" i="18"/>
  <c r="E36" i="18"/>
  <c r="F36" i="18"/>
  <c r="G36" i="18"/>
  <c r="H36" i="18"/>
  <c r="E37" i="18"/>
  <c r="F37" i="18"/>
  <c r="G37" i="18"/>
  <c r="H37" i="18"/>
  <c r="E38" i="18"/>
  <c r="F38" i="18"/>
  <c r="G38" i="18"/>
  <c r="H38" i="18"/>
  <c r="E39" i="18"/>
  <c r="F39" i="18"/>
  <c r="G39" i="18"/>
  <c r="H39" i="18"/>
  <c r="E40" i="18"/>
  <c r="F40" i="18"/>
  <c r="G40" i="18"/>
  <c r="H40" i="18"/>
  <c r="E41" i="18"/>
  <c r="F41" i="18"/>
  <c r="G41" i="18"/>
  <c r="H41" i="18"/>
  <c r="E42" i="18"/>
  <c r="F42" i="18"/>
  <c r="G42" i="18"/>
  <c r="H42" i="18"/>
  <c r="E43" i="18"/>
  <c r="F43" i="18"/>
  <c r="G43" i="18"/>
  <c r="H43" i="18"/>
  <c r="E44" i="18"/>
  <c r="F44" i="18"/>
  <c r="G44" i="18"/>
  <c r="H44" i="18"/>
  <c r="E45" i="18"/>
  <c r="F45" i="18"/>
  <c r="G45" i="18"/>
  <c r="H45" i="18"/>
  <c r="E46" i="18"/>
  <c r="F46" i="18"/>
  <c r="G46" i="18"/>
  <c r="H46" i="18"/>
  <c r="E47" i="18"/>
  <c r="F47" i="18"/>
  <c r="G47" i="18"/>
  <c r="H47" i="18"/>
  <c r="E48" i="18"/>
  <c r="F48" i="18"/>
  <c r="G48" i="18"/>
  <c r="H48" i="18"/>
  <c r="E49" i="18"/>
  <c r="F49" i="18"/>
  <c r="G49" i="18"/>
  <c r="H49" i="18"/>
  <c r="E50" i="18"/>
  <c r="F50" i="18"/>
  <c r="G50" i="18"/>
  <c r="H50" i="18"/>
  <c r="E51" i="18"/>
  <c r="F51" i="18"/>
  <c r="G51" i="18"/>
  <c r="H51" i="18"/>
  <c r="E52" i="18"/>
  <c r="F52" i="18"/>
  <c r="G52" i="18"/>
  <c r="H52" i="18"/>
  <c r="E53" i="18"/>
  <c r="F53" i="18"/>
  <c r="G53" i="18"/>
  <c r="H53" i="18"/>
  <c r="E54" i="18"/>
  <c r="F54" i="18"/>
  <c r="G54" i="18"/>
  <c r="H54" i="18"/>
  <c r="E55" i="18"/>
  <c r="F55" i="18"/>
  <c r="G55" i="18"/>
  <c r="H55" i="18"/>
  <c r="E56" i="18"/>
  <c r="F56" i="18"/>
  <c r="G56" i="18"/>
  <c r="H56" i="18"/>
  <c r="E57" i="18"/>
  <c r="F57" i="18"/>
  <c r="G57" i="18"/>
  <c r="H57" i="18"/>
  <c r="E58" i="18"/>
  <c r="F58" i="18"/>
  <c r="G58" i="18"/>
  <c r="H58" i="18"/>
  <c r="E59" i="18"/>
  <c r="F59" i="18"/>
  <c r="G59" i="18"/>
  <c r="H59" i="18"/>
  <c r="E60" i="18"/>
  <c r="F60" i="18"/>
  <c r="G60" i="18"/>
  <c r="H60" i="18"/>
  <c r="E61" i="18"/>
  <c r="F61" i="18"/>
  <c r="G61" i="18"/>
  <c r="H61" i="18"/>
  <c r="E62" i="18"/>
  <c r="F62" i="18"/>
  <c r="G62" i="18"/>
  <c r="H62" i="18"/>
  <c r="E63" i="18"/>
  <c r="F63" i="18"/>
  <c r="G63" i="18"/>
  <c r="H63" i="18"/>
  <c r="E64" i="18"/>
  <c r="F64" i="18"/>
  <c r="G64" i="18"/>
  <c r="H64" i="18"/>
  <c r="E65" i="18"/>
  <c r="F65" i="18"/>
  <c r="G65" i="18"/>
  <c r="H65" i="18"/>
  <c r="E66" i="18"/>
  <c r="F66" i="18"/>
  <c r="G66" i="18"/>
  <c r="H66" i="18"/>
  <c r="E67" i="18"/>
  <c r="F67" i="18"/>
  <c r="G67" i="18"/>
  <c r="H67" i="18"/>
  <c r="E68" i="18"/>
  <c r="F68" i="18"/>
  <c r="G68" i="18"/>
  <c r="H68" i="18"/>
  <c r="E69" i="18"/>
  <c r="F69" i="18"/>
  <c r="G69" i="18"/>
  <c r="H69" i="18"/>
  <c r="E70" i="18"/>
  <c r="F70" i="18"/>
  <c r="G70" i="18"/>
  <c r="H70" i="18"/>
  <c r="E71" i="18"/>
  <c r="F71" i="18"/>
  <c r="G71" i="18"/>
  <c r="H71" i="18"/>
  <c r="E72" i="18"/>
  <c r="F72" i="18"/>
  <c r="G72" i="18"/>
  <c r="H72" i="18"/>
  <c r="E73" i="18"/>
  <c r="F73" i="18"/>
  <c r="G73" i="18"/>
  <c r="H73" i="18"/>
  <c r="E74" i="18"/>
  <c r="F74" i="18"/>
  <c r="G74" i="18"/>
  <c r="H74" i="18"/>
  <c r="E75" i="18"/>
  <c r="F75" i="18"/>
  <c r="G75" i="18"/>
  <c r="H75" i="18"/>
  <c r="E76" i="18"/>
  <c r="F76" i="18"/>
  <c r="G76" i="18"/>
  <c r="H76" i="18"/>
  <c r="E77" i="18"/>
  <c r="F77" i="18"/>
  <c r="G77" i="18"/>
  <c r="H77" i="18"/>
  <c r="E78" i="18"/>
  <c r="F78" i="18"/>
  <c r="G78" i="18"/>
  <c r="H78" i="18"/>
  <c r="E79" i="18"/>
  <c r="F79" i="18"/>
  <c r="G79" i="18"/>
  <c r="H79" i="18"/>
  <c r="E80" i="18"/>
  <c r="F80" i="18"/>
  <c r="G80" i="18"/>
  <c r="H80" i="18"/>
  <c r="E81" i="18"/>
  <c r="F81" i="18"/>
  <c r="G81" i="18"/>
  <c r="H81" i="18"/>
  <c r="E82" i="18"/>
  <c r="F82" i="18"/>
  <c r="G82" i="18"/>
  <c r="H82" i="18"/>
  <c r="E83" i="18"/>
  <c r="F83" i="18"/>
  <c r="G83" i="18"/>
  <c r="H83" i="18"/>
  <c r="E84" i="18"/>
  <c r="F84" i="18"/>
  <c r="G84" i="18"/>
  <c r="H84" i="18"/>
  <c r="E85" i="18"/>
  <c r="F85" i="18"/>
  <c r="G85" i="18"/>
  <c r="H85" i="18"/>
  <c r="E86" i="18"/>
  <c r="F86" i="18"/>
  <c r="G86" i="18"/>
  <c r="H86" i="18"/>
  <c r="E87" i="18"/>
  <c r="F87" i="18"/>
  <c r="G87" i="18"/>
  <c r="H87" i="18"/>
  <c r="E88" i="18"/>
  <c r="F88" i="18"/>
  <c r="G88" i="18"/>
  <c r="H88" i="18"/>
  <c r="E89" i="18"/>
  <c r="F89" i="18"/>
  <c r="G89" i="18"/>
  <c r="H89" i="18"/>
  <c r="E90" i="18"/>
  <c r="F90" i="18"/>
  <c r="G90" i="18"/>
  <c r="H90" i="18"/>
  <c r="E91" i="18"/>
  <c r="F91" i="18"/>
  <c r="G91" i="18"/>
  <c r="H91" i="18"/>
  <c r="E92" i="18"/>
  <c r="F92" i="18"/>
  <c r="G92" i="18"/>
  <c r="H92" i="18"/>
  <c r="E93" i="18"/>
  <c r="F93" i="18"/>
  <c r="G93" i="18"/>
  <c r="H93" i="18"/>
  <c r="E94" i="18"/>
  <c r="F94" i="18"/>
  <c r="G94" i="18"/>
  <c r="H94" i="18"/>
  <c r="E95" i="18"/>
  <c r="F95" i="18"/>
  <c r="G95" i="18"/>
  <c r="H95" i="18"/>
  <c r="E96" i="18"/>
  <c r="F96" i="18"/>
  <c r="G96" i="18"/>
  <c r="H96" i="18"/>
  <c r="E97" i="18"/>
  <c r="F97" i="18"/>
  <c r="G97" i="18"/>
  <c r="H97" i="18"/>
  <c r="E98" i="18"/>
  <c r="F98" i="18"/>
  <c r="G98" i="18"/>
  <c r="H98" i="18"/>
  <c r="E99" i="18"/>
  <c r="F99" i="18"/>
  <c r="G99" i="18"/>
  <c r="H99" i="18"/>
  <c r="E100" i="18"/>
  <c r="F100" i="18"/>
  <c r="G100" i="18"/>
  <c r="H100" i="18"/>
  <c r="E101" i="18"/>
  <c r="F101" i="18"/>
  <c r="G101" i="18"/>
  <c r="H101" i="18"/>
  <c r="E102" i="18"/>
  <c r="F102" i="18"/>
  <c r="G102" i="18"/>
  <c r="H102" i="18"/>
  <c r="E103" i="18"/>
  <c r="F103" i="18"/>
  <c r="G103" i="18"/>
  <c r="H103" i="18"/>
  <c r="E104" i="18"/>
  <c r="F104" i="18"/>
  <c r="G104" i="18"/>
  <c r="H104" i="18"/>
  <c r="E105" i="18"/>
  <c r="F105" i="18"/>
  <c r="G105" i="18"/>
  <c r="H105" i="18"/>
  <c r="E106" i="18"/>
  <c r="F106" i="18"/>
  <c r="G106" i="18"/>
  <c r="H106" i="18"/>
  <c r="E107" i="18"/>
  <c r="F107" i="18"/>
  <c r="G107" i="18"/>
  <c r="H107" i="18"/>
  <c r="E108" i="18"/>
  <c r="F108" i="18"/>
  <c r="G108" i="18"/>
  <c r="H108" i="18"/>
  <c r="E109" i="18"/>
  <c r="F109" i="18"/>
  <c r="G109" i="18"/>
  <c r="H109" i="18"/>
  <c r="E110" i="18"/>
  <c r="F110" i="18"/>
  <c r="G110" i="18"/>
  <c r="H110" i="18"/>
  <c r="E111" i="18"/>
  <c r="F111" i="18"/>
  <c r="G111" i="18"/>
  <c r="H111" i="18"/>
  <c r="E112" i="18"/>
  <c r="F112" i="18"/>
  <c r="G112" i="18"/>
  <c r="H112" i="18"/>
  <c r="E113" i="18"/>
  <c r="F113" i="18"/>
  <c r="G113" i="18"/>
  <c r="H113" i="18"/>
  <c r="E114" i="18"/>
  <c r="F114" i="18"/>
  <c r="G114" i="18"/>
  <c r="H114" i="18"/>
  <c r="E115" i="18"/>
  <c r="F115" i="18"/>
  <c r="G115" i="18"/>
  <c r="H115" i="18"/>
  <c r="E116" i="18"/>
  <c r="F116" i="18"/>
  <c r="G116" i="18"/>
  <c r="H116" i="18"/>
  <c r="E117" i="18"/>
  <c r="F117" i="18"/>
  <c r="G117" i="18"/>
  <c r="H117" i="18"/>
  <c r="E118" i="18"/>
  <c r="F118" i="18"/>
  <c r="G118" i="18"/>
  <c r="H118" i="18"/>
  <c r="E119" i="18"/>
  <c r="F119" i="18"/>
  <c r="G119" i="18"/>
  <c r="H119" i="18"/>
  <c r="E120" i="18"/>
  <c r="F120" i="18"/>
  <c r="G120" i="18"/>
  <c r="H120" i="18"/>
  <c r="E121" i="18"/>
  <c r="F121" i="18"/>
  <c r="G121" i="18"/>
  <c r="H121" i="18"/>
  <c r="E122" i="18"/>
  <c r="F122" i="18"/>
  <c r="G122" i="18"/>
  <c r="H122" i="18"/>
  <c r="E123" i="18"/>
  <c r="F123" i="18"/>
  <c r="G123" i="18"/>
  <c r="H123" i="18"/>
  <c r="E124" i="18"/>
  <c r="F124" i="18"/>
  <c r="G124" i="18"/>
  <c r="H124" i="18"/>
  <c r="E125" i="18"/>
  <c r="F125" i="18"/>
  <c r="G125" i="18"/>
  <c r="H125" i="18"/>
  <c r="E126" i="18"/>
  <c r="F126" i="18"/>
  <c r="G126" i="18"/>
  <c r="H126" i="18"/>
  <c r="E127" i="18"/>
  <c r="F127" i="18"/>
  <c r="G127" i="18"/>
  <c r="H127" i="18"/>
  <c r="E128" i="18"/>
  <c r="F128" i="18"/>
  <c r="G128" i="18"/>
  <c r="H128" i="18"/>
  <c r="E129" i="18"/>
  <c r="F129" i="18"/>
  <c r="G9" i="6"/>
  <c r="AN10" i="2"/>
  <c r="AM9" i="2"/>
  <c r="G129" i="18" l="1"/>
  <c r="H21" i="18"/>
  <c r="AL9" i="2"/>
  <c r="Y10" i="2"/>
  <c r="Z10" i="2" s="1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H129" i="18" l="1"/>
  <c r="H15" i="18"/>
  <c r="J6" i="27"/>
  <c r="V121" i="3"/>
  <c r="W103" i="3" s="1"/>
  <c r="U28" i="3"/>
  <c r="S121" i="3"/>
  <c r="R121" i="3"/>
  <c r="T103" i="3"/>
  <c r="U103" i="3" s="1"/>
  <c r="V103" i="3" s="1"/>
  <c r="T63" i="3"/>
  <c r="U63" i="3" s="1"/>
  <c r="V63" i="3" s="1"/>
  <c r="T36" i="3"/>
  <c r="U36" i="3" s="1"/>
  <c r="V36" i="3" s="1"/>
  <c r="T28" i="3"/>
  <c r="T121" i="3" s="1"/>
  <c r="AF7" i="13"/>
  <c r="AF8" i="13"/>
  <c r="AF9" i="13"/>
  <c r="AF10" i="13"/>
  <c r="AF11" i="13"/>
  <c r="AF12" i="13"/>
  <c r="AF13" i="13"/>
  <c r="AF14" i="13"/>
  <c r="AF15" i="13"/>
  <c r="AF16" i="13"/>
  <c r="AF17" i="13"/>
  <c r="AF18" i="13"/>
  <c r="AF19" i="13"/>
  <c r="AF20" i="13"/>
  <c r="AF21" i="13"/>
  <c r="AF22" i="13"/>
  <c r="AF23" i="13"/>
  <c r="AF24" i="13"/>
  <c r="AF25" i="13"/>
  <c r="AF26" i="13"/>
  <c r="AF27" i="13"/>
  <c r="AF28" i="13"/>
  <c r="AF29" i="13"/>
  <c r="AF30" i="13"/>
  <c r="AF31" i="13"/>
  <c r="AF32" i="13"/>
  <c r="AF33" i="13"/>
  <c r="AF34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1" i="13"/>
  <c r="AF52" i="13"/>
  <c r="AF53" i="13"/>
  <c r="AF54" i="13"/>
  <c r="AF55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6" i="13"/>
  <c r="C4" i="13"/>
  <c r="K6" i="6"/>
  <c r="W28" i="3" l="1"/>
  <c r="W36" i="3"/>
  <c r="W63" i="3"/>
  <c r="U121" i="3" l="1"/>
  <c r="V28" i="3"/>
  <c r="W121" i="3" l="1"/>
  <c r="Y11" i="2" l="1"/>
  <c r="Y12" i="2"/>
  <c r="Z12" i="2" s="1"/>
  <c r="Y13" i="2"/>
  <c r="Z13" i="2" s="1"/>
  <c r="Y14" i="2"/>
  <c r="Z14" i="2" s="1"/>
  <c r="Y15" i="2"/>
  <c r="Z15" i="2" s="1"/>
  <c r="Y16" i="2"/>
  <c r="Z16" i="2" s="1"/>
  <c r="Y17" i="2"/>
  <c r="Z17" i="2" s="1"/>
  <c r="Y18" i="2"/>
  <c r="Z18" i="2" s="1"/>
  <c r="Y19" i="2"/>
  <c r="Z19" i="2" s="1"/>
  <c r="Y20" i="2"/>
  <c r="Z20" i="2" s="1"/>
  <c r="Y21" i="2"/>
  <c r="Z21" i="2" s="1"/>
  <c r="Y22" i="2"/>
  <c r="Z22" i="2" s="1"/>
  <c r="Y23" i="2"/>
  <c r="Z23" i="2" s="1"/>
  <c r="Y24" i="2"/>
  <c r="Z24" i="2" s="1"/>
  <c r="Y25" i="2"/>
  <c r="Z25" i="2" s="1"/>
  <c r="Y26" i="2"/>
  <c r="Z26" i="2" s="1"/>
  <c r="Y27" i="2"/>
  <c r="Z27" i="2" s="1"/>
  <c r="Y28" i="2"/>
  <c r="Z28" i="2" s="1"/>
  <c r="Y29" i="2"/>
  <c r="Z29" i="2" s="1"/>
  <c r="Y30" i="2"/>
  <c r="Z30" i="2" s="1"/>
  <c r="Y31" i="2"/>
  <c r="Z31" i="2" s="1"/>
  <c r="Y32" i="2"/>
  <c r="Z32" i="2" s="1"/>
  <c r="Y33" i="2"/>
  <c r="Z33" i="2" s="1"/>
  <c r="Y34" i="2"/>
  <c r="Z34" i="2" s="1"/>
  <c r="Y35" i="2"/>
  <c r="Z35" i="2" s="1"/>
  <c r="Y36" i="2"/>
  <c r="Z36" i="2" s="1"/>
  <c r="Y37" i="2"/>
  <c r="Z37" i="2" s="1"/>
  <c r="Y38" i="2"/>
  <c r="Z38" i="2" s="1"/>
  <c r="Y39" i="2"/>
  <c r="Z39" i="2" s="1"/>
  <c r="Y40" i="2"/>
  <c r="Z40" i="2" s="1"/>
  <c r="Y41" i="2"/>
  <c r="Z41" i="2" s="1"/>
  <c r="Y42" i="2"/>
  <c r="Z42" i="2" s="1"/>
  <c r="Y43" i="2"/>
  <c r="Z43" i="2" s="1"/>
  <c r="Y44" i="2"/>
  <c r="Z44" i="2" s="1"/>
  <c r="Y45" i="2"/>
  <c r="Z45" i="2" s="1"/>
  <c r="Y46" i="2"/>
  <c r="Z46" i="2" s="1"/>
  <c r="Y47" i="2"/>
  <c r="Z47" i="2" s="1"/>
  <c r="Y48" i="2"/>
  <c r="Z48" i="2" s="1"/>
  <c r="Y49" i="2"/>
  <c r="Z49" i="2" s="1"/>
  <c r="Y50" i="2"/>
  <c r="Z50" i="2" s="1"/>
  <c r="Y51" i="2"/>
  <c r="Z51" i="2" s="1"/>
  <c r="Y52" i="2"/>
  <c r="Z52" i="2" s="1"/>
  <c r="Y53" i="2"/>
  <c r="Z53" i="2" s="1"/>
  <c r="Y54" i="2"/>
  <c r="Z54" i="2" s="1"/>
  <c r="Y55" i="2"/>
  <c r="Z55" i="2" s="1"/>
  <c r="Y56" i="2"/>
  <c r="Z56" i="2" s="1"/>
  <c r="Y57" i="2"/>
  <c r="Z57" i="2" s="1"/>
  <c r="Y58" i="2"/>
  <c r="Z58" i="2" s="1"/>
  <c r="Y59" i="2"/>
  <c r="Z59" i="2" s="1"/>
  <c r="Y60" i="2"/>
  <c r="Z60" i="2" s="1"/>
  <c r="Y61" i="2"/>
  <c r="Z61" i="2" s="1"/>
  <c r="Y62" i="2"/>
  <c r="Z62" i="2" s="1"/>
  <c r="Y63" i="2"/>
  <c r="Z63" i="2" s="1"/>
  <c r="Y64" i="2"/>
  <c r="Z64" i="2" s="1"/>
  <c r="Y65" i="2"/>
  <c r="Z65" i="2" s="1"/>
  <c r="Y66" i="2"/>
  <c r="Z66" i="2" s="1"/>
  <c r="Y67" i="2"/>
  <c r="Z67" i="2" s="1"/>
  <c r="Y68" i="2"/>
  <c r="Z68" i="2" s="1"/>
  <c r="Y69" i="2"/>
  <c r="Z69" i="2" s="1"/>
  <c r="Y70" i="2"/>
  <c r="Z70" i="2" s="1"/>
  <c r="Y71" i="2"/>
  <c r="Z71" i="2" s="1"/>
  <c r="Y72" i="2"/>
  <c r="Z72" i="2" s="1"/>
  <c r="Y73" i="2"/>
  <c r="Z73" i="2" s="1"/>
  <c r="Y74" i="2"/>
  <c r="Z74" i="2" s="1"/>
  <c r="Y75" i="2"/>
  <c r="Z75" i="2" s="1"/>
  <c r="Y76" i="2"/>
  <c r="Z76" i="2" s="1"/>
  <c r="Y77" i="2"/>
  <c r="Z77" i="2" s="1"/>
  <c r="Y78" i="2"/>
  <c r="Z78" i="2" s="1"/>
  <c r="Y79" i="2"/>
  <c r="Z79" i="2" s="1"/>
  <c r="Y80" i="2"/>
  <c r="Z80" i="2" s="1"/>
  <c r="Y81" i="2"/>
  <c r="Z81" i="2" s="1"/>
  <c r="Y82" i="2"/>
  <c r="Z82" i="2" s="1"/>
  <c r="Y83" i="2"/>
  <c r="Z83" i="2" s="1"/>
  <c r="Y84" i="2"/>
  <c r="Z84" i="2" s="1"/>
  <c r="Y85" i="2"/>
  <c r="Z85" i="2" s="1"/>
  <c r="Y86" i="2"/>
  <c r="Z86" i="2" s="1"/>
  <c r="Y87" i="2"/>
  <c r="Z87" i="2" s="1"/>
  <c r="Y88" i="2"/>
  <c r="Z88" i="2" s="1"/>
  <c r="Y89" i="2"/>
  <c r="Z89" i="2" s="1"/>
  <c r="Y90" i="2"/>
  <c r="Z90" i="2" s="1"/>
  <c r="Y91" i="2"/>
  <c r="Z91" i="2" s="1"/>
  <c r="Y92" i="2"/>
  <c r="Z92" i="2" s="1"/>
  <c r="Y93" i="2"/>
  <c r="Z93" i="2" s="1"/>
  <c r="Y94" i="2"/>
  <c r="Z94" i="2" s="1"/>
  <c r="Y95" i="2"/>
  <c r="Z95" i="2" s="1"/>
  <c r="Y96" i="2"/>
  <c r="Z96" i="2" s="1"/>
  <c r="Y97" i="2"/>
  <c r="Z97" i="2" s="1"/>
  <c r="Y98" i="2"/>
  <c r="Z98" i="2" s="1"/>
  <c r="Y99" i="2"/>
  <c r="Z99" i="2" s="1"/>
  <c r="Y100" i="2"/>
  <c r="Z100" i="2" s="1"/>
  <c r="Y101" i="2"/>
  <c r="Z101" i="2" s="1"/>
  <c r="Y102" i="2"/>
  <c r="Z102" i="2" s="1"/>
  <c r="Y103" i="2"/>
  <c r="Z103" i="2" s="1"/>
  <c r="Y104" i="2"/>
  <c r="Z104" i="2" s="1"/>
  <c r="Y105" i="2"/>
  <c r="Z105" i="2" s="1"/>
  <c r="Y106" i="2"/>
  <c r="Z106" i="2" s="1"/>
  <c r="Y107" i="2"/>
  <c r="Z107" i="2" s="1"/>
  <c r="Y108" i="2"/>
  <c r="Z108" i="2" s="1"/>
  <c r="Y109" i="2"/>
  <c r="Z109" i="2" s="1"/>
  <c r="Y110" i="2"/>
  <c r="Z110" i="2" s="1"/>
  <c r="Y111" i="2"/>
  <c r="Z111" i="2" s="1"/>
  <c r="Y112" i="2"/>
  <c r="Z112" i="2" s="1"/>
  <c r="Y113" i="2"/>
  <c r="Z113" i="2" s="1"/>
  <c r="Y114" i="2"/>
  <c r="Z114" i="2" s="1"/>
  <c r="Y115" i="2"/>
  <c r="Z115" i="2" s="1"/>
  <c r="Y116" i="2"/>
  <c r="Z116" i="2" s="1"/>
  <c r="Y117" i="2"/>
  <c r="Z117" i="2" s="1"/>
  <c r="Y118" i="2"/>
  <c r="Z118" i="2" s="1"/>
  <c r="Y119" i="2"/>
  <c r="Z119" i="2" s="1"/>
  <c r="Y120" i="2"/>
  <c r="Z120" i="2" s="1"/>
  <c r="Y121" i="2"/>
  <c r="Z121" i="2" s="1"/>
  <c r="Y122" i="2"/>
  <c r="Z122" i="2" s="1"/>
  <c r="Y9" i="2" l="1"/>
  <c r="Z11" i="2"/>
  <c r="D11" i="13"/>
  <c r="D8" i="13"/>
  <c r="G9" i="3" l="1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8" i="3"/>
  <c r="X9" i="2"/>
  <c r="O9" i="2"/>
  <c r="M2" i="28" l="1"/>
  <c r="L2" i="28"/>
  <c r="K2" i="28"/>
  <c r="J2" i="28"/>
  <c r="I2" i="28"/>
  <c r="H2" i="28"/>
  <c r="G2" i="28"/>
  <c r="F2" i="28"/>
  <c r="E2" i="28"/>
  <c r="D2" i="28"/>
  <c r="H22" i="6" l="1"/>
  <c r="I4" i="27"/>
  <c r="I5" i="27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115" i="27"/>
  <c r="I3" i="27"/>
  <c r="Y2" i="27"/>
  <c r="W2" i="27"/>
  <c r="U2" i="27"/>
  <c r="S2" i="27"/>
  <c r="Q2" i="27"/>
  <c r="O2" i="27"/>
  <c r="M2" i="27"/>
  <c r="K2" i="27"/>
  <c r="I2" i="27"/>
  <c r="G2" i="27"/>
  <c r="I116" i="27" l="1"/>
  <c r="J5" i="27" s="1"/>
  <c r="J85" i="27" l="1"/>
  <c r="J102" i="27"/>
  <c r="J38" i="27"/>
  <c r="J87" i="27"/>
  <c r="J89" i="27"/>
  <c r="J90" i="27"/>
  <c r="J79" i="27"/>
  <c r="J44" i="27"/>
  <c r="J9" i="27"/>
  <c r="J10" i="27"/>
  <c r="J101" i="27"/>
  <c r="J103" i="27"/>
  <c r="J56" i="27"/>
  <c r="J21" i="27"/>
  <c r="J22" i="27"/>
  <c r="J99" i="27"/>
  <c r="J80" i="27"/>
  <c r="J45" i="27"/>
  <c r="J46" i="27"/>
  <c r="J92" i="27"/>
  <c r="J69" i="27"/>
  <c r="J58" i="27"/>
  <c r="J35" i="27"/>
  <c r="J36" i="27"/>
  <c r="J93" i="27"/>
  <c r="J94" i="27"/>
  <c r="J47" i="27"/>
  <c r="J48" i="27"/>
  <c r="J13" i="27"/>
  <c r="J105" i="27"/>
  <c r="J106" i="27"/>
  <c r="J71" i="27"/>
  <c r="J72" i="27"/>
  <c r="J37" i="27"/>
  <c r="J16" i="27"/>
  <c r="J95" i="27"/>
  <c r="J84" i="27"/>
  <c r="J49" i="27"/>
  <c r="J14" i="27"/>
  <c r="J28" i="27"/>
  <c r="J52" i="27"/>
  <c r="J57" i="27"/>
  <c r="J32" i="27"/>
  <c r="J19" i="27"/>
  <c r="J78" i="27"/>
  <c r="J73" i="27"/>
  <c r="J24" i="27"/>
  <c r="J83" i="27"/>
  <c r="J70" i="27"/>
  <c r="J104" i="27"/>
  <c r="J91" i="27"/>
  <c r="J65" i="27"/>
  <c r="J64" i="27"/>
  <c r="J63" i="27"/>
  <c r="J50" i="27"/>
  <c r="J96" i="27"/>
  <c r="J11" i="27"/>
  <c r="J33" i="27"/>
  <c r="J68" i="27"/>
  <c r="J115" i="27"/>
  <c r="J30" i="27"/>
  <c r="J113" i="27"/>
  <c r="J4" i="27"/>
  <c r="J27" i="27"/>
  <c r="J74" i="27"/>
  <c r="J25" i="27"/>
  <c r="J59" i="27"/>
  <c r="J82" i="27"/>
  <c r="J20" i="27"/>
  <c r="J67" i="27"/>
  <c r="J77" i="27"/>
  <c r="J26" i="27"/>
  <c r="J108" i="27"/>
  <c r="J23" i="27"/>
  <c r="J34" i="27"/>
  <c r="J31" i="27"/>
  <c r="J114" i="27"/>
  <c r="J29" i="27"/>
  <c r="J88" i="27"/>
  <c r="J111" i="27"/>
  <c r="J109" i="27"/>
  <c r="J60" i="27"/>
  <c r="J81" i="27"/>
  <c r="J3" i="27"/>
  <c r="J66" i="27"/>
  <c r="J40" i="27"/>
  <c r="J75" i="27"/>
  <c r="J110" i="27"/>
  <c r="J61" i="27"/>
  <c r="J12" i="27"/>
  <c r="J107" i="27"/>
  <c r="J97" i="27"/>
  <c r="J62" i="27"/>
  <c r="J15" i="27"/>
  <c r="J76" i="27"/>
  <c r="J17" i="27"/>
  <c r="J18" i="27"/>
  <c r="J7" i="27"/>
  <c r="J86" i="27"/>
  <c r="J39" i="27"/>
  <c r="J100" i="27"/>
  <c r="J41" i="27"/>
  <c r="J42" i="27"/>
  <c r="J43" i="27"/>
  <c r="J98" i="27"/>
  <c r="J51" i="27"/>
  <c r="J112" i="27"/>
  <c r="J53" i="27"/>
  <c r="J54" i="27"/>
  <c r="J55" i="27"/>
  <c r="J8" i="27"/>
  <c r="G10" i="6"/>
  <c r="J116" i="27" l="1"/>
  <c r="F4" i="24"/>
  <c r="C1720" i="20"/>
  <c r="C1705" i="20"/>
  <c r="C1690" i="20"/>
  <c r="C1675" i="20"/>
  <c r="C1660" i="20"/>
  <c r="C1645" i="20"/>
  <c r="C1630" i="20"/>
  <c r="C1615" i="20"/>
  <c r="C1600" i="20"/>
  <c r="C1585" i="20"/>
  <c r="C1570" i="20"/>
  <c r="C1555" i="20"/>
  <c r="C1540" i="20"/>
  <c r="C1525" i="20"/>
  <c r="C1510" i="20"/>
  <c r="C1495" i="20"/>
  <c r="C1480" i="20"/>
  <c r="C1465" i="20"/>
  <c r="C1450" i="20"/>
  <c r="C1435" i="20"/>
  <c r="C1420" i="20"/>
  <c r="C1405" i="20"/>
  <c r="C1390" i="20"/>
  <c r="C1375" i="20"/>
  <c r="C1360" i="20"/>
  <c r="C1345" i="20"/>
  <c r="C1330" i="20"/>
  <c r="C1315" i="20"/>
  <c r="C1300" i="20"/>
  <c r="C1285" i="20"/>
  <c r="C1270" i="20"/>
  <c r="C1255" i="20"/>
  <c r="C1240" i="20"/>
  <c r="C1225" i="20"/>
  <c r="C1210" i="20"/>
  <c r="C1195" i="20"/>
  <c r="C1180" i="20"/>
  <c r="C1165" i="20"/>
  <c r="C1150" i="20"/>
  <c r="C1135" i="20"/>
  <c r="C1120" i="20"/>
  <c r="C1105" i="20"/>
  <c r="C1090" i="20"/>
  <c r="C1075" i="20"/>
  <c r="C1060" i="20"/>
  <c r="C1045" i="20"/>
  <c r="C1030" i="20"/>
  <c r="C1015" i="20"/>
  <c r="C1000" i="20"/>
  <c r="C985" i="20"/>
  <c r="C970" i="20"/>
  <c r="C955" i="20"/>
  <c r="C940" i="20"/>
  <c r="C925" i="20"/>
  <c r="C910" i="20"/>
  <c r="C895" i="20"/>
  <c r="C880" i="20"/>
  <c r="C865" i="20"/>
  <c r="C850" i="20"/>
  <c r="C835" i="20"/>
  <c r="C820" i="20"/>
  <c r="C805" i="20"/>
  <c r="C790" i="20"/>
  <c r="C775" i="20"/>
  <c r="C760" i="20"/>
  <c r="C745" i="20"/>
  <c r="C730" i="20"/>
  <c r="C715" i="20"/>
  <c r="C700" i="20"/>
  <c r="C685" i="20"/>
  <c r="C670" i="20"/>
  <c r="C655" i="20"/>
  <c r="C640" i="20"/>
  <c r="C625" i="20"/>
  <c r="C610" i="20"/>
  <c r="C595" i="20"/>
  <c r="C580" i="20"/>
  <c r="C565" i="20"/>
  <c r="C550" i="20"/>
  <c r="C535" i="20"/>
  <c r="C520" i="20"/>
  <c r="C505" i="20"/>
  <c r="C490" i="20"/>
  <c r="C475" i="20"/>
  <c r="C460" i="20"/>
  <c r="C445" i="20"/>
  <c r="C430" i="20"/>
  <c r="C415" i="20"/>
  <c r="C400" i="20"/>
  <c r="C385" i="20"/>
  <c r="C370" i="20"/>
  <c r="C355" i="20"/>
  <c r="C340" i="20"/>
  <c r="C325" i="20"/>
  <c r="C310" i="20"/>
  <c r="C295" i="20"/>
  <c r="C280" i="20"/>
  <c r="C265" i="20"/>
  <c r="C250" i="20"/>
  <c r="C235" i="20"/>
  <c r="C220" i="20"/>
  <c r="C205" i="20"/>
  <c r="C190" i="20"/>
  <c r="C175" i="20"/>
  <c r="C160" i="20"/>
  <c r="C145" i="20"/>
  <c r="C130" i="20"/>
  <c r="C115" i="20"/>
  <c r="C100" i="20"/>
  <c r="C85" i="20"/>
  <c r="C70" i="20"/>
  <c r="C55" i="20"/>
  <c r="C40" i="20"/>
  <c r="C128" i="18"/>
  <c r="C127" i="18"/>
  <c r="C126" i="18"/>
  <c r="C125" i="18"/>
  <c r="C124" i="18"/>
  <c r="C123" i="18"/>
  <c r="L123" i="18" s="1"/>
  <c r="C122" i="18"/>
  <c r="C121" i="18"/>
  <c r="L121" i="18" s="1"/>
  <c r="C120" i="18"/>
  <c r="L120" i="18" s="1"/>
  <c r="C119" i="18"/>
  <c r="C118" i="18"/>
  <c r="C117" i="18"/>
  <c r="C116" i="18"/>
  <c r="C115" i="18"/>
  <c r="C114" i="18"/>
  <c r="C113" i="18"/>
  <c r="C112" i="18"/>
  <c r="C111" i="18"/>
  <c r="L111" i="18" s="1"/>
  <c r="C110" i="18"/>
  <c r="C109" i="18"/>
  <c r="L109" i="18" s="1"/>
  <c r="C108" i="18"/>
  <c r="L108" i="18" s="1"/>
  <c r="C107" i="18"/>
  <c r="C106" i="18"/>
  <c r="C105" i="18"/>
  <c r="C104" i="18"/>
  <c r="C103" i="18"/>
  <c r="C102" i="18"/>
  <c r="C101" i="18"/>
  <c r="C100" i="18"/>
  <c r="L100" i="18" s="1"/>
  <c r="C99" i="18"/>
  <c r="C98" i="18"/>
  <c r="C97" i="18"/>
  <c r="L97" i="18" s="1"/>
  <c r="C96" i="18"/>
  <c r="L96" i="18" s="1"/>
  <c r="C95" i="18"/>
  <c r="C94" i="18"/>
  <c r="C93" i="18"/>
  <c r="C92" i="18"/>
  <c r="C91" i="18"/>
  <c r="C90" i="18"/>
  <c r="C89" i="18"/>
  <c r="C88" i="18"/>
  <c r="L88" i="18" s="1"/>
  <c r="C87" i="18"/>
  <c r="L87" i="18" s="1"/>
  <c r="C86" i="18"/>
  <c r="C85" i="18"/>
  <c r="C84" i="18"/>
  <c r="L84" i="18" s="1"/>
  <c r="C83" i="18"/>
  <c r="C82" i="18"/>
  <c r="C81" i="18"/>
  <c r="C80" i="18"/>
  <c r="C79" i="18"/>
  <c r="C78" i="18"/>
  <c r="C77" i="18"/>
  <c r="C76" i="18"/>
  <c r="L76" i="18" s="1"/>
  <c r="C75" i="18"/>
  <c r="L75" i="18" s="1"/>
  <c r="C74" i="18"/>
  <c r="C73" i="18"/>
  <c r="L73" i="18" s="1"/>
  <c r="C72" i="18"/>
  <c r="L72" i="18" s="1"/>
  <c r="C71" i="18"/>
  <c r="C70" i="18"/>
  <c r="C69" i="18"/>
  <c r="C68" i="18"/>
  <c r="C67" i="18"/>
  <c r="C66" i="18"/>
  <c r="C65" i="18"/>
  <c r="C64" i="18"/>
  <c r="C63" i="18"/>
  <c r="L63" i="18" s="1"/>
  <c r="C62" i="18"/>
  <c r="C61" i="18"/>
  <c r="L61" i="18" s="1"/>
  <c r="C60" i="18"/>
  <c r="L60" i="18" s="1"/>
  <c r="C59" i="18"/>
  <c r="C58" i="18"/>
  <c r="C57" i="18"/>
  <c r="C56" i="18"/>
  <c r="C55" i="18"/>
  <c r="C54" i="18"/>
  <c r="C53" i="18"/>
  <c r="C52" i="18"/>
  <c r="L52" i="18" s="1"/>
  <c r="C51" i="18"/>
  <c r="L51" i="18" s="1"/>
  <c r="C50" i="18"/>
  <c r="C49" i="18"/>
  <c r="L49" i="18" s="1"/>
  <c r="C48" i="18"/>
  <c r="L48" i="18" s="1"/>
  <c r="C47" i="18"/>
  <c r="C46" i="18"/>
  <c r="C45" i="18"/>
  <c r="C44" i="18"/>
  <c r="C43" i="18"/>
  <c r="C42" i="18"/>
  <c r="C41" i="18"/>
  <c r="C40" i="18"/>
  <c r="L40" i="18" s="1"/>
  <c r="C39" i="18"/>
  <c r="L39" i="18" s="1"/>
  <c r="C38" i="18"/>
  <c r="C37" i="18"/>
  <c r="L37" i="18" s="1"/>
  <c r="C36" i="18"/>
  <c r="L36" i="18" s="1"/>
  <c r="C35" i="18"/>
  <c r="C34" i="18"/>
  <c r="C33" i="18"/>
  <c r="C32" i="18"/>
  <c r="C31" i="18"/>
  <c r="C30" i="18"/>
  <c r="C29" i="18"/>
  <c r="C28" i="18"/>
  <c r="L28" i="18" s="1"/>
  <c r="C27" i="18"/>
  <c r="L27" i="18" s="1"/>
  <c r="C26" i="18"/>
  <c r="C25" i="18"/>
  <c r="L25" i="18" s="1"/>
  <c r="C24" i="18"/>
  <c r="C23" i="18"/>
  <c r="C22" i="18"/>
  <c r="C21" i="18"/>
  <c r="C20" i="18"/>
  <c r="C19" i="18"/>
  <c r="C18" i="18"/>
  <c r="C17" i="18"/>
  <c r="C16" i="18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58" i="26"/>
  <c r="F57" i="26"/>
  <c r="C57" i="26"/>
  <c r="F56" i="26"/>
  <c r="C56" i="26"/>
  <c r="F55" i="26"/>
  <c r="C55" i="26"/>
  <c r="F54" i="26"/>
  <c r="C54" i="26"/>
  <c r="F53" i="26"/>
  <c r="C53" i="26"/>
  <c r="F52" i="26"/>
  <c r="C52" i="26"/>
  <c r="F51" i="26"/>
  <c r="C51" i="26"/>
  <c r="F50" i="26"/>
  <c r="C50" i="26"/>
  <c r="F49" i="26"/>
  <c r="C49" i="26"/>
  <c r="F48" i="26"/>
  <c r="C48" i="26"/>
  <c r="F47" i="26"/>
  <c r="C47" i="26"/>
  <c r="F46" i="26"/>
  <c r="C46" i="26"/>
  <c r="F45" i="26"/>
  <c r="C45" i="26"/>
  <c r="F44" i="26"/>
  <c r="C44" i="26"/>
  <c r="F43" i="26"/>
  <c r="C43" i="26"/>
  <c r="F42" i="26"/>
  <c r="C42" i="26"/>
  <c r="F41" i="26"/>
  <c r="C41" i="26"/>
  <c r="F40" i="26"/>
  <c r="C40" i="26"/>
  <c r="F39" i="26"/>
  <c r="C39" i="26"/>
  <c r="F38" i="26"/>
  <c r="C38" i="26"/>
  <c r="F37" i="26"/>
  <c r="C37" i="26"/>
  <c r="F36" i="26"/>
  <c r="C36" i="26"/>
  <c r="F35" i="26"/>
  <c r="C35" i="26"/>
  <c r="F34" i="26"/>
  <c r="C34" i="26"/>
  <c r="F33" i="26"/>
  <c r="C33" i="26"/>
  <c r="F32" i="26"/>
  <c r="C32" i="26"/>
  <c r="F31" i="26"/>
  <c r="C31" i="26"/>
  <c r="F30" i="26"/>
  <c r="C30" i="26"/>
  <c r="F29" i="26"/>
  <c r="C29" i="26"/>
  <c r="F28" i="26"/>
  <c r="C28" i="26"/>
  <c r="F27" i="26"/>
  <c r="C27" i="26"/>
  <c r="F26" i="26"/>
  <c r="C26" i="26"/>
  <c r="F25" i="26"/>
  <c r="C25" i="26"/>
  <c r="F24" i="26"/>
  <c r="C24" i="26"/>
  <c r="F23" i="26"/>
  <c r="C23" i="26"/>
  <c r="F22" i="26"/>
  <c r="C22" i="26"/>
  <c r="F21" i="26"/>
  <c r="C21" i="26"/>
  <c r="F20" i="26"/>
  <c r="C20" i="26"/>
  <c r="F19" i="26"/>
  <c r="C19" i="26"/>
  <c r="F18" i="26"/>
  <c r="C18" i="26"/>
  <c r="F17" i="26"/>
  <c r="C17" i="26"/>
  <c r="F16" i="26"/>
  <c r="C16" i="26"/>
  <c r="F15" i="26"/>
  <c r="C15" i="26"/>
  <c r="F14" i="26"/>
  <c r="C14" i="26"/>
  <c r="F13" i="26"/>
  <c r="C13" i="26"/>
  <c r="F12" i="26"/>
  <c r="C12" i="26"/>
  <c r="F11" i="26"/>
  <c r="C11" i="26"/>
  <c r="F10" i="26"/>
  <c r="C10" i="26"/>
  <c r="F9" i="26"/>
  <c r="C9" i="26"/>
  <c r="F8" i="26"/>
  <c r="C8" i="26"/>
  <c r="F7" i="26"/>
  <c r="C7" i="26"/>
  <c r="F6" i="26"/>
  <c r="C6" i="26"/>
  <c r="F5" i="26"/>
  <c r="C5" i="26"/>
  <c r="F4" i="26"/>
  <c r="C4" i="26"/>
  <c r="F3" i="26"/>
  <c r="C3" i="26"/>
  <c r="F2" i="26"/>
  <c r="C2" i="26"/>
  <c r="H128" i="24"/>
  <c r="H127" i="24"/>
  <c r="H126" i="24"/>
  <c r="H125" i="24"/>
  <c r="H124" i="24"/>
  <c r="H123" i="24"/>
  <c r="H122" i="24"/>
  <c r="H121" i="24"/>
  <c r="H120" i="24"/>
  <c r="H119" i="24"/>
  <c r="H118" i="24"/>
  <c r="H117" i="24"/>
  <c r="H116" i="24"/>
  <c r="H115" i="24"/>
  <c r="H114" i="24"/>
  <c r="H113" i="24"/>
  <c r="H112" i="24"/>
  <c r="H111" i="24"/>
  <c r="H110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G15" i="24"/>
  <c r="F15" i="24"/>
  <c r="C15" i="24"/>
  <c r="D127" i="24" s="1"/>
  <c r="C129" i="23"/>
  <c r="D122" i="23" s="1"/>
  <c r="E122" i="23" s="1"/>
  <c r="Q122" i="23" s="1"/>
  <c r="D125" i="23"/>
  <c r="E125" i="23" s="1"/>
  <c r="Q125" i="23" s="1"/>
  <c r="D121" i="23"/>
  <c r="E121" i="23" s="1"/>
  <c r="P121" i="23" s="1"/>
  <c r="D118" i="23"/>
  <c r="E118" i="23" s="1"/>
  <c r="I118" i="23" s="1"/>
  <c r="D104" i="23"/>
  <c r="E104" i="23" s="1"/>
  <c r="D102" i="23"/>
  <c r="E102" i="23" s="1"/>
  <c r="N99" i="23"/>
  <c r="H99" i="23"/>
  <c r="E99" i="23"/>
  <c r="O99" i="23" s="1"/>
  <c r="D99" i="23"/>
  <c r="D95" i="23"/>
  <c r="E95" i="23" s="1"/>
  <c r="D92" i="23"/>
  <c r="E92" i="23" s="1"/>
  <c r="D91" i="23"/>
  <c r="E91" i="23" s="1"/>
  <c r="D89" i="23"/>
  <c r="E89" i="23" s="1"/>
  <c r="D88" i="23"/>
  <c r="E88" i="23" s="1"/>
  <c r="K88" i="23" s="1"/>
  <c r="D87" i="23"/>
  <c r="E87" i="23" s="1"/>
  <c r="D86" i="23"/>
  <c r="E86" i="23" s="1"/>
  <c r="D81" i="23"/>
  <c r="E81" i="23" s="1"/>
  <c r="L81" i="23" s="1"/>
  <c r="D78" i="23"/>
  <c r="E78" i="23" s="1"/>
  <c r="D77" i="23"/>
  <c r="E77" i="23" s="1"/>
  <c r="N77" i="23" s="1"/>
  <c r="D76" i="23"/>
  <c r="E76" i="23" s="1"/>
  <c r="O76" i="23" s="1"/>
  <c r="D74" i="23"/>
  <c r="E74" i="23" s="1"/>
  <c r="I73" i="23"/>
  <c r="D73" i="23"/>
  <c r="E73" i="23" s="1"/>
  <c r="N73" i="23" s="1"/>
  <c r="D72" i="23"/>
  <c r="E72" i="23" s="1"/>
  <c r="P72" i="23" s="1"/>
  <c r="E71" i="23"/>
  <c r="H71" i="23" s="1"/>
  <c r="D71" i="23"/>
  <c r="D67" i="23"/>
  <c r="E67" i="23" s="1"/>
  <c r="M67" i="23" s="1"/>
  <c r="D66" i="23"/>
  <c r="E66" i="23" s="1"/>
  <c r="N64" i="23"/>
  <c r="J64" i="23"/>
  <c r="I64" i="23"/>
  <c r="G64" i="23"/>
  <c r="D64" i="23"/>
  <c r="E64" i="23" s="1"/>
  <c r="O64" i="23" s="1"/>
  <c r="D63" i="23"/>
  <c r="E63" i="23" s="1"/>
  <c r="D58" i="23"/>
  <c r="E58" i="23" s="1"/>
  <c r="N58" i="23" s="1"/>
  <c r="D56" i="23"/>
  <c r="E56" i="23" s="1"/>
  <c r="L55" i="23"/>
  <c r="D55" i="23"/>
  <c r="E55" i="23" s="1"/>
  <c r="N55" i="23" s="1"/>
  <c r="O52" i="23"/>
  <c r="H52" i="23"/>
  <c r="F52" i="23"/>
  <c r="R52" i="23" s="1"/>
  <c r="S52" i="23" s="1"/>
  <c r="D52" i="23"/>
  <c r="E52" i="23" s="1"/>
  <c r="N52" i="23" s="1"/>
  <c r="D51" i="23"/>
  <c r="E51" i="23" s="1"/>
  <c r="J51" i="23" s="1"/>
  <c r="D46" i="23"/>
  <c r="E46" i="23" s="1"/>
  <c r="M46" i="23" s="1"/>
  <c r="D45" i="23"/>
  <c r="E45" i="23" s="1"/>
  <c r="Q45" i="23" s="1"/>
  <c r="D44" i="23"/>
  <c r="E44" i="23" s="1"/>
  <c r="Q44" i="23" s="1"/>
  <c r="L43" i="23"/>
  <c r="D43" i="23"/>
  <c r="E43" i="23" s="1"/>
  <c r="O43" i="23" s="1"/>
  <c r="D42" i="23"/>
  <c r="E42" i="23" s="1"/>
  <c r="Q42" i="23" s="1"/>
  <c r="D41" i="23"/>
  <c r="E41" i="23" s="1"/>
  <c r="D35" i="23"/>
  <c r="E35" i="23" s="1"/>
  <c r="J35" i="23" s="1"/>
  <c r="M34" i="23"/>
  <c r="L34" i="23"/>
  <c r="F34" i="23"/>
  <c r="R34" i="23" s="1"/>
  <c r="S34" i="23" s="1"/>
  <c r="D34" i="23"/>
  <c r="E34" i="23" s="1"/>
  <c r="J34" i="23" s="1"/>
  <c r="D32" i="23"/>
  <c r="E32" i="23" s="1"/>
  <c r="N32" i="23" s="1"/>
  <c r="D31" i="23"/>
  <c r="E31" i="23" s="1"/>
  <c r="O31" i="23" s="1"/>
  <c r="D30" i="23"/>
  <c r="E30" i="23" s="1"/>
  <c r="M30" i="23" s="1"/>
  <c r="D23" i="23"/>
  <c r="E23" i="23" s="1"/>
  <c r="D21" i="23"/>
  <c r="E21" i="23" s="1"/>
  <c r="F21" i="23" s="1"/>
  <c r="R21" i="23" s="1"/>
  <c r="S21" i="23" s="1"/>
  <c r="Q20" i="23"/>
  <c r="F20" i="23"/>
  <c r="R20" i="23" s="1"/>
  <c r="S20" i="23" s="1"/>
  <c r="D20" i="23"/>
  <c r="E20" i="23" s="1"/>
  <c r="O20" i="23" s="1"/>
  <c r="C15" i="23"/>
  <c r="C130" i="23" s="1"/>
  <c r="Q124" i="22"/>
  <c r="Q123" i="22"/>
  <c r="Q122" i="22"/>
  <c r="Q121" i="22"/>
  <c r="Q120" i="22"/>
  <c r="Q119" i="22"/>
  <c r="Q118" i="22"/>
  <c r="Q117" i="22"/>
  <c r="Q116" i="22"/>
  <c r="Q115" i="22"/>
  <c r="Q114" i="22"/>
  <c r="Q113" i="22"/>
  <c r="Q112" i="22"/>
  <c r="Q111" i="22"/>
  <c r="Q110" i="22"/>
  <c r="Q109" i="22"/>
  <c r="Q108" i="22"/>
  <c r="Q107" i="22"/>
  <c r="Q106" i="22"/>
  <c r="Q105" i="22"/>
  <c r="Q104" i="22"/>
  <c r="Q103" i="22"/>
  <c r="Q102" i="22"/>
  <c r="Q101" i="22"/>
  <c r="Q100" i="22"/>
  <c r="Q99" i="22"/>
  <c r="Q98" i="22"/>
  <c r="P98" i="22"/>
  <c r="Q97" i="22"/>
  <c r="Q96" i="22"/>
  <c r="Q95" i="22"/>
  <c r="Q94" i="22"/>
  <c r="Q93" i="22"/>
  <c r="Q92" i="22"/>
  <c r="Q91" i="22"/>
  <c r="Q90" i="22"/>
  <c r="Q89" i="22"/>
  <c r="Q88" i="22"/>
  <c r="Q87" i="22"/>
  <c r="Q86" i="22"/>
  <c r="Q85" i="22"/>
  <c r="Q84" i="22"/>
  <c r="Q83" i="22"/>
  <c r="Q82" i="22"/>
  <c r="Q81" i="22"/>
  <c r="Q80" i="22"/>
  <c r="Q79" i="22"/>
  <c r="Q78" i="22"/>
  <c r="Q77" i="22"/>
  <c r="Q76" i="22"/>
  <c r="P76" i="22"/>
  <c r="Q75" i="22"/>
  <c r="Q74" i="22"/>
  <c r="Q73" i="22"/>
  <c r="Q72" i="22"/>
  <c r="Q71" i="22"/>
  <c r="Q70" i="22"/>
  <c r="Q69" i="22"/>
  <c r="Q68" i="22"/>
  <c r="Q67" i="22"/>
  <c r="Q66" i="22"/>
  <c r="Q65" i="22"/>
  <c r="Q64" i="22"/>
  <c r="Q63" i="22"/>
  <c r="Q62" i="22"/>
  <c r="Q61" i="22"/>
  <c r="Q60" i="22"/>
  <c r="Q59" i="22"/>
  <c r="Q58" i="22"/>
  <c r="Q57" i="22"/>
  <c r="Q56" i="22"/>
  <c r="Q55" i="22"/>
  <c r="Q54" i="22"/>
  <c r="Q53" i="22"/>
  <c r="Q52" i="22"/>
  <c r="Q51" i="22"/>
  <c r="Q50" i="22"/>
  <c r="Q49" i="22"/>
  <c r="Q48" i="22"/>
  <c r="Q47" i="22"/>
  <c r="Q46" i="22"/>
  <c r="P46" i="22"/>
  <c r="Q45" i="22"/>
  <c r="Q44" i="22"/>
  <c r="Q43" i="22"/>
  <c r="Q42" i="22"/>
  <c r="Q41" i="22"/>
  <c r="Q40" i="22"/>
  <c r="Q39" i="22"/>
  <c r="Q38" i="22"/>
  <c r="Q37" i="22"/>
  <c r="Q36" i="22"/>
  <c r="Q35" i="22"/>
  <c r="Q34" i="22"/>
  <c r="Q33" i="22"/>
  <c r="Q32" i="22"/>
  <c r="Q31" i="22"/>
  <c r="Q30" i="22"/>
  <c r="Q29" i="22"/>
  <c r="Q28" i="22"/>
  <c r="Q27" i="22"/>
  <c r="Q26" i="22"/>
  <c r="P26" i="22"/>
  <c r="Q25" i="22"/>
  <c r="Q24" i="22"/>
  <c r="P24" i="22"/>
  <c r="Q23" i="22"/>
  <c r="Q22" i="22"/>
  <c r="Q21" i="22"/>
  <c r="Q20" i="22"/>
  <c r="Q19" i="22"/>
  <c r="Q18" i="22"/>
  <c r="Q17" i="22"/>
  <c r="Q16" i="22"/>
  <c r="Q15" i="22"/>
  <c r="Q14" i="22"/>
  <c r="P14" i="22"/>
  <c r="Q13" i="22"/>
  <c r="Q12" i="22"/>
  <c r="C11" i="22"/>
  <c r="P108" i="22" s="1"/>
  <c r="O128" i="21"/>
  <c r="D128" i="21"/>
  <c r="O127" i="21"/>
  <c r="D127" i="21"/>
  <c r="O126" i="21"/>
  <c r="D126" i="21"/>
  <c r="O125" i="21"/>
  <c r="D125" i="21"/>
  <c r="O124" i="21"/>
  <c r="D124" i="21"/>
  <c r="O123" i="21"/>
  <c r="D123" i="21"/>
  <c r="O122" i="21"/>
  <c r="D122" i="21"/>
  <c r="O121" i="21"/>
  <c r="D121" i="21"/>
  <c r="O120" i="21"/>
  <c r="D120" i="21"/>
  <c r="O119" i="21"/>
  <c r="D119" i="21"/>
  <c r="O118" i="21"/>
  <c r="D118" i="21"/>
  <c r="O117" i="21"/>
  <c r="D117" i="21"/>
  <c r="O116" i="21"/>
  <c r="D116" i="21"/>
  <c r="O115" i="21"/>
  <c r="D115" i="21"/>
  <c r="O114" i="21"/>
  <c r="D114" i="21"/>
  <c r="O113" i="21"/>
  <c r="D113" i="21"/>
  <c r="O112" i="21"/>
  <c r="D112" i="21"/>
  <c r="O111" i="21"/>
  <c r="D111" i="21"/>
  <c r="O110" i="21"/>
  <c r="D110" i="21"/>
  <c r="O109" i="21"/>
  <c r="D109" i="21"/>
  <c r="O108" i="21"/>
  <c r="D108" i="21"/>
  <c r="O107" i="21"/>
  <c r="D107" i="21"/>
  <c r="O106" i="21"/>
  <c r="D106" i="21"/>
  <c r="O105" i="21"/>
  <c r="D105" i="21"/>
  <c r="O104" i="21"/>
  <c r="D104" i="21"/>
  <c r="O103" i="21"/>
  <c r="D103" i="21"/>
  <c r="O102" i="21"/>
  <c r="D102" i="21"/>
  <c r="O101" i="21"/>
  <c r="D101" i="21"/>
  <c r="O100" i="21"/>
  <c r="D100" i="21"/>
  <c r="O99" i="21"/>
  <c r="D99" i="21"/>
  <c r="O98" i="21"/>
  <c r="D98" i="21"/>
  <c r="O97" i="21"/>
  <c r="D97" i="21"/>
  <c r="O96" i="21"/>
  <c r="D96" i="21"/>
  <c r="O95" i="21"/>
  <c r="D95" i="21"/>
  <c r="O94" i="21"/>
  <c r="D94" i="21"/>
  <c r="O93" i="21"/>
  <c r="D93" i="21"/>
  <c r="O92" i="21"/>
  <c r="D92" i="21"/>
  <c r="O91" i="21"/>
  <c r="D91" i="21"/>
  <c r="O90" i="21"/>
  <c r="D90" i="21"/>
  <c r="O89" i="21"/>
  <c r="D89" i="21"/>
  <c r="O88" i="21"/>
  <c r="D88" i="21"/>
  <c r="O87" i="21"/>
  <c r="D87" i="21"/>
  <c r="O86" i="21"/>
  <c r="D86" i="21"/>
  <c r="O85" i="21"/>
  <c r="D85" i="21"/>
  <c r="O84" i="21"/>
  <c r="D84" i="21"/>
  <c r="O83" i="21"/>
  <c r="D83" i="21"/>
  <c r="O82" i="21"/>
  <c r="D82" i="21"/>
  <c r="O81" i="21"/>
  <c r="D81" i="21"/>
  <c r="O80" i="21"/>
  <c r="D80" i="21"/>
  <c r="O79" i="21"/>
  <c r="D79" i="21"/>
  <c r="O78" i="21"/>
  <c r="D78" i="21"/>
  <c r="O77" i="21"/>
  <c r="D77" i="21"/>
  <c r="O76" i="21"/>
  <c r="D76" i="21"/>
  <c r="O75" i="21"/>
  <c r="D75" i="21"/>
  <c r="O74" i="21"/>
  <c r="D74" i="21"/>
  <c r="O73" i="21"/>
  <c r="D73" i="21"/>
  <c r="O72" i="21"/>
  <c r="D72" i="21"/>
  <c r="O71" i="21"/>
  <c r="D71" i="21"/>
  <c r="O70" i="21"/>
  <c r="D70" i="21"/>
  <c r="O69" i="21"/>
  <c r="D69" i="21"/>
  <c r="O68" i="21"/>
  <c r="D68" i="21"/>
  <c r="O67" i="21"/>
  <c r="D67" i="21"/>
  <c r="O66" i="21"/>
  <c r="D66" i="21"/>
  <c r="O65" i="21"/>
  <c r="D65" i="21"/>
  <c r="O64" i="21"/>
  <c r="D64" i="21"/>
  <c r="O63" i="21"/>
  <c r="D63" i="21"/>
  <c r="O62" i="21"/>
  <c r="D62" i="21"/>
  <c r="O61" i="21"/>
  <c r="D61" i="21"/>
  <c r="O60" i="21"/>
  <c r="D60" i="21"/>
  <c r="O59" i="21"/>
  <c r="D59" i="21"/>
  <c r="O58" i="21"/>
  <c r="D58" i="21"/>
  <c r="O57" i="21"/>
  <c r="D57" i="21"/>
  <c r="O56" i="21"/>
  <c r="D56" i="21"/>
  <c r="O55" i="21"/>
  <c r="D55" i="21"/>
  <c r="O54" i="21"/>
  <c r="D54" i="21"/>
  <c r="O53" i="21"/>
  <c r="D53" i="21"/>
  <c r="O52" i="21"/>
  <c r="D52" i="21"/>
  <c r="O51" i="21"/>
  <c r="D51" i="21"/>
  <c r="O50" i="21"/>
  <c r="D50" i="21"/>
  <c r="O49" i="21"/>
  <c r="D49" i="21"/>
  <c r="O48" i="21"/>
  <c r="D48" i="21"/>
  <c r="O47" i="21"/>
  <c r="D47" i="21"/>
  <c r="O46" i="21"/>
  <c r="D46" i="21"/>
  <c r="O45" i="21"/>
  <c r="D45" i="21"/>
  <c r="O44" i="21"/>
  <c r="D44" i="21"/>
  <c r="O43" i="21"/>
  <c r="D43" i="21"/>
  <c r="O42" i="21"/>
  <c r="D42" i="21"/>
  <c r="O41" i="21"/>
  <c r="D41" i="21"/>
  <c r="O40" i="21"/>
  <c r="D40" i="21"/>
  <c r="O39" i="21"/>
  <c r="D39" i="21"/>
  <c r="O38" i="21"/>
  <c r="D38" i="21"/>
  <c r="O37" i="21"/>
  <c r="D37" i="21"/>
  <c r="O36" i="21"/>
  <c r="D36" i="21"/>
  <c r="O35" i="21"/>
  <c r="D35" i="21"/>
  <c r="O34" i="21"/>
  <c r="D34" i="21"/>
  <c r="O33" i="21"/>
  <c r="D33" i="21"/>
  <c r="O32" i="21"/>
  <c r="D32" i="21"/>
  <c r="O31" i="21"/>
  <c r="D31" i="21"/>
  <c r="O30" i="21"/>
  <c r="D30" i="21"/>
  <c r="O29" i="21"/>
  <c r="D29" i="21"/>
  <c r="O28" i="21"/>
  <c r="D28" i="21"/>
  <c r="O27" i="21"/>
  <c r="D27" i="21"/>
  <c r="O26" i="21"/>
  <c r="D26" i="21"/>
  <c r="O25" i="21"/>
  <c r="D25" i="21"/>
  <c r="O24" i="21"/>
  <c r="D24" i="21"/>
  <c r="O23" i="21"/>
  <c r="D23" i="21"/>
  <c r="O22" i="21"/>
  <c r="D22" i="21"/>
  <c r="O21" i="21"/>
  <c r="D21" i="21"/>
  <c r="O20" i="21"/>
  <c r="D20" i="21"/>
  <c r="O19" i="21"/>
  <c r="D19" i="21"/>
  <c r="O18" i="21"/>
  <c r="D18" i="21"/>
  <c r="O17" i="21"/>
  <c r="D17" i="21"/>
  <c r="O16" i="21"/>
  <c r="D16" i="21"/>
  <c r="O15" i="21"/>
  <c r="M15" i="21"/>
  <c r="L15" i="21"/>
  <c r="K15" i="21"/>
  <c r="J15" i="21"/>
  <c r="I15" i="21"/>
  <c r="H15" i="21"/>
  <c r="G15" i="21"/>
  <c r="F15" i="21"/>
  <c r="E15" i="21"/>
  <c r="P1715" i="20"/>
  <c r="P1714" i="20"/>
  <c r="P1700" i="20"/>
  <c r="P1699" i="20"/>
  <c r="P1685" i="20"/>
  <c r="P1684" i="20"/>
  <c r="P1670" i="20"/>
  <c r="P1669" i="20"/>
  <c r="P1655" i="20"/>
  <c r="P1654" i="20"/>
  <c r="P1640" i="20"/>
  <c r="P1639" i="20"/>
  <c r="P1625" i="20"/>
  <c r="P1624" i="20"/>
  <c r="P1610" i="20"/>
  <c r="P1609" i="20"/>
  <c r="P1595" i="20"/>
  <c r="P1594" i="20"/>
  <c r="P1580" i="20"/>
  <c r="P1579" i="20"/>
  <c r="P1565" i="20"/>
  <c r="P1564" i="20"/>
  <c r="P1550" i="20"/>
  <c r="P1549" i="20"/>
  <c r="P1535" i="20"/>
  <c r="P1534" i="20"/>
  <c r="P1520" i="20"/>
  <c r="P1519" i="20"/>
  <c r="P1505" i="20"/>
  <c r="P1504" i="20"/>
  <c r="P1490" i="20"/>
  <c r="P1489" i="20"/>
  <c r="P1475" i="20"/>
  <c r="P1474" i="20"/>
  <c r="P1460" i="20"/>
  <c r="P1459" i="20"/>
  <c r="P1445" i="20"/>
  <c r="P1444" i="20"/>
  <c r="P1430" i="20"/>
  <c r="P1429" i="20"/>
  <c r="P1415" i="20"/>
  <c r="P1414" i="20"/>
  <c r="P1400" i="20"/>
  <c r="P1399" i="20"/>
  <c r="P1385" i="20"/>
  <c r="P1384" i="20"/>
  <c r="P1370" i="20"/>
  <c r="P1369" i="20"/>
  <c r="P1355" i="20"/>
  <c r="P1354" i="20"/>
  <c r="P1340" i="20"/>
  <c r="P1339" i="20"/>
  <c r="P1325" i="20"/>
  <c r="P1324" i="20"/>
  <c r="P1310" i="20"/>
  <c r="P1309" i="20"/>
  <c r="P1295" i="20"/>
  <c r="P1294" i="20"/>
  <c r="P1280" i="20"/>
  <c r="P1279" i="20"/>
  <c r="P1265" i="20"/>
  <c r="P1264" i="20"/>
  <c r="P1250" i="20"/>
  <c r="P1249" i="20"/>
  <c r="P1235" i="20"/>
  <c r="P1234" i="20"/>
  <c r="P1220" i="20"/>
  <c r="P1219" i="20"/>
  <c r="P1205" i="20"/>
  <c r="P1204" i="20"/>
  <c r="P1190" i="20"/>
  <c r="P1189" i="20"/>
  <c r="P1175" i="20"/>
  <c r="P1174" i="20"/>
  <c r="P1160" i="20"/>
  <c r="P1159" i="20"/>
  <c r="P1145" i="20"/>
  <c r="P1144" i="20"/>
  <c r="P1130" i="20"/>
  <c r="P1129" i="20"/>
  <c r="P1115" i="20"/>
  <c r="P1114" i="20"/>
  <c r="P1100" i="20"/>
  <c r="P1099" i="20"/>
  <c r="P1085" i="20"/>
  <c r="P1084" i="20"/>
  <c r="P1070" i="20"/>
  <c r="P1069" i="20"/>
  <c r="P1055" i="20"/>
  <c r="P1054" i="20"/>
  <c r="P1040" i="20"/>
  <c r="P1039" i="20"/>
  <c r="P1025" i="20"/>
  <c r="P1024" i="20"/>
  <c r="P1010" i="20"/>
  <c r="P1009" i="20"/>
  <c r="P995" i="20"/>
  <c r="P994" i="20"/>
  <c r="P980" i="20"/>
  <c r="P979" i="20"/>
  <c r="P965" i="20"/>
  <c r="P964" i="20"/>
  <c r="P950" i="20"/>
  <c r="P949" i="20"/>
  <c r="P935" i="20"/>
  <c r="P934" i="20"/>
  <c r="P920" i="20"/>
  <c r="P919" i="20"/>
  <c r="P905" i="20"/>
  <c r="P904" i="20"/>
  <c r="P890" i="20"/>
  <c r="P889" i="20"/>
  <c r="P875" i="20"/>
  <c r="P874" i="20"/>
  <c r="P860" i="20"/>
  <c r="P859" i="20"/>
  <c r="P845" i="20"/>
  <c r="P844" i="20"/>
  <c r="P830" i="20"/>
  <c r="P829" i="20"/>
  <c r="P815" i="20"/>
  <c r="P814" i="20"/>
  <c r="P800" i="20"/>
  <c r="P799" i="20"/>
  <c r="P785" i="20"/>
  <c r="P784" i="20"/>
  <c r="P770" i="20"/>
  <c r="P769" i="20"/>
  <c r="P755" i="20"/>
  <c r="P754" i="20"/>
  <c r="P740" i="20"/>
  <c r="P739" i="20"/>
  <c r="P725" i="20"/>
  <c r="P724" i="20"/>
  <c r="P710" i="20"/>
  <c r="P709" i="20"/>
  <c r="P695" i="20"/>
  <c r="P694" i="20"/>
  <c r="P680" i="20"/>
  <c r="P679" i="20"/>
  <c r="P665" i="20"/>
  <c r="P664" i="20"/>
  <c r="P650" i="20"/>
  <c r="P649" i="20"/>
  <c r="P635" i="20"/>
  <c r="P634" i="20"/>
  <c r="P620" i="20"/>
  <c r="P619" i="20"/>
  <c r="P605" i="20"/>
  <c r="P604" i="20"/>
  <c r="P590" i="20"/>
  <c r="P589" i="20"/>
  <c r="P575" i="20"/>
  <c r="P574" i="20"/>
  <c r="P560" i="20"/>
  <c r="P559" i="20"/>
  <c r="P545" i="20"/>
  <c r="P544" i="20"/>
  <c r="P530" i="20"/>
  <c r="P529" i="20"/>
  <c r="P515" i="20"/>
  <c r="P514" i="20"/>
  <c r="P500" i="20"/>
  <c r="P499" i="20"/>
  <c r="P485" i="20"/>
  <c r="P484" i="20"/>
  <c r="P470" i="20"/>
  <c r="P469" i="20"/>
  <c r="P455" i="20"/>
  <c r="P454" i="20"/>
  <c r="P440" i="20"/>
  <c r="P439" i="20"/>
  <c r="P425" i="20"/>
  <c r="P424" i="20"/>
  <c r="P410" i="20"/>
  <c r="P409" i="20"/>
  <c r="P395" i="20"/>
  <c r="P394" i="20"/>
  <c r="P380" i="20"/>
  <c r="P379" i="20"/>
  <c r="P365" i="20"/>
  <c r="P364" i="20"/>
  <c r="P350" i="20"/>
  <c r="P349" i="20"/>
  <c r="P335" i="20"/>
  <c r="P334" i="20"/>
  <c r="P320" i="20"/>
  <c r="P319" i="20"/>
  <c r="P305" i="20"/>
  <c r="P304" i="20"/>
  <c r="P290" i="20"/>
  <c r="P289" i="20"/>
  <c r="P275" i="20"/>
  <c r="P274" i="20"/>
  <c r="P260" i="20"/>
  <c r="P259" i="20"/>
  <c r="P245" i="20"/>
  <c r="P244" i="20"/>
  <c r="P230" i="20"/>
  <c r="P229" i="20"/>
  <c r="P215" i="20"/>
  <c r="P214" i="20"/>
  <c r="P200" i="20"/>
  <c r="P199" i="20"/>
  <c r="P185" i="20"/>
  <c r="P184" i="20"/>
  <c r="P170" i="20"/>
  <c r="P169" i="20"/>
  <c r="P155" i="20"/>
  <c r="P154" i="20"/>
  <c r="P140" i="20"/>
  <c r="P139" i="20"/>
  <c r="P125" i="20"/>
  <c r="P124" i="20"/>
  <c r="P110" i="20"/>
  <c r="P109" i="20"/>
  <c r="P95" i="20"/>
  <c r="P94" i="20"/>
  <c r="P80" i="20"/>
  <c r="P79" i="20"/>
  <c r="P65" i="20"/>
  <c r="P64" i="20"/>
  <c r="P50" i="20"/>
  <c r="P49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P18" i="20"/>
  <c r="Q18" i="20" s="1"/>
  <c r="P17" i="20"/>
  <c r="Q17" i="20" s="1"/>
  <c r="P16" i="20"/>
  <c r="Q16" i="20" s="1"/>
  <c r="P15" i="20"/>
  <c r="Q15" i="20" s="1"/>
  <c r="P14" i="20"/>
  <c r="Q14" i="20" s="1"/>
  <c r="P13" i="20"/>
  <c r="Q13" i="20" s="1"/>
  <c r="P12" i="20"/>
  <c r="Q12" i="20" s="1"/>
  <c r="P11" i="20"/>
  <c r="Q11" i="20" s="1"/>
  <c r="P10" i="20"/>
  <c r="Q10" i="20" s="1"/>
  <c r="P9" i="20"/>
  <c r="Q9" i="20" s="1"/>
  <c r="P8" i="20"/>
  <c r="Q8" i="20" s="1"/>
  <c r="P7" i="20"/>
  <c r="Q7" i="20" s="1"/>
  <c r="O128" i="18"/>
  <c r="L128" i="18"/>
  <c r="O127" i="18"/>
  <c r="L127" i="18"/>
  <c r="O126" i="18"/>
  <c r="L126" i="18"/>
  <c r="O125" i="18"/>
  <c r="L125" i="18"/>
  <c r="O124" i="18"/>
  <c r="L124" i="18"/>
  <c r="O123" i="18"/>
  <c r="O122" i="18"/>
  <c r="L122" i="18"/>
  <c r="O121" i="18"/>
  <c r="O120" i="18"/>
  <c r="O119" i="18"/>
  <c r="L119" i="18"/>
  <c r="O118" i="18"/>
  <c r="L118" i="18"/>
  <c r="O117" i="18"/>
  <c r="L117" i="18"/>
  <c r="O116" i="18"/>
  <c r="L116" i="18"/>
  <c r="O115" i="18"/>
  <c r="L115" i="18"/>
  <c r="O114" i="18"/>
  <c r="L114" i="18"/>
  <c r="O113" i="18"/>
  <c r="L113" i="18"/>
  <c r="O112" i="18"/>
  <c r="L112" i="18"/>
  <c r="O111" i="18"/>
  <c r="O110" i="18"/>
  <c r="L110" i="18"/>
  <c r="O109" i="18"/>
  <c r="O108" i="18"/>
  <c r="O107" i="18"/>
  <c r="L107" i="18"/>
  <c r="O106" i="18"/>
  <c r="L106" i="18"/>
  <c r="O105" i="18"/>
  <c r="L105" i="18"/>
  <c r="O104" i="18"/>
  <c r="L104" i="18"/>
  <c r="O103" i="18"/>
  <c r="L103" i="18"/>
  <c r="O102" i="18"/>
  <c r="L102" i="18"/>
  <c r="O101" i="18"/>
  <c r="L101" i="18"/>
  <c r="O100" i="18"/>
  <c r="O99" i="18"/>
  <c r="L99" i="18"/>
  <c r="O98" i="18"/>
  <c r="L98" i="18"/>
  <c r="O97" i="18"/>
  <c r="O96" i="18"/>
  <c r="O95" i="18"/>
  <c r="L95" i="18"/>
  <c r="O94" i="18"/>
  <c r="L94" i="18"/>
  <c r="O93" i="18"/>
  <c r="L93" i="18"/>
  <c r="O92" i="18"/>
  <c r="L92" i="18"/>
  <c r="O91" i="18"/>
  <c r="L91" i="18"/>
  <c r="O90" i="18"/>
  <c r="L90" i="18"/>
  <c r="O89" i="18"/>
  <c r="L89" i="18"/>
  <c r="O88" i="18"/>
  <c r="O87" i="18"/>
  <c r="O86" i="18"/>
  <c r="L86" i="18"/>
  <c r="O85" i="18"/>
  <c r="L85" i="18"/>
  <c r="O84" i="18"/>
  <c r="O83" i="18"/>
  <c r="L83" i="18"/>
  <c r="O82" i="18"/>
  <c r="L82" i="18"/>
  <c r="O81" i="18"/>
  <c r="L81" i="18"/>
  <c r="O80" i="18"/>
  <c r="L80" i="18"/>
  <c r="O79" i="18"/>
  <c r="L79" i="18"/>
  <c r="O78" i="18"/>
  <c r="L78" i="18"/>
  <c r="O77" i="18"/>
  <c r="L77" i="18"/>
  <c r="O76" i="18"/>
  <c r="O75" i="18"/>
  <c r="O74" i="18"/>
  <c r="L74" i="18"/>
  <c r="O73" i="18"/>
  <c r="O72" i="18"/>
  <c r="O71" i="18"/>
  <c r="L71" i="18"/>
  <c r="O70" i="18"/>
  <c r="L70" i="18"/>
  <c r="O69" i="18"/>
  <c r="L69" i="18"/>
  <c r="O68" i="18"/>
  <c r="L68" i="18"/>
  <c r="O67" i="18"/>
  <c r="L67" i="18"/>
  <c r="O66" i="18"/>
  <c r="L66" i="18"/>
  <c r="O65" i="18"/>
  <c r="L65" i="18"/>
  <c r="O64" i="18"/>
  <c r="L64" i="18"/>
  <c r="O63" i="18"/>
  <c r="O62" i="18"/>
  <c r="L62" i="18"/>
  <c r="O61" i="18"/>
  <c r="O60" i="18"/>
  <c r="O59" i="18"/>
  <c r="L59" i="18"/>
  <c r="O58" i="18"/>
  <c r="L58" i="18"/>
  <c r="O57" i="18"/>
  <c r="L57" i="18"/>
  <c r="O56" i="18"/>
  <c r="L56" i="18"/>
  <c r="O55" i="18"/>
  <c r="L55" i="18"/>
  <c r="O54" i="18"/>
  <c r="L54" i="18"/>
  <c r="O53" i="18"/>
  <c r="L53" i="18"/>
  <c r="O52" i="18"/>
  <c r="O51" i="18"/>
  <c r="O50" i="18"/>
  <c r="L50" i="18"/>
  <c r="O49" i="18"/>
  <c r="O48" i="18"/>
  <c r="O47" i="18"/>
  <c r="L47" i="18"/>
  <c r="O46" i="18"/>
  <c r="L46" i="18"/>
  <c r="O45" i="18"/>
  <c r="L45" i="18"/>
  <c r="O44" i="18"/>
  <c r="L44" i="18"/>
  <c r="O43" i="18"/>
  <c r="L43" i="18"/>
  <c r="O42" i="18"/>
  <c r="L42" i="18"/>
  <c r="O41" i="18"/>
  <c r="L41" i="18"/>
  <c r="O40" i="18"/>
  <c r="O39" i="18"/>
  <c r="O38" i="18"/>
  <c r="L38" i="18"/>
  <c r="O37" i="18"/>
  <c r="O36" i="18"/>
  <c r="O35" i="18"/>
  <c r="L35" i="18"/>
  <c r="O34" i="18"/>
  <c r="L34" i="18"/>
  <c r="O33" i="18"/>
  <c r="L33" i="18"/>
  <c r="O32" i="18"/>
  <c r="L32" i="18"/>
  <c r="O31" i="18"/>
  <c r="L31" i="18"/>
  <c r="O30" i="18"/>
  <c r="L30" i="18"/>
  <c r="O29" i="18"/>
  <c r="L29" i="18"/>
  <c r="O28" i="18"/>
  <c r="O27" i="18"/>
  <c r="O26" i="18"/>
  <c r="L26" i="18"/>
  <c r="O25" i="18"/>
  <c r="O24" i="18"/>
  <c r="O23" i="18"/>
  <c r="L23" i="18"/>
  <c r="O22" i="18"/>
  <c r="L22" i="18"/>
  <c r="O21" i="18"/>
  <c r="L21" i="18"/>
  <c r="O20" i="18"/>
  <c r="L20" i="18"/>
  <c r="O19" i="18"/>
  <c r="L19" i="18"/>
  <c r="O18" i="18"/>
  <c r="L18" i="18"/>
  <c r="O17" i="18"/>
  <c r="L17" i="18"/>
  <c r="O16" i="18"/>
  <c r="L16" i="18"/>
  <c r="C119" i="13"/>
  <c r="O118" i="13"/>
  <c r="O1720" i="20" s="1"/>
  <c r="N118" i="13"/>
  <c r="N1720" i="20" s="1"/>
  <c r="M118" i="13"/>
  <c r="M1720" i="20" s="1"/>
  <c r="L118" i="13"/>
  <c r="L1720" i="20" s="1"/>
  <c r="K118" i="13"/>
  <c r="K1720" i="20" s="1"/>
  <c r="J118" i="13"/>
  <c r="J1720" i="20" s="1"/>
  <c r="I118" i="13"/>
  <c r="I1720" i="20" s="1"/>
  <c r="H118" i="13"/>
  <c r="H1720" i="20" s="1"/>
  <c r="G118" i="13"/>
  <c r="G1720" i="20" s="1"/>
  <c r="F118" i="13"/>
  <c r="F1720" i="20" s="1"/>
  <c r="E118" i="13"/>
  <c r="E1720" i="20" s="1"/>
  <c r="D118" i="13"/>
  <c r="D1720" i="20" s="1"/>
  <c r="O117" i="13"/>
  <c r="O1705" i="20" s="1"/>
  <c r="N117" i="13"/>
  <c r="N1705" i="20" s="1"/>
  <c r="M117" i="13"/>
  <c r="M1705" i="20" s="1"/>
  <c r="L117" i="13"/>
  <c r="L1705" i="20" s="1"/>
  <c r="K117" i="13"/>
  <c r="K1705" i="20" s="1"/>
  <c r="J117" i="13"/>
  <c r="J1705" i="20" s="1"/>
  <c r="I117" i="13"/>
  <c r="I1705" i="20" s="1"/>
  <c r="H117" i="13"/>
  <c r="H1705" i="20" s="1"/>
  <c r="G117" i="13"/>
  <c r="G1705" i="20" s="1"/>
  <c r="F117" i="13"/>
  <c r="F1705" i="20" s="1"/>
  <c r="E117" i="13"/>
  <c r="E1705" i="20" s="1"/>
  <c r="D117" i="13"/>
  <c r="D1705" i="20" s="1"/>
  <c r="O116" i="13"/>
  <c r="O1690" i="20" s="1"/>
  <c r="N116" i="13"/>
  <c r="N1690" i="20" s="1"/>
  <c r="M116" i="13"/>
  <c r="M1690" i="20" s="1"/>
  <c r="L116" i="13"/>
  <c r="L1690" i="20" s="1"/>
  <c r="K116" i="13"/>
  <c r="K1690" i="20" s="1"/>
  <c r="J116" i="13"/>
  <c r="J1690" i="20" s="1"/>
  <c r="I116" i="13"/>
  <c r="I1690" i="20" s="1"/>
  <c r="H116" i="13"/>
  <c r="H1690" i="20" s="1"/>
  <c r="G116" i="13"/>
  <c r="G1690" i="20" s="1"/>
  <c r="F116" i="13"/>
  <c r="F1690" i="20" s="1"/>
  <c r="E116" i="13"/>
  <c r="E1690" i="20" s="1"/>
  <c r="D116" i="13"/>
  <c r="D1690" i="20" s="1"/>
  <c r="O115" i="13"/>
  <c r="O1675" i="20" s="1"/>
  <c r="N115" i="13"/>
  <c r="N1675" i="20" s="1"/>
  <c r="M115" i="13"/>
  <c r="M1675" i="20" s="1"/>
  <c r="L115" i="13"/>
  <c r="L1675" i="20" s="1"/>
  <c r="K115" i="13"/>
  <c r="K1675" i="20" s="1"/>
  <c r="J115" i="13"/>
  <c r="J1675" i="20" s="1"/>
  <c r="I115" i="13"/>
  <c r="I1675" i="20" s="1"/>
  <c r="H115" i="13"/>
  <c r="H1675" i="20" s="1"/>
  <c r="G115" i="13"/>
  <c r="G1675" i="20" s="1"/>
  <c r="F115" i="13"/>
  <c r="F1675" i="20" s="1"/>
  <c r="E115" i="13"/>
  <c r="E1675" i="20" s="1"/>
  <c r="D115" i="13"/>
  <c r="D1675" i="20" s="1"/>
  <c r="O114" i="13"/>
  <c r="O1660" i="20" s="1"/>
  <c r="N114" i="13"/>
  <c r="N1660" i="20" s="1"/>
  <c r="M114" i="13"/>
  <c r="M1660" i="20" s="1"/>
  <c r="L114" i="13"/>
  <c r="L1660" i="20" s="1"/>
  <c r="K114" i="13"/>
  <c r="K1660" i="20" s="1"/>
  <c r="J114" i="13"/>
  <c r="J1660" i="20" s="1"/>
  <c r="I114" i="13"/>
  <c r="I1660" i="20" s="1"/>
  <c r="H114" i="13"/>
  <c r="H1660" i="20" s="1"/>
  <c r="G114" i="13"/>
  <c r="G1660" i="20" s="1"/>
  <c r="F114" i="13"/>
  <c r="F1660" i="20" s="1"/>
  <c r="E114" i="13"/>
  <c r="E1660" i="20" s="1"/>
  <c r="D114" i="13"/>
  <c r="D1660" i="20" s="1"/>
  <c r="O113" i="13"/>
  <c r="O1645" i="20" s="1"/>
  <c r="N113" i="13"/>
  <c r="N1645" i="20" s="1"/>
  <c r="M113" i="13"/>
  <c r="M1645" i="20" s="1"/>
  <c r="L113" i="13"/>
  <c r="L1645" i="20" s="1"/>
  <c r="K113" i="13"/>
  <c r="K1645" i="20" s="1"/>
  <c r="J113" i="13"/>
  <c r="J1645" i="20" s="1"/>
  <c r="I113" i="13"/>
  <c r="I1645" i="20" s="1"/>
  <c r="H113" i="13"/>
  <c r="H1645" i="20" s="1"/>
  <c r="G113" i="13"/>
  <c r="G1645" i="20" s="1"/>
  <c r="F113" i="13"/>
  <c r="F1645" i="20" s="1"/>
  <c r="E113" i="13"/>
  <c r="E1645" i="20" s="1"/>
  <c r="D113" i="13"/>
  <c r="D1645" i="20" s="1"/>
  <c r="O112" i="13"/>
  <c r="O1630" i="20" s="1"/>
  <c r="N112" i="13"/>
  <c r="N1630" i="20" s="1"/>
  <c r="M112" i="13"/>
  <c r="M1630" i="20" s="1"/>
  <c r="L112" i="13"/>
  <c r="L1630" i="20" s="1"/>
  <c r="K112" i="13"/>
  <c r="K1630" i="20" s="1"/>
  <c r="J112" i="13"/>
  <c r="J1630" i="20" s="1"/>
  <c r="I112" i="13"/>
  <c r="I1630" i="20" s="1"/>
  <c r="H112" i="13"/>
  <c r="H1630" i="20" s="1"/>
  <c r="G112" i="13"/>
  <c r="G1630" i="20" s="1"/>
  <c r="F112" i="13"/>
  <c r="F1630" i="20" s="1"/>
  <c r="E112" i="13"/>
  <c r="E1630" i="20" s="1"/>
  <c r="D112" i="13"/>
  <c r="D1630" i="20" s="1"/>
  <c r="O111" i="13"/>
  <c r="O1615" i="20" s="1"/>
  <c r="N111" i="13"/>
  <c r="N1615" i="20" s="1"/>
  <c r="M111" i="13"/>
  <c r="M1615" i="20" s="1"/>
  <c r="L111" i="13"/>
  <c r="L1615" i="20" s="1"/>
  <c r="K111" i="13"/>
  <c r="K1615" i="20" s="1"/>
  <c r="J111" i="13"/>
  <c r="J1615" i="20" s="1"/>
  <c r="I111" i="13"/>
  <c r="I1615" i="20" s="1"/>
  <c r="H111" i="13"/>
  <c r="H1615" i="20" s="1"/>
  <c r="G111" i="13"/>
  <c r="G1615" i="20" s="1"/>
  <c r="F111" i="13"/>
  <c r="F1615" i="20" s="1"/>
  <c r="E111" i="13"/>
  <c r="E1615" i="20" s="1"/>
  <c r="D111" i="13"/>
  <c r="D1615" i="20" s="1"/>
  <c r="O110" i="13"/>
  <c r="O1600" i="20" s="1"/>
  <c r="N110" i="13"/>
  <c r="N1600" i="20" s="1"/>
  <c r="M110" i="13"/>
  <c r="M1600" i="20" s="1"/>
  <c r="L110" i="13"/>
  <c r="L1600" i="20" s="1"/>
  <c r="K110" i="13"/>
  <c r="K1600" i="20" s="1"/>
  <c r="J110" i="13"/>
  <c r="J1600" i="20" s="1"/>
  <c r="I110" i="13"/>
  <c r="I1600" i="20" s="1"/>
  <c r="H110" i="13"/>
  <c r="H1600" i="20" s="1"/>
  <c r="G110" i="13"/>
  <c r="G1600" i="20" s="1"/>
  <c r="F110" i="13"/>
  <c r="F1600" i="20" s="1"/>
  <c r="E110" i="13"/>
  <c r="E1600" i="20" s="1"/>
  <c r="D110" i="13"/>
  <c r="D1600" i="20" s="1"/>
  <c r="O109" i="13"/>
  <c r="O1585" i="20" s="1"/>
  <c r="N109" i="13"/>
  <c r="N1585" i="20" s="1"/>
  <c r="M109" i="13"/>
  <c r="M1585" i="20" s="1"/>
  <c r="L109" i="13"/>
  <c r="L1585" i="20" s="1"/>
  <c r="K109" i="13"/>
  <c r="K1585" i="20" s="1"/>
  <c r="J109" i="13"/>
  <c r="J1585" i="20" s="1"/>
  <c r="I109" i="13"/>
  <c r="I1585" i="20" s="1"/>
  <c r="H109" i="13"/>
  <c r="H1585" i="20" s="1"/>
  <c r="G109" i="13"/>
  <c r="G1585" i="20" s="1"/>
  <c r="F109" i="13"/>
  <c r="F1585" i="20" s="1"/>
  <c r="E109" i="13"/>
  <c r="E1585" i="20" s="1"/>
  <c r="D109" i="13"/>
  <c r="D1585" i="20" s="1"/>
  <c r="O108" i="13"/>
  <c r="O1570" i="20" s="1"/>
  <c r="N108" i="13"/>
  <c r="N1570" i="20" s="1"/>
  <c r="M108" i="13"/>
  <c r="M1570" i="20" s="1"/>
  <c r="L108" i="13"/>
  <c r="L1570" i="20" s="1"/>
  <c r="K108" i="13"/>
  <c r="K1570" i="20" s="1"/>
  <c r="J108" i="13"/>
  <c r="J1570" i="20" s="1"/>
  <c r="I108" i="13"/>
  <c r="I1570" i="20" s="1"/>
  <c r="H108" i="13"/>
  <c r="H1570" i="20" s="1"/>
  <c r="G108" i="13"/>
  <c r="G1570" i="20" s="1"/>
  <c r="F108" i="13"/>
  <c r="F1570" i="20" s="1"/>
  <c r="E108" i="13"/>
  <c r="E1570" i="20" s="1"/>
  <c r="D108" i="13"/>
  <c r="D1570" i="20" s="1"/>
  <c r="O107" i="13"/>
  <c r="O1555" i="20" s="1"/>
  <c r="N107" i="13"/>
  <c r="N1555" i="20" s="1"/>
  <c r="M107" i="13"/>
  <c r="M1555" i="20" s="1"/>
  <c r="L107" i="13"/>
  <c r="L1555" i="20" s="1"/>
  <c r="K107" i="13"/>
  <c r="K1555" i="20" s="1"/>
  <c r="J107" i="13"/>
  <c r="J1555" i="20" s="1"/>
  <c r="I107" i="13"/>
  <c r="I1555" i="20" s="1"/>
  <c r="H107" i="13"/>
  <c r="H1555" i="20" s="1"/>
  <c r="G107" i="13"/>
  <c r="G1555" i="20" s="1"/>
  <c r="F107" i="13"/>
  <c r="F1555" i="20" s="1"/>
  <c r="E107" i="13"/>
  <c r="E1555" i="20" s="1"/>
  <c r="D107" i="13"/>
  <c r="D1555" i="20" s="1"/>
  <c r="O106" i="13"/>
  <c r="O1540" i="20" s="1"/>
  <c r="N106" i="13"/>
  <c r="N1540" i="20" s="1"/>
  <c r="M106" i="13"/>
  <c r="M1540" i="20" s="1"/>
  <c r="L106" i="13"/>
  <c r="L1540" i="20" s="1"/>
  <c r="K106" i="13"/>
  <c r="K1540" i="20" s="1"/>
  <c r="J106" i="13"/>
  <c r="J1540" i="20" s="1"/>
  <c r="I106" i="13"/>
  <c r="I1540" i="20" s="1"/>
  <c r="H106" i="13"/>
  <c r="H1540" i="20" s="1"/>
  <c r="G106" i="13"/>
  <c r="G1540" i="20" s="1"/>
  <c r="F106" i="13"/>
  <c r="F1540" i="20" s="1"/>
  <c r="E106" i="13"/>
  <c r="E1540" i="20" s="1"/>
  <c r="D106" i="13"/>
  <c r="D1540" i="20" s="1"/>
  <c r="O105" i="13"/>
  <c r="O1525" i="20" s="1"/>
  <c r="N105" i="13"/>
  <c r="N1525" i="20" s="1"/>
  <c r="M105" i="13"/>
  <c r="M1525" i="20" s="1"/>
  <c r="L105" i="13"/>
  <c r="L1525" i="20" s="1"/>
  <c r="K105" i="13"/>
  <c r="K1525" i="20" s="1"/>
  <c r="J105" i="13"/>
  <c r="J1525" i="20" s="1"/>
  <c r="I105" i="13"/>
  <c r="I1525" i="20" s="1"/>
  <c r="H105" i="13"/>
  <c r="H1525" i="20" s="1"/>
  <c r="G105" i="13"/>
  <c r="G1525" i="20" s="1"/>
  <c r="F105" i="13"/>
  <c r="F1525" i="20" s="1"/>
  <c r="E105" i="13"/>
  <c r="E1525" i="20" s="1"/>
  <c r="D105" i="13"/>
  <c r="D1525" i="20" s="1"/>
  <c r="O104" i="13"/>
  <c r="O1510" i="20" s="1"/>
  <c r="N104" i="13"/>
  <c r="N1510" i="20" s="1"/>
  <c r="M104" i="13"/>
  <c r="M1510" i="20" s="1"/>
  <c r="L104" i="13"/>
  <c r="L1510" i="20" s="1"/>
  <c r="K104" i="13"/>
  <c r="K1510" i="20" s="1"/>
  <c r="J104" i="13"/>
  <c r="J1510" i="20" s="1"/>
  <c r="I104" i="13"/>
  <c r="I1510" i="20" s="1"/>
  <c r="H104" i="13"/>
  <c r="H1510" i="20" s="1"/>
  <c r="G104" i="13"/>
  <c r="G1510" i="20" s="1"/>
  <c r="F104" i="13"/>
  <c r="F1510" i="20" s="1"/>
  <c r="E104" i="13"/>
  <c r="E1510" i="20" s="1"/>
  <c r="D104" i="13"/>
  <c r="D1510" i="20" s="1"/>
  <c r="O103" i="13"/>
  <c r="O1495" i="20" s="1"/>
  <c r="N103" i="13"/>
  <c r="N1495" i="20" s="1"/>
  <c r="M103" i="13"/>
  <c r="M1495" i="20" s="1"/>
  <c r="L103" i="13"/>
  <c r="L1495" i="20" s="1"/>
  <c r="K103" i="13"/>
  <c r="K1495" i="20" s="1"/>
  <c r="J103" i="13"/>
  <c r="J1495" i="20" s="1"/>
  <c r="I103" i="13"/>
  <c r="I1495" i="20" s="1"/>
  <c r="H103" i="13"/>
  <c r="H1495" i="20" s="1"/>
  <c r="G103" i="13"/>
  <c r="G1495" i="20" s="1"/>
  <c r="F103" i="13"/>
  <c r="F1495" i="20" s="1"/>
  <c r="E103" i="13"/>
  <c r="E1495" i="20" s="1"/>
  <c r="D103" i="13"/>
  <c r="D1495" i="20" s="1"/>
  <c r="O102" i="13"/>
  <c r="O1480" i="20" s="1"/>
  <c r="N102" i="13"/>
  <c r="N1480" i="20" s="1"/>
  <c r="M102" i="13"/>
  <c r="M1480" i="20" s="1"/>
  <c r="L102" i="13"/>
  <c r="L1480" i="20" s="1"/>
  <c r="K102" i="13"/>
  <c r="K1480" i="20" s="1"/>
  <c r="J102" i="13"/>
  <c r="J1480" i="20" s="1"/>
  <c r="I102" i="13"/>
  <c r="I1480" i="20" s="1"/>
  <c r="H102" i="13"/>
  <c r="H1480" i="20" s="1"/>
  <c r="G102" i="13"/>
  <c r="G1480" i="20" s="1"/>
  <c r="F102" i="13"/>
  <c r="F1480" i="20" s="1"/>
  <c r="E102" i="13"/>
  <c r="E1480" i="20" s="1"/>
  <c r="D102" i="13"/>
  <c r="D1480" i="20" s="1"/>
  <c r="O101" i="13"/>
  <c r="O1465" i="20" s="1"/>
  <c r="N101" i="13"/>
  <c r="N1465" i="20" s="1"/>
  <c r="M101" i="13"/>
  <c r="M1465" i="20" s="1"/>
  <c r="L101" i="13"/>
  <c r="L1465" i="20" s="1"/>
  <c r="K101" i="13"/>
  <c r="K1465" i="20" s="1"/>
  <c r="J101" i="13"/>
  <c r="J1465" i="20" s="1"/>
  <c r="I101" i="13"/>
  <c r="I1465" i="20" s="1"/>
  <c r="H101" i="13"/>
  <c r="H1465" i="20" s="1"/>
  <c r="G101" i="13"/>
  <c r="G1465" i="20" s="1"/>
  <c r="F101" i="13"/>
  <c r="F1465" i="20" s="1"/>
  <c r="E101" i="13"/>
  <c r="E1465" i="20" s="1"/>
  <c r="D101" i="13"/>
  <c r="D1465" i="20" s="1"/>
  <c r="O100" i="13"/>
  <c r="O1450" i="20" s="1"/>
  <c r="N100" i="13"/>
  <c r="N1450" i="20" s="1"/>
  <c r="M100" i="13"/>
  <c r="M1450" i="20" s="1"/>
  <c r="L100" i="13"/>
  <c r="L1450" i="20" s="1"/>
  <c r="K100" i="13"/>
  <c r="K1450" i="20" s="1"/>
  <c r="J100" i="13"/>
  <c r="J1450" i="20" s="1"/>
  <c r="I100" i="13"/>
  <c r="I1450" i="20" s="1"/>
  <c r="H100" i="13"/>
  <c r="H1450" i="20" s="1"/>
  <c r="G100" i="13"/>
  <c r="G1450" i="20" s="1"/>
  <c r="F100" i="13"/>
  <c r="F1450" i="20" s="1"/>
  <c r="E100" i="13"/>
  <c r="E1450" i="20" s="1"/>
  <c r="D100" i="13"/>
  <c r="D1450" i="20" s="1"/>
  <c r="O99" i="13"/>
  <c r="O1435" i="20" s="1"/>
  <c r="N99" i="13"/>
  <c r="N1435" i="20" s="1"/>
  <c r="M99" i="13"/>
  <c r="M1435" i="20" s="1"/>
  <c r="L99" i="13"/>
  <c r="L1435" i="20" s="1"/>
  <c r="K99" i="13"/>
  <c r="K1435" i="20" s="1"/>
  <c r="J99" i="13"/>
  <c r="J1435" i="20" s="1"/>
  <c r="I99" i="13"/>
  <c r="I1435" i="20" s="1"/>
  <c r="H99" i="13"/>
  <c r="H1435" i="20" s="1"/>
  <c r="G99" i="13"/>
  <c r="G1435" i="20" s="1"/>
  <c r="F99" i="13"/>
  <c r="F1435" i="20" s="1"/>
  <c r="E99" i="13"/>
  <c r="E1435" i="20" s="1"/>
  <c r="D99" i="13"/>
  <c r="D1435" i="20" s="1"/>
  <c r="O98" i="13"/>
  <c r="O1420" i="20" s="1"/>
  <c r="N98" i="13"/>
  <c r="N1420" i="20" s="1"/>
  <c r="M98" i="13"/>
  <c r="M1420" i="20" s="1"/>
  <c r="L98" i="13"/>
  <c r="L1420" i="20" s="1"/>
  <c r="K98" i="13"/>
  <c r="K1420" i="20" s="1"/>
  <c r="J98" i="13"/>
  <c r="J1420" i="20" s="1"/>
  <c r="I98" i="13"/>
  <c r="I1420" i="20" s="1"/>
  <c r="H98" i="13"/>
  <c r="H1420" i="20" s="1"/>
  <c r="G98" i="13"/>
  <c r="G1420" i="20" s="1"/>
  <c r="F98" i="13"/>
  <c r="F1420" i="20" s="1"/>
  <c r="E98" i="13"/>
  <c r="E1420" i="20" s="1"/>
  <c r="D98" i="13"/>
  <c r="D1420" i="20" s="1"/>
  <c r="O97" i="13"/>
  <c r="O1405" i="20" s="1"/>
  <c r="N97" i="13"/>
  <c r="N1405" i="20" s="1"/>
  <c r="M97" i="13"/>
  <c r="M1405" i="20" s="1"/>
  <c r="L97" i="13"/>
  <c r="L1405" i="20" s="1"/>
  <c r="K97" i="13"/>
  <c r="K1405" i="20" s="1"/>
  <c r="J97" i="13"/>
  <c r="J1405" i="20" s="1"/>
  <c r="I97" i="13"/>
  <c r="I1405" i="20" s="1"/>
  <c r="H97" i="13"/>
  <c r="H1405" i="20" s="1"/>
  <c r="G97" i="13"/>
  <c r="G1405" i="20" s="1"/>
  <c r="F97" i="13"/>
  <c r="F1405" i="20" s="1"/>
  <c r="E97" i="13"/>
  <c r="E1405" i="20" s="1"/>
  <c r="D97" i="13"/>
  <c r="D1405" i="20" s="1"/>
  <c r="O96" i="13"/>
  <c r="O1390" i="20" s="1"/>
  <c r="N96" i="13"/>
  <c r="N1390" i="20" s="1"/>
  <c r="M96" i="13"/>
  <c r="M1390" i="20" s="1"/>
  <c r="L96" i="13"/>
  <c r="L1390" i="20" s="1"/>
  <c r="K96" i="13"/>
  <c r="K1390" i="20" s="1"/>
  <c r="J96" i="13"/>
  <c r="J1390" i="20" s="1"/>
  <c r="I96" i="13"/>
  <c r="I1390" i="20" s="1"/>
  <c r="H96" i="13"/>
  <c r="H1390" i="20" s="1"/>
  <c r="G96" i="13"/>
  <c r="G1390" i="20" s="1"/>
  <c r="F96" i="13"/>
  <c r="F1390" i="20" s="1"/>
  <c r="E96" i="13"/>
  <c r="E1390" i="20" s="1"/>
  <c r="D96" i="13"/>
  <c r="D1390" i="20" s="1"/>
  <c r="O95" i="13"/>
  <c r="O1375" i="20" s="1"/>
  <c r="N95" i="13"/>
  <c r="N1375" i="20" s="1"/>
  <c r="M95" i="13"/>
  <c r="M1375" i="20" s="1"/>
  <c r="L95" i="13"/>
  <c r="L1375" i="20" s="1"/>
  <c r="K95" i="13"/>
  <c r="K1375" i="20" s="1"/>
  <c r="J95" i="13"/>
  <c r="J1375" i="20" s="1"/>
  <c r="I95" i="13"/>
  <c r="I1375" i="20" s="1"/>
  <c r="H95" i="13"/>
  <c r="H1375" i="20" s="1"/>
  <c r="G95" i="13"/>
  <c r="G1375" i="20" s="1"/>
  <c r="F95" i="13"/>
  <c r="F1375" i="20" s="1"/>
  <c r="E95" i="13"/>
  <c r="E1375" i="20" s="1"/>
  <c r="D95" i="13"/>
  <c r="D1375" i="20" s="1"/>
  <c r="O94" i="13"/>
  <c r="O1360" i="20" s="1"/>
  <c r="N94" i="13"/>
  <c r="N1360" i="20" s="1"/>
  <c r="M94" i="13"/>
  <c r="M1360" i="20" s="1"/>
  <c r="L94" i="13"/>
  <c r="L1360" i="20" s="1"/>
  <c r="K94" i="13"/>
  <c r="K1360" i="20" s="1"/>
  <c r="J94" i="13"/>
  <c r="J1360" i="20" s="1"/>
  <c r="I94" i="13"/>
  <c r="I1360" i="20" s="1"/>
  <c r="H94" i="13"/>
  <c r="H1360" i="20" s="1"/>
  <c r="G94" i="13"/>
  <c r="G1360" i="20" s="1"/>
  <c r="F94" i="13"/>
  <c r="F1360" i="20" s="1"/>
  <c r="E94" i="13"/>
  <c r="E1360" i="20" s="1"/>
  <c r="D94" i="13"/>
  <c r="D1360" i="20" s="1"/>
  <c r="O93" i="13"/>
  <c r="O1345" i="20" s="1"/>
  <c r="N93" i="13"/>
  <c r="N1345" i="20" s="1"/>
  <c r="M93" i="13"/>
  <c r="M1345" i="20" s="1"/>
  <c r="L93" i="13"/>
  <c r="L1345" i="20" s="1"/>
  <c r="K93" i="13"/>
  <c r="K1345" i="20" s="1"/>
  <c r="J93" i="13"/>
  <c r="J1345" i="20" s="1"/>
  <c r="I93" i="13"/>
  <c r="I1345" i="20" s="1"/>
  <c r="H93" i="13"/>
  <c r="H1345" i="20" s="1"/>
  <c r="G93" i="13"/>
  <c r="G1345" i="20" s="1"/>
  <c r="F93" i="13"/>
  <c r="F1345" i="20" s="1"/>
  <c r="E93" i="13"/>
  <c r="E1345" i="20" s="1"/>
  <c r="D93" i="13"/>
  <c r="D1345" i="20" s="1"/>
  <c r="O92" i="13"/>
  <c r="O1330" i="20" s="1"/>
  <c r="N92" i="13"/>
  <c r="N1330" i="20" s="1"/>
  <c r="M92" i="13"/>
  <c r="M1330" i="20" s="1"/>
  <c r="L92" i="13"/>
  <c r="L1330" i="20" s="1"/>
  <c r="K92" i="13"/>
  <c r="K1330" i="20" s="1"/>
  <c r="J92" i="13"/>
  <c r="J1330" i="20" s="1"/>
  <c r="I92" i="13"/>
  <c r="I1330" i="20" s="1"/>
  <c r="H92" i="13"/>
  <c r="H1330" i="20" s="1"/>
  <c r="G92" i="13"/>
  <c r="G1330" i="20" s="1"/>
  <c r="F92" i="13"/>
  <c r="F1330" i="20" s="1"/>
  <c r="E92" i="13"/>
  <c r="E1330" i="20" s="1"/>
  <c r="D92" i="13"/>
  <c r="D1330" i="20" s="1"/>
  <c r="O91" i="13"/>
  <c r="O1315" i="20" s="1"/>
  <c r="N91" i="13"/>
  <c r="N1315" i="20" s="1"/>
  <c r="M91" i="13"/>
  <c r="M1315" i="20" s="1"/>
  <c r="L91" i="13"/>
  <c r="L1315" i="20" s="1"/>
  <c r="K91" i="13"/>
  <c r="K1315" i="20" s="1"/>
  <c r="J91" i="13"/>
  <c r="J1315" i="20" s="1"/>
  <c r="I91" i="13"/>
  <c r="I1315" i="20" s="1"/>
  <c r="H91" i="13"/>
  <c r="H1315" i="20" s="1"/>
  <c r="G91" i="13"/>
  <c r="G1315" i="20" s="1"/>
  <c r="F91" i="13"/>
  <c r="F1315" i="20" s="1"/>
  <c r="E91" i="13"/>
  <c r="E1315" i="20" s="1"/>
  <c r="D91" i="13"/>
  <c r="D1315" i="20" s="1"/>
  <c r="O90" i="13"/>
  <c r="O1300" i="20" s="1"/>
  <c r="N90" i="13"/>
  <c r="N1300" i="20" s="1"/>
  <c r="M90" i="13"/>
  <c r="M1300" i="20" s="1"/>
  <c r="L90" i="13"/>
  <c r="L1300" i="20" s="1"/>
  <c r="K90" i="13"/>
  <c r="K1300" i="20" s="1"/>
  <c r="J90" i="13"/>
  <c r="J1300" i="20" s="1"/>
  <c r="I90" i="13"/>
  <c r="I1300" i="20" s="1"/>
  <c r="H90" i="13"/>
  <c r="H1300" i="20" s="1"/>
  <c r="G90" i="13"/>
  <c r="G1300" i="20" s="1"/>
  <c r="F90" i="13"/>
  <c r="F1300" i="20" s="1"/>
  <c r="E90" i="13"/>
  <c r="E1300" i="20" s="1"/>
  <c r="D90" i="13"/>
  <c r="D1300" i="20" s="1"/>
  <c r="O89" i="13"/>
  <c r="O1285" i="20" s="1"/>
  <c r="N89" i="13"/>
  <c r="N1285" i="20" s="1"/>
  <c r="M89" i="13"/>
  <c r="M1285" i="20" s="1"/>
  <c r="L89" i="13"/>
  <c r="L1285" i="20" s="1"/>
  <c r="K89" i="13"/>
  <c r="K1285" i="20" s="1"/>
  <c r="J89" i="13"/>
  <c r="J1285" i="20" s="1"/>
  <c r="I89" i="13"/>
  <c r="I1285" i="20" s="1"/>
  <c r="H89" i="13"/>
  <c r="H1285" i="20" s="1"/>
  <c r="G89" i="13"/>
  <c r="G1285" i="20" s="1"/>
  <c r="F89" i="13"/>
  <c r="F1285" i="20" s="1"/>
  <c r="E89" i="13"/>
  <c r="E1285" i="20" s="1"/>
  <c r="D89" i="13"/>
  <c r="D1285" i="20" s="1"/>
  <c r="O88" i="13"/>
  <c r="O1270" i="20" s="1"/>
  <c r="N88" i="13"/>
  <c r="N1270" i="20" s="1"/>
  <c r="M88" i="13"/>
  <c r="M1270" i="20" s="1"/>
  <c r="L88" i="13"/>
  <c r="L1270" i="20" s="1"/>
  <c r="K88" i="13"/>
  <c r="K1270" i="20" s="1"/>
  <c r="J88" i="13"/>
  <c r="J1270" i="20" s="1"/>
  <c r="I88" i="13"/>
  <c r="I1270" i="20" s="1"/>
  <c r="H88" i="13"/>
  <c r="H1270" i="20" s="1"/>
  <c r="G88" i="13"/>
  <c r="G1270" i="20" s="1"/>
  <c r="F88" i="13"/>
  <c r="F1270" i="20" s="1"/>
  <c r="E88" i="13"/>
  <c r="E1270" i="20" s="1"/>
  <c r="D88" i="13"/>
  <c r="D1270" i="20" s="1"/>
  <c r="O87" i="13"/>
  <c r="O1255" i="20" s="1"/>
  <c r="N87" i="13"/>
  <c r="N1255" i="20" s="1"/>
  <c r="M87" i="13"/>
  <c r="M1255" i="20" s="1"/>
  <c r="L87" i="13"/>
  <c r="L1255" i="20" s="1"/>
  <c r="K87" i="13"/>
  <c r="K1255" i="20" s="1"/>
  <c r="J87" i="13"/>
  <c r="J1255" i="20" s="1"/>
  <c r="I87" i="13"/>
  <c r="I1255" i="20" s="1"/>
  <c r="H87" i="13"/>
  <c r="H1255" i="20" s="1"/>
  <c r="G87" i="13"/>
  <c r="G1255" i="20" s="1"/>
  <c r="F87" i="13"/>
  <c r="F1255" i="20" s="1"/>
  <c r="E87" i="13"/>
  <c r="E1255" i="20" s="1"/>
  <c r="D87" i="13"/>
  <c r="D1255" i="20" s="1"/>
  <c r="O86" i="13"/>
  <c r="O1240" i="20" s="1"/>
  <c r="N86" i="13"/>
  <c r="N1240" i="20" s="1"/>
  <c r="M86" i="13"/>
  <c r="M1240" i="20" s="1"/>
  <c r="L86" i="13"/>
  <c r="L1240" i="20" s="1"/>
  <c r="K86" i="13"/>
  <c r="K1240" i="20" s="1"/>
  <c r="J86" i="13"/>
  <c r="J1240" i="20" s="1"/>
  <c r="I86" i="13"/>
  <c r="I1240" i="20" s="1"/>
  <c r="H86" i="13"/>
  <c r="H1240" i="20" s="1"/>
  <c r="G86" i="13"/>
  <c r="G1240" i="20" s="1"/>
  <c r="F86" i="13"/>
  <c r="F1240" i="20" s="1"/>
  <c r="E86" i="13"/>
  <c r="E1240" i="20" s="1"/>
  <c r="D86" i="13"/>
  <c r="D1240" i="20" s="1"/>
  <c r="O85" i="13"/>
  <c r="O1225" i="20" s="1"/>
  <c r="N85" i="13"/>
  <c r="N1225" i="20" s="1"/>
  <c r="M85" i="13"/>
  <c r="M1225" i="20" s="1"/>
  <c r="L85" i="13"/>
  <c r="L1225" i="20" s="1"/>
  <c r="K85" i="13"/>
  <c r="K1225" i="20" s="1"/>
  <c r="J85" i="13"/>
  <c r="J1225" i="20" s="1"/>
  <c r="I85" i="13"/>
  <c r="I1225" i="20" s="1"/>
  <c r="H85" i="13"/>
  <c r="H1225" i="20" s="1"/>
  <c r="G85" i="13"/>
  <c r="G1225" i="20" s="1"/>
  <c r="F85" i="13"/>
  <c r="F1225" i="20" s="1"/>
  <c r="E85" i="13"/>
  <c r="E1225" i="20" s="1"/>
  <c r="D85" i="13"/>
  <c r="D1225" i="20" s="1"/>
  <c r="O84" i="13"/>
  <c r="O1210" i="20" s="1"/>
  <c r="N84" i="13"/>
  <c r="N1210" i="20" s="1"/>
  <c r="M84" i="13"/>
  <c r="M1210" i="20" s="1"/>
  <c r="L84" i="13"/>
  <c r="L1210" i="20" s="1"/>
  <c r="K84" i="13"/>
  <c r="K1210" i="20" s="1"/>
  <c r="J84" i="13"/>
  <c r="J1210" i="20" s="1"/>
  <c r="I84" i="13"/>
  <c r="I1210" i="20" s="1"/>
  <c r="H84" i="13"/>
  <c r="H1210" i="20" s="1"/>
  <c r="G84" i="13"/>
  <c r="G1210" i="20" s="1"/>
  <c r="F84" i="13"/>
  <c r="F1210" i="20" s="1"/>
  <c r="E84" i="13"/>
  <c r="E1210" i="20" s="1"/>
  <c r="D84" i="13"/>
  <c r="D1210" i="20" s="1"/>
  <c r="O83" i="13"/>
  <c r="O1195" i="20" s="1"/>
  <c r="N83" i="13"/>
  <c r="N1195" i="20" s="1"/>
  <c r="M83" i="13"/>
  <c r="M1195" i="20" s="1"/>
  <c r="L83" i="13"/>
  <c r="L1195" i="20" s="1"/>
  <c r="K83" i="13"/>
  <c r="K1195" i="20" s="1"/>
  <c r="J83" i="13"/>
  <c r="J1195" i="20" s="1"/>
  <c r="I83" i="13"/>
  <c r="I1195" i="20" s="1"/>
  <c r="H83" i="13"/>
  <c r="H1195" i="20" s="1"/>
  <c r="G83" i="13"/>
  <c r="G1195" i="20" s="1"/>
  <c r="F83" i="13"/>
  <c r="F1195" i="20" s="1"/>
  <c r="E83" i="13"/>
  <c r="E1195" i="20" s="1"/>
  <c r="D83" i="13"/>
  <c r="D1195" i="20" s="1"/>
  <c r="O82" i="13"/>
  <c r="O1180" i="20" s="1"/>
  <c r="N82" i="13"/>
  <c r="N1180" i="20" s="1"/>
  <c r="M82" i="13"/>
  <c r="M1180" i="20" s="1"/>
  <c r="L82" i="13"/>
  <c r="L1180" i="20" s="1"/>
  <c r="K82" i="13"/>
  <c r="K1180" i="20" s="1"/>
  <c r="J82" i="13"/>
  <c r="J1180" i="20" s="1"/>
  <c r="I82" i="13"/>
  <c r="I1180" i="20" s="1"/>
  <c r="H82" i="13"/>
  <c r="H1180" i="20" s="1"/>
  <c r="G82" i="13"/>
  <c r="G1180" i="20" s="1"/>
  <c r="F82" i="13"/>
  <c r="F1180" i="20" s="1"/>
  <c r="E82" i="13"/>
  <c r="E1180" i="20" s="1"/>
  <c r="D82" i="13"/>
  <c r="D1180" i="20" s="1"/>
  <c r="O81" i="13"/>
  <c r="O1165" i="20" s="1"/>
  <c r="N81" i="13"/>
  <c r="N1165" i="20" s="1"/>
  <c r="M81" i="13"/>
  <c r="M1165" i="20" s="1"/>
  <c r="L81" i="13"/>
  <c r="L1165" i="20" s="1"/>
  <c r="K81" i="13"/>
  <c r="K1165" i="20" s="1"/>
  <c r="J81" i="13"/>
  <c r="J1165" i="20" s="1"/>
  <c r="I81" i="13"/>
  <c r="I1165" i="20" s="1"/>
  <c r="H81" i="13"/>
  <c r="H1165" i="20" s="1"/>
  <c r="G81" i="13"/>
  <c r="G1165" i="20" s="1"/>
  <c r="F81" i="13"/>
  <c r="F1165" i="20" s="1"/>
  <c r="E81" i="13"/>
  <c r="E1165" i="20" s="1"/>
  <c r="D81" i="13"/>
  <c r="D1165" i="20" s="1"/>
  <c r="O80" i="13"/>
  <c r="O1150" i="20" s="1"/>
  <c r="N80" i="13"/>
  <c r="N1150" i="20" s="1"/>
  <c r="M80" i="13"/>
  <c r="M1150" i="20" s="1"/>
  <c r="L80" i="13"/>
  <c r="L1150" i="20" s="1"/>
  <c r="K80" i="13"/>
  <c r="K1150" i="20" s="1"/>
  <c r="J80" i="13"/>
  <c r="J1150" i="20" s="1"/>
  <c r="I80" i="13"/>
  <c r="I1150" i="20" s="1"/>
  <c r="H80" i="13"/>
  <c r="H1150" i="20" s="1"/>
  <c r="G80" i="13"/>
  <c r="G1150" i="20" s="1"/>
  <c r="F80" i="13"/>
  <c r="F1150" i="20" s="1"/>
  <c r="E80" i="13"/>
  <c r="E1150" i="20" s="1"/>
  <c r="D80" i="13"/>
  <c r="D1150" i="20" s="1"/>
  <c r="O79" i="13"/>
  <c r="O1135" i="20" s="1"/>
  <c r="N79" i="13"/>
  <c r="N1135" i="20" s="1"/>
  <c r="M79" i="13"/>
  <c r="M1135" i="20" s="1"/>
  <c r="L79" i="13"/>
  <c r="L1135" i="20" s="1"/>
  <c r="K79" i="13"/>
  <c r="K1135" i="20" s="1"/>
  <c r="J79" i="13"/>
  <c r="J1135" i="20" s="1"/>
  <c r="I79" i="13"/>
  <c r="I1135" i="20" s="1"/>
  <c r="H79" i="13"/>
  <c r="H1135" i="20" s="1"/>
  <c r="G79" i="13"/>
  <c r="G1135" i="20" s="1"/>
  <c r="F79" i="13"/>
  <c r="F1135" i="20" s="1"/>
  <c r="E79" i="13"/>
  <c r="E1135" i="20" s="1"/>
  <c r="D79" i="13"/>
  <c r="D1135" i="20" s="1"/>
  <c r="O78" i="13"/>
  <c r="O1120" i="20" s="1"/>
  <c r="N78" i="13"/>
  <c r="N1120" i="20" s="1"/>
  <c r="M78" i="13"/>
  <c r="M1120" i="20" s="1"/>
  <c r="L78" i="13"/>
  <c r="L1120" i="20" s="1"/>
  <c r="K78" i="13"/>
  <c r="K1120" i="20" s="1"/>
  <c r="J78" i="13"/>
  <c r="J1120" i="20" s="1"/>
  <c r="I78" i="13"/>
  <c r="I1120" i="20" s="1"/>
  <c r="H78" i="13"/>
  <c r="H1120" i="20" s="1"/>
  <c r="G78" i="13"/>
  <c r="G1120" i="20" s="1"/>
  <c r="F78" i="13"/>
  <c r="F1120" i="20" s="1"/>
  <c r="E78" i="13"/>
  <c r="E1120" i="20" s="1"/>
  <c r="D78" i="13"/>
  <c r="D1120" i="20" s="1"/>
  <c r="O77" i="13"/>
  <c r="O1105" i="20" s="1"/>
  <c r="N77" i="13"/>
  <c r="N1105" i="20" s="1"/>
  <c r="M77" i="13"/>
  <c r="M1105" i="20" s="1"/>
  <c r="L77" i="13"/>
  <c r="L1105" i="20" s="1"/>
  <c r="K77" i="13"/>
  <c r="K1105" i="20" s="1"/>
  <c r="J77" i="13"/>
  <c r="J1105" i="20" s="1"/>
  <c r="I77" i="13"/>
  <c r="I1105" i="20" s="1"/>
  <c r="H77" i="13"/>
  <c r="H1105" i="20" s="1"/>
  <c r="G77" i="13"/>
  <c r="G1105" i="20" s="1"/>
  <c r="F77" i="13"/>
  <c r="F1105" i="20" s="1"/>
  <c r="E77" i="13"/>
  <c r="E1105" i="20" s="1"/>
  <c r="D77" i="13"/>
  <c r="D1105" i="20" s="1"/>
  <c r="O76" i="13"/>
  <c r="O1090" i="20" s="1"/>
  <c r="N76" i="13"/>
  <c r="N1090" i="20" s="1"/>
  <c r="M76" i="13"/>
  <c r="M1090" i="20" s="1"/>
  <c r="L76" i="13"/>
  <c r="L1090" i="20" s="1"/>
  <c r="K76" i="13"/>
  <c r="K1090" i="20" s="1"/>
  <c r="J76" i="13"/>
  <c r="J1090" i="20" s="1"/>
  <c r="I76" i="13"/>
  <c r="I1090" i="20" s="1"/>
  <c r="H76" i="13"/>
  <c r="H1090" i="20" s="1"/>
  <c r="G76" i="13"/>
  <c r="G1090" i="20" s="1"/>
  <c r="F76" i="13"/>
  <c r="F1090" i="20" s="1"/>
  <c r="E76" i="13"/>
  <c r="E1090" i="20" s="1"/>
  <c r="D76" i="13"/>
  <c r="D1090" i="20" s="1"/>
  <c r="O75" i="13"/>
  <c r="O1075" i="20" s="1"/>
  <c r="N75" i="13"/>
  <c r="N1075" i="20" s="1"/>
  <c r="M75" i="13"/>
  <c r="M1075" i="20" s="1"/>
  <c r="L75" i="13"/>
  <c r="L1075" i="20" s="1"/>
  <c r="K75" i="13"/>
  <c r="K1075" i="20" s="1"/>
  <c r="J75" i="13"/>
  <c r="J1075" i="20" s="1"/>
  <c r="I75" i="13"/>
  <c r="I1075" i="20" s="1"/>
  <c r="H75" i="13"/>
  <c r="H1075" i="20" s="1"/>
  <c r="G75" i="13"/>
  <c r="G1075" i="20" s="1"/>
  <c r="F75" i="13"/>
  <c r="F1075" i="20" s="1"/>
  <c r="E75" i="13"/>
  <c r="E1075" i="20" s="1"/>
  <c r="D75" i="13"/>
  <c r="D1075" i="20" s="1"/>
  <c r="O74" i="13"/>
  <c r="O1060" i="20" s="1"/>
  <c r="N74" i="13"/>
  <c r="N1060" i="20" s="1"/>
  <c r="M74" i="13"/>
  <c r="M1060" i="20" s="1"/>
  <c r="L74" i="13"/>
  <c r="L1060" i="20" s="1"/>
  <c r="K74" i="13"/>
  <c r="K1060" i="20" s="1"/>
  <c r="J74" i="13"/>
  <c r="J1060" i="20" s="1"/>
  <c r="I74" i="13"/>
  <c r="I1060" i="20" s="1"/>
  <c r="H74" i="13"/>
  <c r="H1060" i="20" s="1"/>
  <c r="G74" i="13"/>
  <c r="G1060" i="20" s="1"/>
  <c r="F74" i="13"/>
  <c r="F1060" i="20" s="1"/>
  <c r="E74" i="13"/>
  <c r="E1060" i="20" s="1"/>
  <c r="D74" i="13"/>
  <c r="D1060" i="20" s="1"/>
  <c r="O73" i="13"/>
  <c r="O1045" i="20" s="1"/>
  <c r="N73" i="13"/>
  <c r="N1045" i="20" s="1"/>
  <c r="M73" i="13"/>
  <c r="M1045" i="20" s="1"/>
  <c r="L73" i="13"/>
  <c r="L1045" i="20" s="1"/>
  <c r="K73" i="13"/>
  <c r="K1045" i="20" s="1"/>
  <c r="J73" i="13"/>
  <c r="J1045" i="20" s="1"/>
  <c r="I73" i="13"/>
  <c r="I1045" i="20" s="1"/>
  <c r="H73" i="13"/>
  <c r="H1045" i="20" s="1"/>
  <c r="G73" i="13"/>
  <c r="G1045" i="20" s="1"/>
  <c r="F73" i="13"/>
  <c r="F1045" i="20" s="1"/>
  <c r="E73" i="13"/>
  <c r="E1045" i="20" s="1"/>
  <c r="D73" i="13"/>
  <c r="D1045" i="20" s="1"/>
  <c r="O72" i="13"/>
  <c r="O1030" i="20" s="1"/>
  <c r="N72" i="13"/>
  <c r="N1030" i="20" s="1"/>
  <c r="M72" i="13"/>
  <c r="M1030" i="20" s="1"/>
  <c r="L72" i="13"/>
  <c r="L1030" i="20" s="1"/>
  <c r="K72" i="13"/>
  <c r="K1030" i="20" s="1"/>
  <c r="J72" i="13"/>
  <c r="J1030" i="20" s="1"/>
  <c r="I72" i="13"/>
  <c r="I1030" i="20" s="1"/>
  <c r="H72" i="13"/>
  <c r="H1030" i="20" s="1"/>
  <c r="G72" i="13"/>
  <c r="G1030" i="20" s="1"/>
  <c r="F72" i="13"/>
  <c r="F1030" i="20" s="1"/>
  <c r="E72" i="13"/>
  <c r="E1030" i="20" s="1"/>
  <c r="D72" i="13"/>
  <c r="D1030" i="20" s="1"/>
  <c r="O71" i="13"/>
  <c r="O1015" i="20" s="1"/>
  <c r="N71" i="13"/>
  <c r="N1015" i="20" s="1"/>
  <c r="M71" i="13"/>
  <c r="M1015" i="20" s="1"/>
  <c r="L71" i="13"/>
  <c r="L1015" i="20" s="1"/>
  <c r="K71" i="13"/>
  <c r="K1015" i="20" s="1"/>
  <c r="J71" i="13"/>
  <c r="J1015" i="20" s="1"/>
  <c r="I71" i="13"/>
  <c r="I1015" i="20" s="1"/>
  <c r="H71" i="13"/>
  <c r="H1015" i="20" s="1"/>
  <c r="G71" i="13"/>
  <c r="G1015" i="20" s="1"/>
  <c r="F71" i="13"/>
  <c r="F1015" i="20" s="1"/>
  <c r="E71" i="13"/>
  <c r="E1015" i="20" s="1"/>
  <c r="D71" i="13"/>
  <c r="D1015" i="20" s="1"/>
  <c r="O70" i="13"/>
  <c r="O1000" i="20" s="1"/>
  <c r="N70" i="13"/>
  <c r="N1000" i="20" s="1"/>
  <c r="M70" i="13"/>
  <c r="M1000" i="20" s="1"/>
  <c r="L70" i="13"/>
  <c r="L1000" i="20" s="1"/>
  <c r="K70" i="13"/>
  <c r="K1000" i="20" s="1"/>
  <c r="J70" i="13"/>
  <c r="J1000" i="20" s="1"/>
  <c r="I70" i="13"/>
  <c r="I1000" i="20" s="1"/>
  <c r="H70" i="13"/>
  <c r="H1000" i="20" s="1"/>
  <c r="G70" i="13"/>
  <c r="G1000" i="20" s="1"/>
  <c r="F70" i="13"/>
  <c r="F1000" i="20" s="1"/>
  <c r="E70" i="13"/>
  <c r="E1000" i="20" s="1"/>
  <c r="D70" i="13"/>
  <c r="D1000" i="20" s="1"/>
  <c r="O69" i="13"/>
  <c r="O985" i="20" s="1"/>
  <c r="N69" i="13"/>
  <c r="N985" i="20" s="1"/>
  <c r="M69" i="13"/>
  <c r="M985" i="20" s="1"/>
  <c r="L69" i="13"/>
  <c r="L985" i="20" s="1"/>
  <c r="K69" i="13"/>
  <c r="K985" i="20" s="1"/>
  <c r="J69" i="13"/>
  <c r="J985" i="20" s="1"/>
  <c r="I69" i="13"/>
  <c r="I985" i="20" s="1"/>
  <c r="H69" i="13"/>
  <c r="H985" i="20" s="1"/>
  <c r="G69" i="13"/>
  <c r="G985" i="20" s="1"/>
  <c r="F69" i="13"/>
  <c r="F985" i="20" s="1"/>
  <c r="E69" i="13"/>
  <c r="E985" i="20" s="1"/>
  <c r="D69" i="13"/>
  <c r="D985" i="20" s="1"/>
  <c r="O68" i="13"/>
  <c r="O970" i="20" s="1"/>
  <c r="N68" i="13"/>
  <c r="N970" i="20" s="1"/>
  <c r="M68" i="13"/>
  <c r="M970" i="20" s="1"/>
  <c r="L68" i="13"/>
  <c r="L970" i="20" s="1"/>
  <c r="K68" i="13"/>
  <c r="K970" i="20" s="1"/>
  <c r="J68" i="13"/>
  <c r="J970" i="20" s="1"/>
  <c r="I68" i="13"/>
  <c r="I970" i="20" s="1"/>
  <c r="H68" i="13"/>
  <c r="H970" i="20" s="1"/>
  <c r="G68" i="13"/>
  <c r="G970" i="20" s="1"/>
  <c r="F68" i="13"/>
  <c r="F970" i="20" s="1"/>
  <c r="E68" i="13"/>
  <c r="E970" i="20" s="1"/>
  <c r="D68" i="13"/>
  <c r="D970" i="20" s="1"/>
  <c r="O67" i="13"/>
  <c r="O955" i="20" s="1"/>
  <c r="N67" i="13"/>
  <c r="N955" i="20" s="1"/>
  <c r="M67" i="13"/>
  <c r="M955" i="20" s="1"/>
  <c r="L67" i="13"/>
  <c r="L955" i="20" s="1"/>
  <c r="K67" i="13"/>
  <c r="K955" i="20" s="1"/>
  <c r="J67" i="13"/>
  <c r="J955" i="20" s="1"/>
  <c r="I67" i="13"/>
  <c r="I955" i="20" s="1"/>
  <c r="H67" i="13"/>
  <c r="H955" i="20" s="1"/>
  <c r="G67" i="13"/>
  <c r="G955" i="20" s="1"/>
  <c r="F67" i="13"/>
  <c r="F955" i="20" s="1"/>
  <c r="E67" i="13"/>
  <c r="E955" i="20" s="1"/>
  <c r="D67" i="13"/>
  <c r="D955" i="20" s="1"/>
  <c r="O66" i="13"/>
  <c r="O940" i="20" s="1"/>
  <c r="N66" i="13"/>
  <c r="N940" i="20" s="1"/>
  <c r="M66" i="13"/>
  <c r="M940" i="20" s="1"/>
  <c r="L66" i="13"/>
  <c r="L940" i="20" s="1"/>
  <c r="K66" i="13"/>
  <c r="K940" i="20" s="1"/>
  <c r="J66" i="13"/>
  <c r="J940" i="20" s="1"/>
  <c r="I66" i="13"/>
  <c r="I940" i="20" s="1"/>
  <c r="H66" i="13"/>
  <c r="H940" i="20" s="1"/>
  <c r="G66" i="13"/>
  <c r="G940" i="20" s="1"/>
  <c r="F66" i="13"/>
  <c r="F940" i="20" s="1"/>
  <c r="E66" i="13"/>
  <c r="E940" i="20" s="1"/>
  <c r="D66" i="13"/>
  <c r="D940" i="20" s="1"/>
  <c r="O65" i="13"/>
  <c r="O925" i="20" s="1"/>
  <c r="N65" i="13"/>
  <c r="N925" i="20" s="1"/>
  <c r="M65" i="13"/>
  <c r="M925" i="20" s="1"/>
  <c r="L65" i="13"/>
  <c r="L925" i="20" s="1"/>
  <c r="K65" i="13"/>
  <c r="K925" i="20" s="1"/>
  <c r="J65" i="13"/>
  <c r="J925" i="20" s="1"/>
  <c r="I65" i="13"/>
  <c r="I925" i="20" s="1"/>
  <c r="H65" i="13"/>
  <c r="H925" i="20" s="1"/>
  <c r="G65" i="13"/>
  <c r="G925" i="20" s="1"/>
  <c r="F65" i="13"/>
  <c r="F925" i="20" s="1"/>
  <c r="E65" i="13"/>
  <c r="E925" i="20" s="1"/>
  <c r="D65" i="13"/>
  <c r="D925" i="20" s="1"/>
  <c r="O64" i="13"/>
  <c r="O910" i="20" s="1"/>
  <c r="N64" i="13"/>
  <c r="N910" i="20" s="1"/>
  <c r="M64" i="13"/>
  <c r="M910" i="20" s="1"/>
  <c r="L64" i="13"/>
  <c r="L910" i="20" s="1"/>
  <c r="K64" i="13"/>
  <c r="K910" i="20" s="1"/>
  <c r="J64" i="13"/>
  <c r="J910" i="20" s="1"/>
  <c r="I64" i="13"/>
  <c r="I910" i="20" s="1"/>
  <c r="H64" i="13"/>
  <c r="H910" i="20" s="1"/>
  <c r="G64" i="13"/>
  <c r="G910" i="20" s="1"/>
  <c r="F64" i="13"/>
  <c r="F910" i="20" s="1"/>
  <c r="E64" i="13"/>
  <c r="E910" i="20" s="1"/>
  <c r="D64" i="13"/>
  <c r="D910" i="20" s="1"/>
  <c r="O63" i="13"/>
  <c r="O895" i="20" s="1"/>
  <c r="N63" i="13"/>
  <c r="N895" i="20" s="1"/>
  <c r="M63" i="13"/>
  <c r="M895" i="20" s="1"/>
  <c r="L63" i="13"/>
  <c r="L895" i="20" s="1"/>
  <c r="K63" i="13"/>
  <c r="K895" i="20" s="1"/>
  <c r="J63" i="13"/>
  <c r="J895" i="20" s="1"/>
  <c r="I63" i="13"/>
  <c r="I895" i="20" s="1"/>
  <c r="H63" i="13"/>
  <c r="H895" i="20" s="1"/>
  <c r="G63" i="13"/>
  <c r="G895" i="20" s="1"/>
  <c r="F63" i="13"/>
  <c r="F895" i="20" s="1"/>
  <c r="E63" i="13"/>
  <c r="E895" i="20" s="1"/>
  <c r="D63" i="13"/>
  <c r="D895" i="20" s="1"/>
  <c r="O62" i="13"/>
  <c r="O880" i="20" s="1"/>
  <c r="N62" i="13"/>
  <c r="N880" i="20" s="1"/>
  <c r="M62" i="13"/>
  <c r="M880" i="20" s="1"/>
  <c r="L62" i="13"/>
  <c r="L880" i="20" s="1"/>
  <c r="K62" i="13"/>
  <c r="K880" i="20" s="1"/>
  <c r="J62" i="13"/>
  <c r="J880" i="20" s="1"/>
  <c r="I62" i="13"/>
  <c r="I880" i="20" s="1"/>
  <c r="H62" i="13"/>
  <c r="H880" i="20" s="1"/>
  <c r="G62" i="13"/>
  <c r="G880" i="20" s="1"/>
  <c r="F62" i="13"/>
  <c r="F880" i="20" s="1"/>
  <c r="E62" i="13"/>
  <c r="E880" i="20" s="1"/>
  <c r="D62" i="13"/>
  <c r="D880" i="20" s="1"/>
  <c r="O61" i="13"/>
  <c r="O865" i="20" s="1"/>
  <c r="N61" i="13"/>
  <c r="N865" i="20" s="1"/>
  <c r="M61" i="13"/>
  <c r="M865" i="20" s="1"/>
  <c r="L61" i="13"/>
  <c r="L865" i="20" s="1"/>
  <c r="K61" i="13"/>
  <c r="K865" i="20" s="1"/>
  <c r="J61" i="13"/>
  <c r="J865" i="20" s="1"/>
  <c r="I61" i="13"/>
  <c r="I865" i="20" s="1"/>
  <c r="H61" i="13"/>
  <c r="H865" i="20" s="1"/>
  <c r="G61" i="13"/>
  <c r="G865" i="20" s="1"/>
  <c r="F61" i="13"/>
  <c r="F865" i="20" s="1"/>
  <c r="E61" i="13"/>
  <c r="E865" i="20" s="1"/>
  <c r="D61" i="13"/>
  <c r="D865" i="20" s="1"/>
  <c r="O60" i="13"/>
  <c r="O850" i="20" s="1"/>
  <c r="N60" i="13"/>
  <c r="N850" i="20" s="1"/>
  <c r="M60" i="13"/>
  <c r="M850" i="20" s="1"/>
  <c r="L60" i="13"/>
  <c r="L850" i="20" s="1"/>
  <c r="K60" i="13"/>
  <c r="K850" i="20" s="1"/>
  <c r="J60" i="13"/>
  <c r="J850" i="20" s="1"/>
  <c r="I60" i="13"/>
  <c r="I850" i="20" s="1"/>
  <c r="H60" i="13"/>
  <c r="H850" i="20" s="1"/>
  <c r="G60" i="13"/>
  <c r="G850" i="20" s="1"/>
  <c r="F60" i="13"/>
  <c r="F850" i="20" s="1"/>
  <c r="E60" i="13"/>
  <c r="E850" i="20" s="1"/>
  <c r="D60" i="13"/>
  <c r="D850" i="20" s="1"/>
  <c r="O59" i="13"/>
  <c r="O835" i="20" s="1"/>
  <c r="N59" i="13"/>
  <c r="N835" i="20" s="1"/>
  <c r="M59" i="13"/>
  <c r="M835" i="20" s="1"/>
  <c r="L59" i="13"/>
  <c r="L835" i="20" s="1"/>
  <c r="K59" i="13"/>
  <c r="K835" i="20" s="1"/>
  <c r="J59" i="13"/>
  <c r="J835" i="20" s="1"/>
  <c r="I59" i="13"/>
  <c r="I835" i="20" s="1"/>
  <c r="H59" i="13"/>
  <c r="H835" i="20" s="1"/>
  <c r="G59" i="13"/>
  <c r="G835" i="20" s="1"/>
  <c r="F59" i="13"/>
  <c r="F835" i="20" s="1"/>
  <c r="E59" i="13"/>
  <c r="E835" i="20" s="1"/>
  <c r="D59" i="13"/>
  <c r="D835" i="20" s="1"/>
  <c r="O58" i="13"/>
  <c r="O820" i="20" s="1"/>
  <c r="N58" i="13"/>
  <c r="N820" i="20" s="1"/>
  <c r="M58" i="13"/>
  <c r="M820" i="20" s="1"/>
  <c r="L58" i="13"/>
  <c r="L820" i="20" s="1"/>
  <c r="K58" i="13"/>
  <c r="K820" i="20" s="1"/>
  <c r="J58" i="13"/>
  <c r="J820" i="20" s="1"/>
  <c r="I58" i="13"/>
  <c r="I820" i="20" s="1"/>
  <c r="H58" i="13"/>
  <c r="H820" i="20" s="1"/>
  <c r="G58" i="13"/>
  <c r="G820" i="20" s="1"/>
  <c r="F58" i="13"/>
  <c r="F820" i="20" s="1"/>
  <c r="E58" i="13"/>
  <c r="E820" i="20" s="1"/>
  <c r="D58" i="13"/>
  <c r="D820" i="20" s="1"/>
  <c r="O57" i="13"/>
  <c r="O805" i="20" s="1"/>
  <c r="N57" i="13"/>
  <c r="N805" i="20" s="1"/>
  <c r="M57" i="13"/>
  <c r="M805" i="20" s="1"/>
  <c r="L57" i="13"/>
  <c r="L805" i="20" s="1"/>
  <c r="K57" i="13"/>
  <c r="K805" i="20" s="1"/>
  <c r="J57" i="13"/>
  <c r="J805" i="20" s="1"/>
  <c r="I57" i="13"/>
  <c r="I805" i="20" s="1"/>
  <c r="H57" i="13"/>
  <c r="H805" i="20" s="1"/>
  <c r="G57" i="13"/>
  <c r="G805" i="20" s="1"/>
  <c r="F57" i="13"/>
  <c r="F805" i="20" s="1"/>
  <c r="E57" i="13"/>
  <c r="E805" i="20" s="1"/>
  <c r="D57" i="13"/>
  <c r="D805" i="20" s="1"/>
  <c r="O56" i="13"/>
  <c r="O790" i="20" s="1"/>
  <c r="N56" i="13"/>
  <c r="N790" i="20" s="1"/>
  <c r="M56" i="13"/>
  <c r="M790" i="20" s="1"/>
  <c r="L56" i="13"/>
  <c r="L790" i="20" s="1"/>
  <c r="K56" i="13"/>
  <c r="K790" i="20" s="1"/>
  <c r="J56" i="13"/>
  <c r="J790" i="20" s="1"/>
  <c r="I56" i="13"/>
  <c r="I790" i="20" s="1"/>
  <c r="H56" i="13"/>
  <c r="H790" i="20" s="1"/>
  <c r="G56" i="13"/>
  <c r="G790" i="20" s="1"/>
  <c r="F56" i="13"/>
  <c r="F790" i="20" s="1"/>
  <c r="E56" i="13"/>
  <c r="E790" i="20" s="1"/>
  <c r="D56" i="13"/>
  <c r="D790" i="20" s="1"/>
  <c r="O55" i="13"/>
  <c r="O775" i="20" s="1"/>
  <c r="N55" i="13"/>
  <c r="N775" i="20" s="1"/>
  <c r="M55" i="13"/>
  <c r="M775" i="20" s="1"/>
  <c r="L55" i="13"/>
  <c r="L775" i="20" s="1"/>
  <c r="K55" i="13"/>
  <c r="K775" i="20" s="1"/>
  <c r="J55" i="13"/>
  <c r="J775" i="20" s="1"/>
  <c r="I55" i="13"/>
  <c r="I775" i="20" s="1"/>
  <c r="H55" i="13"/>
  <c r="H775" i="20" s="1"/>
  <c r="G55" i="13"/>
  <c r="G775" i="20" s="1"/>
  <c r="F55" i="13"/>
  <c r="F775" i="20" s="1"/>
  <c r="E55" i="13"/>
  <c r="E775" i="20" s="1"/>
  <c r="D55" i="13"/>
  <c r="D775" i="20" s="1"/>
  <c r="O54" i="13"/>
  <c r="O760" i="20" s="1"/>
  <c r="N54" i="13"/>
  <c r="N760" i="20" s="1"/>
  <c r="M54" i="13"/>
  <c r="M760" i="20" s="1"/>
  <c r="L54" i="13"/>
  <c r="L760" i="20" s="1"/>
  <c r="K54" i="13"/>
  <c r="K760" i="20" s="1"/>
  <c r="J54" i="13"/>
  <c r="J760" i="20" s="1"/>
  <c r="I54" i="13"/>
  <c r="I760" i="20" s="1"/>
  <c r="H54" i="13"/>
  <c r="H760" i="20" s="1"/>
  <c r="G54" i="13"/>
  <c r="G760" i="20" s="1"/>
  <c r="F54" i="13"/>
  <c r="F760" i="20" s="1"/>
  <c r="E54" i="13"/>
  <c r="E760" i="20" s="1"/>
  <c r="D54" i="13"/>
  <c r="D760" i="20" s="1"/>
  <c r="O53" i="13"/>
  <c r="O745" i="20" s="1"/>
  <c r="N53" i="13"/>
  <c r="N745" i="20" s="1"/>
  <c r="M53" i="13"/>
  <c r="M745" i="20" s="1"/>
  <c r="L53" i="13"/>
  <c r="L745" i="20" s="1"/>
  <c r="K53" i="13"/>
  <c r="K745" i="20" s="1"/>
  <c r="J53" i="13"/>
  <c r="J745" i="20" s="1"/>
  <c r="I53" i="13"/>
  <c r="I745" i="20" s="1"/>
  <c r="H53" i="13"/>
  <c r="H745" i="20" s="1"/>
  <c r="G53" i="13"/>
  <c r="G745" i="20" s="1"/>
  <c r="F53" i="13"/>
  <c r="F745" i="20" s="1"/>
  <c r="E53" i="13"/>
  <c r="E745" i="20" s="1"/>
  <c r="D53" i="13"/>
  <c r="D745" i="20" s="1"/>
  <c r="O52" i="13"/>
  <c r="O730" i="20" s="1"/>
  <c r="N52" i="13"/>
  <c r="N730" i="20" s="1"/>
  <c r="M52" i="13"/>
  <c r="M730" i="20" s="1"/>
  <c r="L52" i="13"/>
  <c r="L730" i="20" s="1"/>
  <c r="K52" i="13"/>
  <c r="K730" i="20" s="1"/>
  <c r="J52" i="13"/>
  <c r="J730" i="20" s="1"/>
  <c r="I52" i="13"/>
  <c r="I730" i="20" s="1"/>
  <c r="H52" i="13"/>
  <c r="H730" i="20" s="1"/>
  <c r="G52" i="13"/>
  <c r="G730" i="20" s="1"/>
  <c r="F52" i="13"/>
  <c r="F730" i="20" s="1"/>
  <c r="E52" i="13"/>
  <c r="E730" i="20" s="1"/>
  <c r="D52" i="13"/>
  <c r="D730" i="20" s="1"/>
  <c r="O51" i="13"/>
  <c r="O715" i="20" s="1"/>
  <c r="N51" i="13"/>
  <c r="N715" i="20" s="1"/>
  <c r="M51" i="13"/>
  <c r="M715" i="20" s="1"/>
  <c r="L51" i="13"/>
  <c r="L715" i="20" s="1"/>
  <c r="K51" i="13"/>
  <c r="K715" i="20" s="1"/>
  <c r="J51" i="13"/>
  <c r="J715" i="20" s="1"/>
  <c r="I51" i="13"/>
  <c r="I715" i="20" s="1"/>
  <c r="H51" i="13"/>
  <c r="H715" i="20" s="1"/>
  <c r="G51" i="13"/>
  <c r="G715" i="20" s="1"/>
  <c r="F51" i="13"/>
  <c r="F715" i="20" s="1"/>
  <c r="E51" i="13"/>
  <c r="E715" i="20" s="1"/>
  <c r="D51" i="13"/>
  <c r="D715" i="20" s="1"/>
  <c r="O50" i="13"/>
  <c r="O700" i="20" s="1"/>
  <c r="N50" i="13"/>
  <c r="N700" i="20" s="1"/>
  <c r="M50" i="13"/>
  <c r="M700" i="20" s="1"/>
  <c r="L50" i="13"/>
  <c r="L700" i="20" s="1"/>
  <c r="K50" i="13"/>
  <c r="K700" i="20" s="1"/>
  <c r="J50" i="13"/>
  <c r="J700" i="20" s="1"/>
  <c r="I50" i="13"/>
  <c r="I700" i="20" s="1"/>
  <c r="H50" i="13"/>
  <c r="H700" i="20" s="1"/>
  <c r="G50" i="13"/>
  <c r="G700" i="20" s="1"/>
  <c r="F50" i="13"/>
  <c r="F700" i="20" s="1"/>
  <c r="E50" i="13"/>
  <c r="E700" i="20" s="1"/>
  <c r="D50" i="13"/>
  <c r="D700" i="20" s="1"/>
  <c r="O49" i="13"/>
  <c r="O685" i="20" s="1"/>
  <c r="N49" i="13"/>
  <c r="N685" i="20" s="1"/>
  <c r="M49" i="13"/>
  <c r="M685" i="20" s="1"/>
  <c r="L49" i="13"/>
  <c r="L685" i="20" s="1"/>
  <c r="K49" i="13"/>
  <c r="K685" i="20" s="1"/>
  <c r="J49" i="13"/>
  <c r="J685" i="20" s="1"/>
  <c r="I49" i="13"/>
  <c r="I685" i="20" s="1"/>
  <c r="H49" i="13"/>
  <c r="H685" i="20" s="1"/>
  <c r="G49" i="13"/>
  <c r="G685" i="20" s="1"/>
  <c r="F49" i="13"/>
  <c r="F685" i="20" s="1"/>
  <c r="E49" i="13"/>
  <c r="E685" i="20" s="1"/>
  <c r="D49" i="13"/>
  <c r="D685" i="20" s="1"/>
  <c r="O48" i="13"/>
  <c r="O670" i="20" s="1"/>
  <c r="N48" i="13"/>
  <c r="N670" i="20" s="1"/>
  <c r="M48" i="13"/>
  <c r="M670" i="20" s="1"/>
  <c r="L48" i="13"/>
  <c r="L670" i="20" s="1"/>
  <c r="K48" i="13"/>
  <c r="K670" i="20" s="1"/>
  <c r="J48" i="13"/>
  <c r="J670" i="20" s="1"/>
  <c r="I48" i="13"/>
  <c r="I670" i="20" s="1"/>
  <c r="H48" i="13"/>
  <c r="H670" i="20" s="1"/>
  <c r="G48" i="13"/>
  <c r="G670" i="20" s="1"/>
  <c r="F48" i="13"/>
  <c r="F670" i="20" s="1"/>
  <c r="E48" i="13"/>
  <c r="E670" i="20" s="1"/>
  <c r="D48" i="13"/>
  <c r="D670" i="20" s="1"/>
  <c r="O47" i="13"/>
  <c r="O655" i="20" s="1"/>
  <c r="N47" i="13"/>
  <c r="N655" i="20" s="1"/>
  <c r="M47" i="13"/>
  <c r="M655" i="20" s="1"/>
  <c r="L47" i="13"/>
  <c r="L655" i="20" s="1"/>
  <c r="K47" i="13"/>
  <c r="K655" i="20" s="1"/>
  <c r="J47" i="13"/>
  <c r="J655" i="20" s="1"/>
  <c r="I47" i="13"/>
  <c r="I655" i="20" s="1"/>
  <c r="H47" i="13"/>
  <c r="H655" i="20" s="1"/>
  <c r="G47" i="13"/>
  <c r="G655" i="20" s="1"/>
  <c r="F47" i="13"/>
  <c r="F655" i="20" s="1"/>
  <c r="E47" i="13"/>
  <c r="E655" i="20" s="1"/>
  <c r="D47" i="13"/>
  <c r="D655" i="20" s="1"/>
  <c r="O46" i="13"/>
  <c r="O640" i="20" s="1"/>
  <c r="N46" i="13"/>
  <c r="N640" i="20" s="1"/>
  <c r="M46" i="13"/>
  <c r="M640" i="20" s="1"/>
  <c r="L46" i="13"/>
  <c r="L640" i="20" s="1"/>
  <c r="K46" i="13"/>
  <c r="K640" i="20" s="1"/>
  <c r="J46" i="13"/>
  <c r="J640" i="20" s="1"/>
  <c r="I46" i="13"/>
  <c r="I640" i="20" s="1"/>
  <c r="H46" i="13"/>
  <c r="H640" i="20" s="1"/>
  <c r="G46" i="13"/>
  <c r="G640" i="20" s="1"/>
  <c r="F46" i="13"/>
  <c r="F640" i="20" s="1"/>
  <c r="E46" i="13"/>
  <c r="E640" i="20" s="1"/>
  <c r="D46" i="13"/>
  <c r="D640" i="20" s="1"/>
  <c r="O45" i="13"/>
  <c r="O625" i="20" s="1"/>
  <c r="N45" i="13"/>
  <c r="N625" i="20" s="1"/>
  <c r="M45" i="13"/>
  <c r="M625" i="20" s="1"/>
  <c r="L45" i="13"/>
  <c r="L625" i="20" s="1"/>
  <c r="K45" i="13"/>
  <c r="K625" i="20" s="1"/>
  <c r="J45" i="13"/>
  <c r="J625" i="20" s="1"/>
  <c r="I45" i="13"/>
  <c r="I625" i="20" s="1"/>
  <c r="H45" i="13"/>
  <c r="H625" i="20" s="1"/>
  <c r="G45" i="13"/>
  <c r="G625" i="20" s="1"/>
  <c r="F45" i="13"/>
  <c r="F625" i="20" s="1"/>
  <c r="E45" i="13"/>
  <c r="E625" i="20" s="1"/>
  <c r="D45" i="13"/>
  <c r="D625" i="20" s="1"/>
  <c r="O44" i="13"/>
  <c r="O610" i="20" s="1"/>
  <c r="N44" i="13"/>
  <c r="N610" i="20" s="1"/>
  <c r="M44" i="13"/>
  <c r="M610" i="20" s="1"/>
  <c r="L44" i="13"/>
  <c r="L610" i="20" s="1"/>
  <c r="K44" i="13"/>
  <c r="K610" i="20" s="1"/>
  <c r="J44" i="13"/>
  <c r="J610" i="20" s="1"/>
  <c r="I44" i="13"/>
  <c r="I610" i="20" s="1"/>
  <c r="H44" i="13"/>
  <c r="H610" i="20" s="1"/>
  <c r="G44" i="13"/>
  <c r="G610" i="20" s="1"/>
  <c r="F44" i="13"/>
  <c r="F610" i="20" s="1"/>
  <c r="E44" i="13"/>
  <c r="E610" i="20" s="1"/>
  <c r="D44" i="13"/>
  <c r="D610" i="20" s="1"/>
  <c r="O43" i="13"/>
  <c r="O595" i="20" s="1"/>
  <c r="N43" i="13"/>
  <c r="N595" i="20" s="1"/>
  <c r="M43" i="13"/>
  <c r="M595" i="20" s="1"/>
  <c r="L43" i="13"/>
  <c r="L595" i="20" s="1"/>
  <c r="K43" i="13"/>
  <c r="K595" i="20" s="1"/>
  <c r="J43" i="13"/>
  <c r="J595" i="20" s="1"/>
  <c r="I43" i="13"/>
  <c r="I595" i="20" s="1"/>
  <c r="H43" i="13"/>
  <c r="H595" i="20" s="1"/>
  <c r="G43" i="13"/>
  <c r="G595" i="20" s="1"/>
  <c r="F43" i="13"/>
  <c r="F595" i="20" s="1"/>
  <c r="E43" i="13"/>
  <c r="E595" i="20" s="1"/>
  <c r="D43" i="13"/>
  <c r="D595" i="20" s="1"/>
  <c r="O42" i="13"/>
  <c r="O580" i="20" s="1"/>
  <c r="N42" i="13"/>
  <c r="N580" i="20" s="1"/>
  <c r="M42" i="13"/>
  <c r="M580" i="20" s="1"/>
  <c r="L42" i="13"/>
  <c r="L580" i="20" s="1"/>
  <c r="K42" i="13"/>
  <c r="K580" i="20" s="1"/>
  <c r="J42" i="13"/>
  <c r="J580" i="20" s="1"/>
  <c r="I42" i="13"/>
  <c r="I580" i="20" s="1"/>
  <c r="H42" i="13"/>
  <c r="H580" i="20" s="1"/>
  <c r="G42" i="13"/>
  <c r="G580" i="20" s="1"/>
  <c r="F42" i="13"/>
  <c r="F580" i="20" s="1"/>
  <c r="E42" i="13"/>
  <c r="E580" i="20" s="1"/>
  <c r="D42" i="13"/>
  <c r="D580" i="20" s="1"/>
  <c r="O41" i="13"/>
  <c r="O565" i="20" s="1"/>
  <c r="N41" i="13"/>
  <c r="N565" i="20" s="1"/>
  <c r="M41" i="13"/>
  <c r="M565" i="20" s="1"/>
  <c r="L41" i="13"/>
  <c r="L565" i="20" s="1"/>
  <c r="K41" i="13"/>
  <c r="K565" i="20" s="1"/>
  <c r="J41" i="13"/>
  <c r="J565" i="20" s="1"/>
  <c r="I41" i="13"/>
  <c r="I565" i="20" s="1"/>
  <c r="H41" i="13"/>
  <c r="H565" i="20" s="1"/>
  <c r="G41" i="13"/>
  <c r="G565" i="20" s="1"/>
  <c r="F41" i="13"/>
  <c r="F565" i="20" s="1"/>
  <c r="E41" i="13"/>
  <c r="E565" i="20" s="1"/>
  <c r="D41" i="13"/>
  <c r="D565" i="20" s="1"/>
  <c r="O40" i="13"/>
  <c r="O550" i="20" s="1"/>
  <c r="N40" i="13"/>
  <c r="N550" i="20" s="1"/>
  <c r="M40" i="13"/>
  <c r="M550" i="20" s="1"/>
  <c r="L40" i="13"/>
  <c r="L550" i="20" s="1"/>
  <c r="K40" i="13"/>
  <c r="K550" i="20" s="1"/>
  <c r="J40" i="13"/>
  <c r="J550" i="20" s="1"/>
  <c r="I40" i="13"/>
  <c r="I550" i="20" s="1"/>
  <c r="H40" i="13"/>
  <c r="H550" i="20" s="1"/>
  <c r="G40" i="13"/>
  <c r="G550" i="20" s="1"/>
  <c r="F40" i="13"/>
  <c r="F550" i="20" s="1"/>
  <c r="E40" i="13"/>
  <c r="E550" i="20" s="1"/>
  <c r="D40" i="13"/>
  <c r="D550" i="20" s="1"/>
  <c r="O39" i="13"/>
  <c r="O535" i="20" s="1"/>
  <c r="N39" i="13"/>
  <c r="N535" i="20" s="1"/>
  <c r="M39" i="13"/>
  <c r="M535" i="20" s="1"/>
  <c r="L39" i="13"/>
  <c r="L535" i="20" s="1"/>
  <c r="K39" i="13"/>
  <c r="K535" i="20" s="1"/>
  <c r="J39" i="13"/>
  <c r="J535" i="20" s="1"/>
  <c r="I39" i="13"/>
  <c r="I535" i="20" s="1"/>
  <c r="H39" i="13"/>
  <c r="H535" i="20" s="1"/>
  <c r="G39" i="13"/>
  <c r="G535" i="20" s="1"/>
  <c r="F39" i="13"/>
  <c r="F535" i="20" s="1"/>
  <c r="E39" i="13"/>
  <c r="E535" i="20" s="1"/>
  <c r="D39" i="13"/>
  <c r="D535" i="20" s="1"/>
  <c r="O38" i="13"/>
  <c r="O520" i="20" s="1"/>
  <c r="N38" i="13"/>
  <c r="N520" i="20" s="1"/>
  <c r="M38" i="13"/>
  <c r="M520" i="20" s="1"/>
  <c r="L38" i="13"/>
  <c r="L520" i="20" s="1"/>
  <c r="K38" i="13"/>
  <c r="K520" i="20" s="1"/>
  <c r="J38" i="13"/>
  <c r="J520" i="20" s="1"/>
  <c r="I38" i="13"/>
  <c r="I520" i="20" s="1"/>
  <c r="H38" i="13"/>
  <c r="H520" i="20" s="1"/>
  <c r="G38" i="13"/>
  <c r="G520" i="20" s="1"/>
  <c r="F38" i="13"/>
  <c r="F520" i="20" s="1"/>
  <c r="E38" i="13"/>
  <c r="E520" i="20" s="1"/>
  <c r="D38" i="13"/>
  <c r="D520" i="20" s="1"/>
  <c r="O37" i="13"/>
  <c r="O505" i="20" s="1"/>
  <c r="N37" i="13"/>
  <c r="N505" i="20" s="1"/>
  <c r="M37" i="13"/>
  <c r="M505" i="20" s="1"/>
  <c r="L37" i="13"/>
  <c r="L505" i="20" s="1"/>
  <c r="K37" i="13"/>
  <c r="K505" i="20" s="1"/>
  <c r="J37" i="13"/>
  <c r="J505" i="20" s="1"/>
  <c r="I37" i="13"/>
  <c r="I505" i="20" s="1"/>
  <c r="H37" i="13"/>
  <c r="H505" i="20" s="1"/>
  <c r="G37" i="13"/>
  <c r="G505" i="20" s="1"/>
  <c r="F37" i="13"/>
  <c r="F505" i="20" s="1"/>
  <c r="E37" i="13"/>
  <c r="E505" i="20" s="1"/>
  <c r="D37" i="13"/>
  <c r="D505" i="20" s="1"/>
  <c r="O36" i="13"/>
  <c r="O490" i="20" s="1"/>
  <c r="N36" i="13"/>
  <c r="N490" i="20" s="1"/>
  <c r="M36" i="13"/>
  <c r="M490" i="20" s="1"/>
  <c r="L36" i="13"/>
  <c r="L490" i="20" s="1"/>
  <c r="K36" i="13"/>
  <c r="K490" i="20" s="1"/>
  <c r="J36" i="13"/>
  <c r="J490" i="20" s="1"/>
  <c r="I36" i="13"/>
  <c r="I490" i="20" s="1"/>
  <c r="H36" i="13"/>
  <c r="H490" i="20" s="1"/>
  <c r="G36" i="13"/>
  <c r="G490" i="20" s="1"/>
  <c r="F36" i="13"/>
  <c r="F490" i="20" s="1"/>
  <c r="E36" i="13"/>
  <c r="E490" i="20" s="1"/>
  <c r="D36" i="13"/>
  <c r="D490" i="20" s="1"/>
  <c r="O35" i="13"/>
  <c r="O475" i="20" s="1"/>
  <c r="N35" i="13"/>
  <c r="N475" i="20" s="1"/>
  <c r="M35" i="13"/>
  <c r="M475" i="20" s="1"/>
  <c r="L35" i="13"/>
  <c r="L475" i="20" s="1"/>
  <c r="K35" i="13"/>
  <c r="K475" i="20" s="1"/>
  <c r="J35" i="13"/>
  <c r="J475" i="20" s="1"/>
  <c r="I35" i="13"/>
  <c r="I475" i="20" s="1"/>
  <c r="H35" i="13"/>
  <c r="H475" i="20" s="1"/>
  <c r="G35" i="13"/>
  <c r="G475" i="20" s="1"/>
  <c r="F35" i="13"/>
  <c r="F475" i="20" s="1"/>
  <c r="E35" i="13"/>
  <c r="E475" i="20" s="1"/>
  <c r="D35" i="13"/>
  <c r="D475" i="20" s="1"/>
  <c r="O34" i="13"/>
  <c r="O460" i="20" s="1"/>
  <c r="N34" i="13"/>
  <c r="N460" i="20" s="1"/>
  <c r="M34" i="13"/>
  <c r="M460" i="20" s="1"/>
  <c r="L34" i="13"/>
  <c r="L460" i="20" s="1"/>
  <c r="K34" i="13"/>
  <c r="K460" i="20" s="1"/>
  <c r="J34" i="13"/>
  <c r="J460" i="20" s="1"/>
  <c r="I34" i="13"/>
  <c r="I460" i="20" s="1"/>
  <c r="H34" i="13"/>
  <c r="H460" i="20" s="1"/>
  <c r="G34" i="13"/>
  <c r="G460" i="20" s="1"/>
  <c r="F34" i="13"/>
  <c r="F460" i="20" s="1"/>
  <c r="E34" i="13"/>
  <c r="E460" i="20" s="1"/>
  <c r="D34" i="13"/>
  <c r="D460" i="20" s="1"/>
  <c r="O33" i="13"/>
  <c r="O445" i="20" s="1"/>
  <c r="N33" i="13"/>
  <c r="N445" i="20" s="1"/>
  <c r="M33" i="13"/>
  <c r="M445" i="20" s="1"/>
  <c r="L33" i="13"/>
  <c r="L445" i="20" s="1"/>
  <c r="K33" i="13"/>
  <c r="K445" i="20" s="1"/>
  <c r="J33" i="13"/>
  <c r="J445" i="20" s="1"/>
  <c r="I33" i="13"/>
  <c r="I445" i="20" s="1"/>
  <c r="H33" i="13"/>
  <c r="H445" i="20" s="1"/>
  <c r="G33" i="13"/>
  <c r="G445" i="20" s="1"/>
  <c r="F33" i="13"/>
  <c r="F445" i="20" s="1"/>
  <c r="E33" i="13"/>
  <c r="E445" i="20" s="1"/>
  <c r="D33" i="13"/>
  <c r="D445" i="20" s="1"/>
  <c r="O32" i="13"/>
  <c r="O430" i="20" s="1"/>
  <c r="N32" i="13"/>
  <c r="N430" i="20" s="1"/>
  <c r="M32" i="13"/>
  <c r="M430" i="20" s="1"/>
  <c r="L32" i="13"/>
  <c r="L430" i="20" s="1"/>
  <c r="K32" i="13"/>
  <c r="K430" i="20" s="1"/>
  <c r="J32" i="13"/>
  <c r="J430" i="20" s="1"/>
  <c r="I32" i="13"/>
  <c r="I430" i="20" s="1"/>
  <c r="H32" i="13"/>
  <c r="H430" i="20" s="1"/>
  <c r="G32" i="13"/>
  <c r="G430" i="20" s="1"/>
  <c r="F32" i="13"/>
  <c r="F430" i="20" s="1"/>
  <c r="E32" i="13"/>
  <c r="E430" i="20" s="1"/>
  <c r="D32" i="13"/>
  <c r="D430" i="20" s="1"/>
  <c r="O31" i="13"/>
  <c r="O415" i="20" s="1"/>
  <c r="N31" i="13"/>
  <c r="N415" i="20" s="1"/>
  <c r="M31" i="13"/>
  <c r="M415" i="20" s="1"/>
  <c r="L31" i="13"/>
  <c r="L415" i="20" s="1"/>
  <c r="K31" i="13"/>
  <c r="K415" i="20" s="1"/>
  <c r="J31" i="13"/>
  <c r="J415" i="20" s="1"/>
  <c r="I31" i="13"/>
  <c r="I415" i="20" s="1"/>
  <c r="H31" i="13"/>
  <c r="H415" i="20" s="1"/>
  <c r="G31" i="13"/>
  <c r="G415" i="20" s="1"/>
  <c r="F31" i="13"/>
  <c r="F415" i="20" s="1"/>
  <c r="E31" i="13"/>
  <c r="E415" i="20" s="1"/>
  <c r="D31" i="13"/>
  <c r="D415" i="20" s="1"/>
  <c r="O30" i="13"/>
  <c r="O400" i="20" s="1"/>
  <c r="N30" i="13"/>
  <c r="N400" i="20" s="1"/>
  <c r="M30" i="13"/>
  <c r="M400" i="20" s="1"/>
  <c r="L30" i="13"/>
  <c r="L400" i="20" s="1"/>
  <c r="K30" i="13"/>
  <c r="K400" i="20" s="1"/>
  <c r="J30" i="13"/>
  <c r="J400" i="20" s="1"/>
  <c r="I30" i="13"/>
  <c r="I400" i="20" s="1"/>
  <c r="H30" i="13"/>
  <c r="H400" i="20" s="1"/>
  <c r="G30" i="13"/>
  <c r="G400" i="20" s="1"/>
  <c r="F30" i="13"/>
  <c r="F400" i="20" s="1"/>
  <c r="E30" i="13"/>
  <c r="E400" i="20" s="1"/>
  <c r="D30" i="13"/>
  <c r="D400" i="20" s="1"/>
  <c r="O29" i="13"/>
  <c r="O385" i="20" s="1"/>
  <c r="N29" i="13"/>
  <c r="N385" i="20" s="1"/>
  <c r="M29" i="13"/>
  <c r="M385" i="20" s="1"/>
  <c r="L29" i="13"/>
  <c r="L385" i="20" s="1"/>
  <c r="K29" i="13"/>
  <c r="K385" i="20" s="1"/>
  <c r="J29" i="13"/>
  <c r="J385" i="20" s="1"/>
  <c r="I29" i="13"/>
  <c r="I385" i="20" s="1"/>
  <c r="H29" i="13"/>
  <c r="H385" i="20" s="1"/>
  <c r="G29" i="13"/>
  <c r="G385" i="20" s="1"/>
  <c r="F29" i="13"/>
  <c r="F385" i="20" s="1"/>
  <c r="E29" i="13"/>
  <c r="E385" i="20" s="1"/>
  <c r="D29" i="13"/>
  <c r="D385" i="20" s="1"/>
  <c r="O28" i="13"/>
  <c r="O370" i="20" s="1"/>
  <c r="N28" i="13"/>
  <c r="N370" i="20" s="1"/>
  <c r="M28" i="13"/>
  <c r="M370" i="20" s="1"/>
  <c r="L28" i="13"/>
  <c r="L370" i="20" s="1"/>
  <c r="K28" i="13"/>
  <c r="K370" i="20" s="1"/>
  <c r="J28" i="13"/>
  <c r="J370" i="20" s="1"/>
  <c r="I28" i="13"/>
  <c r="I370" i="20" s="1"/>
  <c r="H28" i="13"/>
  <c r="H370" i="20" s="1"/>
  <c r="G28" i="13"/>
  <c r="G370" i="20" s="1"/>
  <c r="F28" i="13"/>
  <c r="F370" i="20" s="1"/>
  <c r="E28" i="13"/>
  <c r="E370" i="20" s="1"/>
  <c r="D28" i="13"/>
  <c r="D370" i="20" s="1"/>
  <c r="O27" i="13"/>
  <c r="O355" i="20" s="1"/>
  <c r="N27" i="13"/>
  <c r="N355" i="20" s="1"/>
  <c r="M27" i="13"/>
  <c r="M355" i="20" s="1"/>
  <c r="L27" i="13"/>
  <c r="L355" i="20" s="1"/>
  <c r="K27" i="13"/>
  <c r="K355" i="20" s="1"/>
  <c r="J27" i="13"/>
  <c r="J355" i="20" s="1"/>
  <c r="I27" i="13"/>
  <c r="I355" i="20" s="1"/>
  <c r="H27" i="13"/>
  <c r="H355" i="20" s="1"/>
  <c r="G27" i="13"/>
  <c r="G355" i="20" s="1"/>
  <c r="F27" i="13"/>
  <c r="F355" i="20" s="1"/>
  <c r="E27" i="13"/>
  <c r="E355" i="20" s="1"/>
  <c r="D27" i="13"/>
  <c r="D355" i="20" s="1"/>
  <c r="O26" i="13"/>
  <c r="O340" i="20" s="1"/>
  <c r="N26" i="13"/>
  <c r="N340" i="20" s="1"/>
  <c r="M26" i="13"/>
  <c r="M340" i="20" s="1"/>
  <c r="L26" i="13"/>
  <c r="L340" i="20" s="1"/>
  <c r="K26" i="13"/>
  <c r="K340" i="20" s="1"/>
  <c r="J26" i="13"/>
  <c r="J340" i="20" s="1"/>
  <c r="I26" i="13"/>
  <c r="I340" i="20" s="1"/>
  <c r="H26" i="13"/>
  <c r="H340" i="20" s="1"/>
  <c r="G26" i="13"/>
  <c r="G340" i="20" s="1"/>
  <c r="F26" i="13"/>
  <c r="F340" i="20" s="1"/>
  <c r="E26" i="13"/>
  <c r="E340" i="20" s="1"/>
  <c r="D26" i="13"/>
  <c r="D340" i="20" s="1"/>
  <c r="O25" i="13"/>
  <c r="O325" i="20" s="1"/>
  <c r="N25" i="13"/>
  <c r="N325" i="20" s="1"/>
  <c r="M25" i="13"/>
  <c r="M325" i="20" s="1"/>
  <c r="L25" i="13"/>
  <c r="L325" i="20" s="1"/>
  <c r="K25" i="13"/>
  <c r="K325" i="20" s="1"/>
  <c r="J25" i="13"/>
  <c r="J325" i="20" s="1"/>
  <c r="I25" i="13"/>
  <c r="I325" i="20" s="1"/>
  <c r="H25" i="13"/>
  <c r="H325" i="20" s="1"/>
  <c r="G25" i="13"/>
  <c r="G325" i="20" s="1"/>
  <c r="F25" i="13"/>
  <c r="F325" i="20" s="1"/>
  <c r="E25" i="13"/>
  <c r="E325" i="20" s="1"/>
  <c r="D25" i="13"/>
  <c r="D325" i="20" s="1"/>
  <c r="O24" i="13"/>
  <c r="O310" i="20" s="1"/>
  <c r="N24" i="13"/>
  <c r="N310" i="20" s="1"/>
  <c r="M24" i="13"/>
  <c r="M310" i="20" s="1"/>
  <c r="L24" i="13"/>
  <c r="L310" i="20" s="1"/>
  <c r="K24" i="13"/>
  <c r="K310" i="20" s="1"/>
  <c r="J24" i="13"/>
  <c r="J310" i="20" s="1"/>
  <c r="I24" i="13"/>
  <c r="I310" i="20" s="1"/>
  <c r="H24" i="13"/>
  <c r="H310" i="20" s="1"/>
  <c r="G24" i="13"/>
  <c r="G310" i="20" s="1"/>
  <c r="F24" i="13"/>
  <c r="F310" i="20" s="1"/>
  <c r="E24" i="13"/>
  <c r="E310" i="20" s="1"/>
  <c r="D24" i="13"/>
  <c r="D310" i="20" s="1"/>
  <c r="O23" i="13"/>
  <c r="O295" i="20" s="1"/>
  <c r="N23" i="13"/>
  <c r="N295" i="20" s="1"/>
  <c r="M23" i="13"/>
  <c r="M295" i="20" s="1"/>
  <c r="L23" i="13"/>
  <c r="L295" i="20" s="1"/>
  <c r="K23" i="13"/>
  <c r="K295" i="20" s="1"/>
  <c r="J23" i="13"/>
  <c r="J295" i="20" s="1"/>
  <c r="I23" i="13"/>
  <c r="I295" i="20" s="1"/>
  <c r="H23" i="13"/>
  <c r="H295" i="20" s="1"/>
  <c r="G23" i="13"/>
  <c r="G295" i="20" s="1"/>
  <c r="F23" i="13"/>
  <c r="F295" i="20" s="1"/>
  <c r="E23" i="13"/>
  <c r="E295" i="20" s="1"/>
  <c r="D23" i="13"/>
  <c r="D295" i="20" s="1"/>
  <c r="O22" i="13"/>
  <c r="O280" i="20" s="1"/>
  <c r="N22" i="13"/>
  <c r="N280" i="20" s="1"/>
  <c r="M22" i="13"/>
  <c r="M280" i="20" s="1"/>
  <c r="L22" i="13"/>
  <c r="L280" i="20" s="1"/>
  <c r="K22" i="13"/>
  <c r="K280" i="20" s="1"/>
  <c r="J22" i="13"/>
  <c r="J280" i="20" s="1"/>
  <c r="I22" i="13"/>
  <c r="I280" i="20" s="1"/>
  <c r="H22" i="13"/>
  <c r="H280" i="20" s="1"/>
  <c r="G22" i="13"/>
  <c r="G280" i="20" s="1"/>
  <c r="F22" i="13"/>
  <c r="F280" i="20" s="1"/>
  <c r="E22" i="13"/>
  <c r="E280" i="20" s="1"/>
  <c r="D22" i="13"/>
  <c r="D280" i="20" s="1"/>
  <c r="O21" i="13"/>
  <c r="O265" i="20" s="1"/>
  <c r="N21" i="13"/>
  <c r="N265" i="20" s="1"/>
  <c r="M21" i="13"/>
  <c r="M265" i="20" s="1"/>
  <c r="L21" i="13"/>
  <c r="L265" i="20" s="1"/>
  <c r="K21" i="13"/>
  <c r="K265" i="20" s="1"/>
  <c r="J21" i="13"/>
  <c r="J265" i="20" s="1"/>
  <c r="I21" i="13"/>
  <c r="I265" i="20" s="1"/>
  <c r="H21" i="13"/>
  <c r="H265" i="20" s="1"/>
  <c r="G21" i="13"/>
  <c r="G265" i="20" s="1"/>
  <c r="F21" i="13"/>
  <c r="F265" i="20" s="1"/>
  <c r="E21" i="13"/>
  <c r="E265" i="20" s="1"/>
  <c r="D21" i="13"/>
  <c r="D265" i="20" s="1"/>
  <c r="O20" i="13"/>
  <c r="O250" i="20" s="1"/>
  <c r="N20" i="13"/>
  <c r="N250" i="20" s="1"/>
  <c r="M20" i="13"/>
  <c r="M250" i="20" s="1"/>
  <c r="L20" i="13"/>
  <c r="L250" i="20" s="1"/>
  <c r="K20" i="13"/>
  <c r="K250" i="20" s="1"/>
  <c r="J20" i="13"/>
  <c r="J250" i="20" s="1"/>
  <c r="I20" i="13"/>
  <c r="I250" i="20" s="1"/>
  <c r="H20" i="13"/>
  <c r="H250" i="20" s="1"/>
  <c r="G20" i="13"/>
  <c r="G250" i="20" s="1"/>
  <c r="F20" i="13"/>
  <c r="F250" i="20" s="1"/>
  <c r="E20" i="13"/>
  <c r="E250" i="20" s="1"/>
  <c r="D20" i="13"/>
  <c r="D250" i="20" s="1"/>
  <c r="O19" i="13"/>
  <c r="O235" i="20" s="1"/>
  <c r="N19" i="13"/>
  <c r="N235" i="20" s="1"/>
  <c r="M19" i="13"/>
  <c r="M235" i="20" s="1"/>
  <c r="L19" i="13"/>
  <c r="L235" i="20" s="1"/>
  <c r="K19" i="13"/>
  <c r="K235" i="20" s="1"/>
  <c r="J19" i="13"/>
  <c r="J235" i="20" s="1"/>
  <c r="I19" i="13"/>
  <c r="I235" i="20" s="1"/>
  <c r="H19" i="13"/>
  <c r="H235" i="20" s="1"/>
  <c r="G19" i="13"/>
  <c r="G235" i="20" s="1"/>
  <c r="F19" i="13"/>
  <c r="F235" i="20" s="1"/>
  <c r="E19" i="13"/>
  <c r="E235" i="20" s="1"/>
  <c r="D19" i="13"/>
  <c r="D235" i="20" s="1"/>
  <c r="O18" i="13"/>
  <c r="O220" i="20" s="1"/>
  <c r="N18" i="13"/>
  <c r="N220" i="20" s="1"/>
  <c r="M18" i="13"/>
  <c r="M220" i="20" s="1"/>
  <c r="L18" i="13"/>
  <c r="L220" i="20" s="1"/>
  <c r="K18" i="13"/>
  <c r="K220" i="20" s="1"/>
  <c r="J18" i="13"/>
  <c r="J220" i="20" s="1"/>
  <c r="I18" i="13"/>
  <c r="I220" i="20" s="1"/>
  <c r="H18" i="13"/>
  <c r="H220" i="20" s="1"/>
  <c r="G18" i="13"/>
  <c r="G220" i="20" s="1"/>
  <c r="F18" i="13"/>
  <c r="F220" i="20" s="1"/>
  <c r="E18" i="13"/>
  <c r="E220" i="20" s="1"/>
  <c r="D18" i="13"/>
  <c r="D220" i="20" s="1"/>
  <c r="O17" i="13"/>
  <c r="O205" i="20" s="1"/>
  <c r="N17" i="13"/>
  <c r="N205" i="20" s="1"/>
  <c r="M17" i="13"/>
  <c r="M205" i="20" s="1"/>
  <c r="L17" i="13"/>
  <c r="L205" i="20" s="1"/>
  <c r="K17" i="13"/>
  <c r="K205" i="20" s="1"/>
  <c r="J17" i="13"/>
  <c r="J205" i="20" s="1"/>
  <c r="I17" i="13"/>
  <c r="I205" i="20" s="1"/>
  <c r="H17" i="13"/>
  <c r="H205" i="20" s="1"/>
  <c r="G17" i="13"/>
  <c r="G205" i="20" s="1"/>
  <c r="F17" i="13"/>
  <c r="F205" i="20" s="1"/>
  <c r="E17" i="13"/>
  <c r="E205" i="20" s="1"/>
  <c r="D17" i="13"/>
  <c r="D205" i="20" s="1"/>
  <c r="O16" i="13"/>
  <c r="O190" i="20" s="1"/>
  <c r="N16" i="13"/>
  <c r="N190" i="20" s="1"/>
  <c r="M16" i="13"/>
  <c r="M190" i="20" s="1"/>
  <c r="L16" i="13"/>
  <c r="L190" i="20" s="1"/>
  <c r="K16" i="13"/>
  <c r="K190" i="20" s="1"/>
  <c r="J16" i="13"/>
  <c r="J190" i="20" s="1"/>
  <c r="I16" i="13"/>
  <c r="I190" i="20" s="1"/>
  <c r="H16" i="13"/>
  <c r="H190" i="20" s="1"/>
  <c r="G16" i="13"/>
  <c r="G190" i="20" s="1"/>
  <c r="F16" i="13"/>
  <c r="F190" i="20" s="1"/>
  <c r="E16" i="13"/>
  <c r="E190" i="20" s="1"/>
  <c r="D16" i="13"/>
  <c r="D190" i="20" s="1"/>
  <c r="O15" i="13"/>
  <c r="O175" i="20" s="1"/>
  <c r="N15" i="13"/>
  <c r="N175" i="20" s="1"/>
  <c r="M15" i="13"/>
  <c r="M175" i="20" s="1"/>
  <c r="L15" i="13"/>
  <c r="L175" i="20" s="1"/>
  <c r="K15" i="13"/>
  <c r="K175" i="20" s="1"/>
  <c r="J15" i="13"/>
  <c r="J175" i="20" s="1"/>
  <c r="I15" i="13"/>
  <c r="I175" i="20" s="1"/>
  <c r="H15" i="13"/>
  <c r="H175" i="20" s="1"/>
  <c r="G15" i="13"/>
  <c r="G175" i="20" s="1"/>
  <c r="F15" i="13"/>
  <c r="F175" i="20" s="1"/>
  <c r="E15" i="13"/>
  <c r="E175" i="20" s="1"/>
  <c r="D15" i="13"/>
  <c r="D175" i="20" s="1"/>
  <c r="O14" i="13"/>
  <c r="O160" i="20" s="1"/>
  <c r="N14" i="13"/>
  <c r="N160" i="20" s="1"/>
  <c r="M14" i="13"/>
  <c r="M160" i="20" s="1"/>
  <c r="L14" i="13"/>
  <c r="L160" i="20" s="1"/>
  <c r="K14" i="13"/>
  <c r="K160" i="20" s="1"/>
  <c r="J14" i="13"/>
  <c r="J160" i="20" s="1"/>
  <c r="I14" i="13"/>
  <c r="I160" i="20" s="1"/>
  <c r="H14" i="13"/>
  <c r="H160" i="20" s="1"/>
  <c r="G14" i="13"/>
  <c r="G160" i="20" s="1"/>
  <c r="F14" i="13"/>
  <c r="F160" i="20" s="1"/>
  <c r="E14" i="13"/>
  <c r="E160" i="20" s="1"/>
  <c r="D14" i="13"/>
  <c r="D160" i="20" s="1"/>
  <c r="O13" i="13"/>
  <c r="O145" i="20" s="1"/>
  <c r="N13" i="13"/>
  <c r="N145" i="20" s="1"/>
  <c r="M13" i="13"/>
  <c r="M145" i="20" s="1"/>
  <c r="L13" i="13"/>
  <c r="L145" i="20" s="1"/>
  <c r="K13" i="13"/>
  <c r="K145" i="20" s="1"/>
  <c r="J13" i="13"/>
  <c r="J145" i="20" s="1"/>
  <c r="I13" i="13"/>
  <c r="I145" i="20" s="1"/>
  <c r="H13" i="13"/>
  <c r="H145" i="20" s="1"/>
  <c r="G13" i="13"/>
  <c r="G145" i="20" s="1"/>
  <c r="F13" i="13"/>
  <c r="F145" i="20" s="1"/>
  <c r="E13" i="13"/>
  <c r="E145" i="20" s="1"/>
  <c r="D13" i="13"/>
  <c r="D145" i="20" s="1"/>
  <c r="O12" i="13"/>
  <c r="O130" i="20" s="1"/>
  <c r="N12" i="13"/>
  <c r="N130" i="20" s="1"/>
  <c r="M12" i="13"/>
  <c r="M130" i="20" s="1"/>
  <c r="L12" i="13"/>
  <c r="L130" i="20" s="1"/>
  <c r="K12" i="13"/>
  <c r="K130" i="20" s="1"/>
  <c r="J12" i="13"/>
  <c r="J130" i="20" s="1"/>
  <c r="I12" i="13"/>
  <c r="I130" i="20" s="1"/>
  <c r="H12" i="13"/>
  <c r="H130" i="20" s="1"/>
  <c r="G12" i="13"/>
  <c r="G130" i="20" s="1"/>
  <c r="F12" i="13"/>
  <c r="F130" i="20" s="1"/>
  <c r="E12" i="13"/>
  <c r="E130" i="20" s="1"/>
  <c r="D12" i="13"/>
  <c r="D130" i="20" s="1"/>
  <c r="O11" i="13"/>
  <c r="O115" i="20" s="1"/>
  <c r="N11" i="13"/>
  <c r="N115" i="20" s="1"/>
  <c r="M11" i="13"/>
  <c r="M115" i="20" s="1"/>
  <c r="L11" i="13"/>
  <c r="L115" i="20" s="1"/>
  <c r="K11" i="13"/>
  <c r="K115" i="20" s="1"/>
  <c r="J11" i="13"/>
  <c r="J115" i="20" s="1"/>
  <c r="I11" i="13"/>
  <c r="I115" i="20" s="1"/>
  <c r="H11" i="13"/>
  <c r="H115" i="20" s="1"/>
  <c r="G11" i="13"/>
  <c r="G115" i="20" s="1"/>
  <c r="F11" i="13"/>
  <c r="F115" i="20" s="1"/>
  <c r="E11" i="13"/>
  <c r="E115" i="20" s="1"/>
  <c r="D115" i="20"/>
  <c r="O10" i="13"/>
  <c r="O100" i="20" s="1"/>
  <c r="N10" i="13"/>
  <c r="N100" i="20" s="1"/>
  <c r="M10" i="13"/>
  <c r="M100" i="20" s="1"/>
  <c r="L10" i="13"/>
  <c r="L100" i="20" s="1"/>
  <c r="K10" i="13"/>
  <c r="K100" i="20" s="1"/>
  <c r="J10" i="13"/>
  <c r="J100" i="20" s="1"/>
  <c r="I10" i="13"/>
  <c r="I100" i="20" s="1"/>
  <c r="H10" i="13"/>
  <c r="H100" i="20" s="1"/>
  <c r="G10" i="13"/>
  <c r="G100" i="20" s="1"/>
  <c r="F10" i="13"/>
  <c r="F100" i="20" s="1"/>
  <c r="E10" i="13"/>
  <c r="E100" i="20" s="1"/>
  <c r="D10" i="13"/>
  <c r="D100" i="20" s="1"/>
  <c r="O9" i="13"/>
  <c r="O85" i="20" s="1"/>
  <c r="N9" i="13"/>
  <c r="N85" i="20" s="1"/>
  <c r="M9" i="13"/>
  <c r="M85" i="20" s="1"/>
  <c r="L9" i="13"/>
  <c r="L85" i="20" s="1"/>
  <c r="K9" i="13"/>
  <c r="K85" i="20" s="1"/>
  <c r="J9" i="13"/>
  <c r="J85" i="20" s="1"/>
  <c r="I9" i="13"/>
  <c r="I85" i="20" s="1"/>
  <c r="H9" i="13"/>
  <c r="H85" i="20" s="1"/>
  <c r="G9" i="13"/>
  <c r="G85" i="20" s="1"/>
  <c r="F9" i="13"/>
  <c r="F85" i="20" s="1"/>
  <c r="E9" i="13"/>
  <c r="E85" i="20" s="1"/>
  <c r="D9" i="13"/>
  <c r="D85" i="20" s="1"/>
  <c r="O8" i="13"/>
  <c r="O70" i="20" s="1"/>
  <c r="N8" i="13"/>
  <c r="N70" i="20" s="1"/>
  <c r="M8" i="13"/>
  <c r="M70" i="20" s="1"/>
  <c r="L8" i="13"/>
  <c r="L70" i="20" s="1"/>
  <c r="K8" i="13"/>
  <c r="K70" i="20" s="1"/>
  <c r="J8" i="13"/>
  <c r="J70" i="20" s="1"/>
  <c r="I8" i="13"/>
  <c r="I70" i="20" s="1"/>
  <c r="H8" i="13"/>
  <c r="H70" i="20" s="1"/>
  <c r="G8" i="13"/>
  <c r="G70" i="20" s="1"/>
  <c r="F8" i="13"/>
  <c r="F70" i="20" s="1"/>
  <c r="E8" i="13"/>
  <c r="E70" i="20" s="1"/>
  <c r="D70" i="20"/>
  <c r="O7" i="13"/>
  <c r="O55" i="20" s="1"/>
  <c r="N7" i="13"/>
  <c r="N55" i="20" s="1"/>
  <c r="M7" i="13"/>
  <c r="M55" i="20" s="1"/>
  <c r="L7" i="13"/>
  <c r="L55" i="20" s="1"/>
  <c r="K7" i="13"/>
  <c r="K55" i="20" s="1"/>
  <c r="J7" i="13"/>
  <c r="J55" i="20" s="1"/>
  <c r="I7" i="13"/>
  <c r="I55" i="20" s="1"/>
  <c r="H7" i="13"/>
  <c r="H55" i="20" s="1"/>
  <c r="G7" i="13"/>
  <c r="G55" i="20" s="1"/>
  <c r="F7" i="13"/>
  <c r="F55" i="20" s="1"/>
  <c r="E7" i="13"/>
  <c r="E55" i="20" s="1"/>
  <c r="D7" i="13"/>
  <c r="D55" i="20" s="1"/>
  <c r="O6" i="13"/>
  <c r="O40" i="20" s="1"/>
  <c r="N6" i="13"/>
  <c r="N40" i="20" s="1"/>
  <c r="M6" i="13"/>
  <c r="M40" i="20" s="1"/>
  <c r="L6" i="13"/>
  <c r="L40" i="20" s="1"/>
  <c r="K6" i="13"/>
  <c r="K40" i="20" s="1"/>
  <c r="J6" i="13"/>
  <c r="J40" i="20" s="1"/>
  <c r="I6" i="13"/>
  <c r="I40" i="20" s="1"/>
  <c r="H6" i="13"/>
  <c r="G6" i="13"/>
  <c r="G40" i="20" s="1"/>
  <c r="F6" i="13"/>
  <c r="F40" i="20" s="1"/>
  <c r="E6" i="13"/>
  <c r="E40" i="20" s="1"/>
  <c r="D6" i="13"/>
  <c r="M95" i="6"/>
  <c r="N94" i="6"/>
  <c r="M94" i="6"/>
  <c r="K94" i="6"/>
  <c r="J94" i="6"/>
  <c r="I94" i="6"/>
  <c r="G94" i="6"/>
  <c r="D94" i="6"/>
  <c r="C94" i="6"/>
  <c r="B94" i="6"/>
  <c r="P93" i="6"/>
  <c r="P92" i="6"/>
  <c r="P91" i="6"/>
  <c r="P90" i="6"/>
  <c r="P89" i="6"/>
  <c r="N89" i="6"/>
  <c r="M89" i="6"/>
  <c r="K89" i="6"/>
  <c r="K95" i="6" s="1"/>
  <c r="J89" i="6"/>
  <c r="J95" i="6" s="1"/>
  <c r="I89" i="6"/>
  <c r="G89" i="6"/>
  <c r="G95" i="6" s="1"/>
  <c r="D89" i="6"/>
  <c r="D95" i="6" s="1"/>
  <c r="C89" i="6"/>
  <c r="B89" i="6"/>
  <c r="B95" i="6" s="1"/>
  <c r="P88" i="6"/>
  <c r="P87" i="6"/>
  <c r="P86" i="6"/>
  <c r="P85" i="6"/>
  <c r="P84" i="6"/>
  <c r="P83" i="6"/>
  <c r="P82" i="6"/>
  <c r="P81" i="6"/>
  <c r="P80" i="6"/>
  <c r="P79" i="6"/>
  <c r="J58" i="6"/>
  <c r="J59" i="6" s="1"/>
  <c r="E58" i="6"/>
  <c r="K54" i="6"/>
  <c r="J50" i="6"/>
  <c r="M48" i="6"/>
  <c r="M47" i="6"/>
  <c r="M46" i="6"/>
  <c r="M45" i="6"/>
  <c r="M44" i="6"/>
  <c r="M43" i="6"/>
  <c r="M5" i="18"/>
  <c r="G22" i="6"/>
  <c r="H21" i="6"/>
  <c r="E5" i="18" s="1"/>
  <c r="G21" i="6"/>
  <c r="G20" i="6" s="1"/>
  <c r="E20" i="6"/>
  <c r="D20" i="6"/>
  <c r="H18" i="6"/>
  <c r="F7" i="17" s="1"/>
  <c r="G18" i="6"/>
  <c r="H17" i="6"/>
  <c r="G17" i="6"/>
  <c r="H16" i="6"/>
  <c r="F7" i="15" s="1"/>
  <c r="G16" i="6"/>
  <c r="H15" i="6"/>
  <c r="F7" i="14" s="1"/>
  <c r="G15" i="6"/>
  <c r="H14" i="6"/>
  <c r="G14" i="6"/>
  <c r="H13" i="6"/>
  <c r="F7" i="11" s="1"/>
  <c r="G13" i="6"/>
  <c r="H11" i="6"/>
  <c r="F7" i="10" s="1"/>
  <c r="G11" i="6"/>
  <c r="H10" i="6"/>
  <c r="F6" i="9" s="1"/>
  <c r="H9" i="6"/>
  <c r="E8" i="6"/>
  <c r="D8" i="6"/>
  <c r="P98" i="5"/>
  <c r="O98" i="5"/>
  <c r="N98" i="5"/>
  <c r="M98" i="5"/>
  <c r="L98" i="5"/>
  <c r="K98" i="5"/>
  <c r="I98" i="5"/>
  <c r="H98" i="5"/>
  <c r="E98" i="5"/>
  <c r="D98" i="5"/>
  <c r="C98" i="5"/>
  <c r="B98" i="5"/>
  <c r="R97" i="5"/>
  <c r="R96" i="5"/>
  <c r="R95" i="5"/>
  <c r="R94" i="5"/>
  <c r="R93" i="5"/>
  <c r="P93" i="5"/>
  <c r="P99" i="5" s="1"/>
  <c r="O93" i="5"/>
  <c r="N93" i="5"/>
  <c r="N99" i="5" s="1"/>
  <c r="M93" i="5"/>
  <c r="M99" i="5" s="1"/>
  <c r="L93" i="5"/>
  <c r="K93" i="5"/>
  <c r="K99" i="5" s="1"/>
  <c r="I93" i="5"/>
  <c r="H93" i="5"/>
  <c r="H99" i="5" s="1"/>
  <c r="E93" i="5"/>
  <c r="E99" i="5" s="1"/>
  <c r="D93" i="5"/>
  <c r="C93" i="5"/>
  <c r="B93" i="5"/>
  <c r="R92" i="5"/>
  <c r="R91" i="5"/>
  <c r="R90" i="5"/>
  <c r="R89" i="5"/>
  <c r="R88" i="5"/>
  <c r="R87" i="5"/>
  <c r="R86" i="5"/>
  <c r="R85" i="5"/>
  <c r="R84" i="5"/>
  <c r="R83" i="5"/>
  <c r="L62" i="5"/>
  <c r="L63" i="5" s="1"/>
  <c r="F62" i="5"/>
  <c r="M58" i="5"/>
  <c r="H58" i="5"/>
  <c r="H57" i="5"/>
  <c r="H56" i="5"/>
  <c r="H55" i="5"/>
  <c r="L54" i="5"/>
  <c r="N52" i="5"/>
  <c r="O52" i="5" s="1"/>
  <c r="H52" i="5"/>
  <c r="N51" i="5"/>
  <c r="O51" i="5" s="1"/>
  <c r="H51" i="5"/>
  <c r="N50" i="5"/>
  <c r="O50" i="5" s="1"/>
  <c r="H50" i="5"/>
  <c r="N49" i="5"/>
  <c r="O49" i="5" s="1"/>
  <c r="N48" i="5"/>
  <c r="O48" i="5" s="1"/>
  <c r="N47" i="5"/>
  <c r="O47" i="5" s="1"/>
  <c r="H40" i="5"/>
  <c r="J27" i="5"/>
  <c r="I27" i="5"/>
  <c r="H27" i="5"/>
  <c r="J26" i="5"/>
  <c r="I26" i="5"/>
  <c r="H26" i="5"/>
  <c r="J25" i="5"/>
  <c r="I25" i="5"/>
  <c r="H25" i="5"/>
  <c r="E24" i="5"/>
  <c r="D24" i="5"/>
  <c r="J22" i="5"/>
  <c r="I22" i="5"/>
  <c r="H22" i="5"/>
  <c r="J21" i="5"/>
  <c r="J20" i="5" s="1"/>
  <c r="I21" i="5"/>
  <c r="H21" i="5"/>
  <c r="E20" i="5"/>
  <c r="D20" i="5"/>
  <c r="J18" i="5"/>
  <c r="I18" i="5"/>
  <c r="H18" i="5"/>
  <c r="J17" i="5"/>
  <c r="I17" i="5"/>
  <c r="H17" i="5"/>
  <c r="J16" i="5"/>
  <c r="I16" i="5"/>
  <c r="H16" i="5"/>
  <c r="J15" i="5"/>
  <c r="I15" i="5"/>
  <c r="H15" i="5"/>
  <c r="J14" i="5"/>
  <c r="I14" i="5"/>
  <c r="H14" i="5"/>
  <c r="J13" i="5"/>
  <c r="I13" i="5"/>
  <c r="H13" i="5"/>
  <c r="J11" i="5"/>
  <c r="I11" i="5"/>
  <c r="H11" i="5"/>
  <c r="J10" i="5"/>
  <c r="I10" i="5"/>
  <c r="H10" i="5"/>
  <c r="J9" i="5"/>
  <c r="I9" i="5"/>
  <c r="H9" i="5"/>
  <c r="F8" i="5"/>
  <c r="F6" i="5" s="1"/>
  <c r="E8" i="5"/>
  <c r="D8" i="5"/>
  <c r="D122" i="4"/>
  <c r="D121" i="4"/>
  <c r="D120" i="4"/>
  <c r="D119" i="4"/>
  <c r="D118" i="4"/>
  <c r="D117" i="4"/>
  <c r="F116" i="4"/>
  <c r="D116" i="4"/>
  <c r="D115" i="4"/>
  <c r="D114" i="4"/>
  <c r="D113" i="4"/>
  <c r="D112" i="4"/>
  <c r="F111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X92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X44" i="4"/>
  <c r="D44" i="4"/>
  <c r="D43" i="4"/>
  <c r="D42" i="4"/>
  <c r="D41" i="4"/>
  <c r="D40" i="4"/>
  <c r="D39" i="4"/>
  <c r="D38" i="4"/>
  <c r="D37" i="4"/>
  <c r="D36" i="4"/>
  <c r="N35" i="4"/>
  <c r="D35" i="4"/>
  <c r="D34" i="4"/>
  <c r="D33" i="4"/>
  <c r="D32" i="4"/>
  <c r="X31" i="4"/>
  <c r="D31" i="4"/>
  <c r="D30" i="4"/>
  <c r="D29" i="4"/>
  <c r="D28" i="4"/>
  <c r="F27" i="4"/>
  <c r="D27" i="4"/>
  <c r="D26" i="4"/>
  <c r="D25" i="4"/>
  <c r="D24" i="4"/>
  <c r="L23" i="4"/>
  <c r="D23" i="4"/>
  <c r="D22" i="4"/>
  <c r="D21" i="4"/>
  <c r="D20" i="4"/>
  <c r="D19" i="4"/>
  <c r="D18" i="4"/>
  <c r="D17" i="4"/>
  <c r="D16" i="4"/>
  <c r="D15" i="4"/>
  <c r="D14" i="4"/>
  <c r="D13" i="4"/>
  <c r="D12" i="4"/>
  <c r="L11" i="4"/>
  <c r="D11" i="4"/>
  <c r="D10" i="4"/>
  <c r="W9" i="4"/>
  <c r="I9" i="4"/>
  <c r="P72" i="4" s="1"/>
  <c r="H9" i="4"/>
  <c r="O120" i="4" s="1"/>
  <c r="G9" i="4"/>
  <c r="N120" i="4" s="1"/>
  <c r="E9" i="4"/>
  <c r="X122" i="4" s="1"/>
  <c r="C9" i="4"/>
  <c r="L119" i="4" s="1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H7" i="3"/>
  <c r="N97" i="3" s="1"/>
  <c r="E7" i="3"/>
  <c r="I120" i="3" s="1"/>
  <c r="C7" i="3"/>
  <c r="J117" i="3" s="1"/>
  <c r="AN122" i="2"/>
  <c r="AO122" i="2" s="1"/>
  <c r="AF122" i="2"/>
  <c r="E122" i="2"/>
  <c r="F122" i="2" s="1"/>
  <c r="AN121" i="2"/>
  <c r="AO121" i="2" s="1"/>
  <c r="AF121" i="2"/>
  <c r="E121" i="2"/>
  <c r="F121" i="2" s="1"/>
  <c r="AN120" i="2"/>
  <c r="AO120" i="2" s="1"/>
  <c r="AF120" i="2"/>
  <c r="E120" i="2"/>
  <c r="F120" i="2" s="1"/>
  <c r="AN119" i="2"/>
  <c r="AO119" i="2" s="1"/>
  <c r="AF119" i="2"/>
  <c r="E119" i="2"/>
  <c r="F119" i="2" s="1"/>
  <c r="AN118" i="2"/>
  <c r="AO118" i="2" s="1"/>
  <c r="AF118" i="2"/>
  <c r="E118" i="2"/>
  <c r="F118" i="2" s="1"/>
  <c r="AN117" i="2"/>
  <c r="AO117" i="2" s="1"/>
  <c r="AF117" i="2"/>
  <c r="E117" i="2"/>
  <c r="F117" i="2" s="1"/>
  <c r="AN116" i="2"/>
  <c r="AO116" i="2" s="1"/>
  <c r="AF116" i="2"/>
  <c r="E116" i="2"/>
  <c r="F116" i="2" s="1"/>
  <c r="AN115" i="2"/>
  <c r="AO115" i="2" s="1"/>
  <c r="AF115" i="2"/>
  <c r="E115" i="2"/>
  <c r="F115" i="2" s="1"/>
  <c r="AN114" i="2"/>
  <c r="AO114" i="2" s="1"/>
  <c r="AF114" i="2"/>
  <c r="E114" i="2"/>
  <c r="F114" i="2" s="1"/>
  <c r="AN113" i="2"/>
  <c r="AO113" i="2" s="1"/>
  <c r="AF113" i="2"/>
  <c r="E113" i="2"/>
  <c r="F113" i="2" s="1"/>
  <c r="AN112" i="2"/>
  <c r="AO112" i="2" s="1"/>
  <c r="AF112" i="2"/>
  <c r="E112" i="2"/>
  <c r="F112" i="2" s="1"/>
  <c r="AN111" i="2"/>
  <c r="AO111" i="2" s="1"/>
  <c r="AF111" i="2"/>
  <c r="E111" i="2"/>
  <c r="F111" i="2" s="1"/>
  <c r="AN110" i="2"/>
  <c r="AO110" i="2" s="1"/>
  <c r="AF110" i="2"/>
  <c r="E110" i="2"/>
  <c r="F110" i="2" s="1"/>
  <c r="AN109" i="2"/>
  <c r="AO109" i="2" s="1"/>
  <c r="AF109" i="2"/>
  <c r="E109" i="2"/>
  <c r="F109" i="2" s="1"/>
  <c r="AN108" i="2"/>
  <c r="AO108" i="2" s="1"/>
  <c r="AF108" i="2"/>
  <c r="E108" i="2"/>
  <c r="F108" i="2" s="1"/>
  <c r="AN107" i="2"/>
  <c r="AO107" i="2" s="1"/>
  <c r="AF107" i="2"/>
  <c r="E107" i="2"/>
  <c r="F107" i="2" s="1"/>
  <c r="AN106" i="2"/>
  <c r="AO106" i="2" s="1"/>
  <c r="AF106" i="2"/>
  <c r="E106" i="2"/>
  <c r="F106" i="2" s="1"/>
  <c r="AN105" i="2"/>
  <c r="AO105" i="2" s="1"/>
  <c r="AF105" i="2"/>
  <c r="E105" i="2"/>
  <c r="F105" i="2" s="1"/>
  <c r="AN104" i="2"/>
  <c r="AO104" i="2" s="1"/>
  <c r="AF104" i="2"/>
  <c r="E104" i="2"/>
  <c r="F104" i="2" s="1"/>
  <c r="AN103" i="2"/>
  <c r="AO103" i="2" s="1"/>
  <c r="AF103" i="2"/>
  <c r="E103" i="2"/>
  <c r="F103" i="2" s="1"/>
  <c r="AN102" i="2"/>
  <c r="AO102" i="2" s="1"/>
  <c r="AF102" i="2"/>
  <c r="E102" i="2"/>
  <c r="F102" i="2" s="1"/>
  <c r="AN101" i="2"/>
  <c r="AO101" i="2" s="1"/>
  <c r="AF101" i="2"/>
  <c r="E101" i="2"/>
  <c r="F101" i="2" s="1"/>
  <c r="AN100" i="2"/>
  <c r="AO100" i="2" s="1"/>
  <c r="AF100" i="2"/>
  <c r="E100" i="2"/>
  <c r="F100" i="2" s="1"/>
  <c r="AN99" i="2"/>
  <c r="AO99" i="2" s="1"/>
  <c r="AF99" i="2"/>
  <c r="E99" i="2"/>
  <c r="F99" i="2" s="1"/>
  <c r="AN98" i="2"/>
  <c r="AO98" i="2" s="1"/>
  <c r="AF98" i="2"/>
  <c r="E98" i="2"/>
  <c r="F98" i="2" s="1"/>
  <c r="AN97" i="2"/>
  <c r="AO97" i="2" s="1"/>
  <c r="AF97" i="2"/>
  <c r="E97" i="2"/>
  <c r="F97" i="2" s="1"/>
  <c r="AN96" i="2"/>
  <c r="AO96" i="2" s="1"/>
  <c r="AF96" i="2"/>
  <c r="E96" i="2"/>
  <c r="F96" i="2" s="1"/>
  <c r="AN95" i="2"/>
  <c r="AO95" i="2" s="1"/>
  <c r="AF95" i="2"/>
  <c r="E95" i="2"/>
  <c r="F95" i="2" s="1"/>
  <c r="AN94" i="2"/>
  <c r="AO94" i="2" s="1"/>
  <c r="AF94" i="2"/>
  <c r="E94" i="2"/>
  <c r="F94" i="2" s="1"/>
  <c r="AN93" i="2"/>
  <c r="AO93" i="2" s="1"/>
  <c r="AF93" i="2"/>
  <c r="E93" i="2"/>
  <c r="F93" i="2" s="1"/>
  <c r="AN92" i="2"/>
  <c r="AO92" i="2" s="1"/>
  <c r="AF92" i="2"/>
  <c r="E92" i="2"/>
  <c r="F92" i="2" s="1"/>
  <c r="AN91" i="2"/>
  <c r="AO91" i="2" s="1"/>
  <c r="AF91" i="2"/>
  <c r="E91" i="2"/>
  <c r="F91" i="2" s="1"/>
  <c r="AN90" i="2"/>
  <c r="AO90" i="2" s="1"/>
  <c r="AF90" i="2"/>
  <c r="E90" i="2"/>
  <c r="F90" i="2" s="1"/>
  <c r="AN89" i="2"/>
  <c r="AO89" i="2" s="1"/>
  <c r="AF89" i="2"/>
  <c r="E89" i="2"/>
  <c r="F89" i="2" s="1"/>
  <c r="AN88" i="2"/>
  <c r="AO88" i="2" s="1"/>
  <c r="AF88" i="2"/>
  <c r="E88" i="2"/>
  <c r="F88" i="2" s="1"/>
  <c r="AN87" i="2"/>
  <c r="AO87" i="2" s="1"/>
  <c r="AF87" i="2"/>
  <c r="E87" i="2"/>
  <c r="F87" i="2" s="1"/>
  <c r="AN86" i="2"/>
  <c r="AO86" i="2" s="1"/>
  <c r="AF86" i="2"/>
  <c r="E86" i="2"/>
  <c r="F86" i="2" s="1"/>
  <c r="AN85" i="2"/>
  <c r="AO85" i="2" s="1"/>
  <c r="AF85" i="2"/>
  <c r="E85" i="2"/>
  <c r="F85" i="2" s="1"/>
  <c r="AN84" i="2"/>
  <c r="AO84" i="2" s="1"/>
  <c r="AF84" i="2"/>
  <c r="E84" i="2"/>
  <c r="F84" i="2" s="1"/>
  <c r="AN83" i="2"/>
  <c r="AO83" i="2" s="1"/>
  <c r="AF83" i="2"/>
  <c r="E83" i="2"/>
  <c r="F83" i="2" s="1"/>
  <c r="AN82" i="2"/>
  <c r="AO82" i="2" s="1"/>
  <c r="AF82" i="2"/>
  <c r="E82" i="2"/>
  <c r="F82" i="2" s="1"/>
  <c r="AN81" i="2"/>
  <c r="AO81" i="2" s="1"/>
  <c r="AF81" i="2"/>
  <c r="E81" i="2"/>
  <c r="F81" i="2" s="1"/>
  <c r="AN80" i="2"/>
  <c r="AO80" i="2" s="1"/>
  <c r="AF80" i="2"/>
  <c r="E80" i="2"/>
  <c r="F80" i="2" s="1"/>
  <c r="AN79" i="2"/>
  <c r="AO79" i="2" s="1"/>
  <c r="AF79" i="2"/>
  <c r="E79" i="2"/>
  <c r="F79" i="2" s="1"/>
  <c r="AN78" i="2"/>
  <c r="AO78" i="2" s="1"/>
  <c r="AF78" i="2"/>
  <c r="E78" i="2"/>
  <c r="F78" i="2" s="1"/>
  <c r="AN77" i="2"/>
  <c r="AO77" i="2" s="1"/>
  <c r="AF77" i="2"/>
  <c r="E77" i="2"/>
  <c r="F77" i="2" s="1"/>
  <c r="AN76" i="2"/>
  <c r="AO76" i="2" s="1"/>
  <c r="AF76" i="2"/>
  <c r="E76" i="2"/>
  <c r="F76" i="2" s="1"/>
  <c r="AN75" i="2"/>
  <c r="AO75" i="2" s="1"/>
  <c r="AF75" i="2"/>
  <c r="E75" i="2"/>
  <c r="F75" i="2" s="1"/>
  <c r="AN74" i="2"/>
  <c r="AO74" i="2" s="1"/>
  <c r="AF74" i="2"/>
  <c r="E74" i="2"/>
  <c r="F74" i="2" s="1"/>
  <c r="AN73" i="2"/>
  <c r="AO73" i="2" s="1"/>
  <c r="AF73" i="2"/>
  <c r="E73" i="2"/>
  <c r="F73" i="2" s="1"/>
  <c r="AN72" i="2"/>
  <c r="AO72" i="2" s="1"/>
  <c r="AF72" i="2"/>
  <c r="E72" i="2"/>
  <c r="F72" i="2" s="1"/>
  <c r="AN71" i="2"/>
  <c r="AO71" i="2" s="1"/>
  <c r="AF71" i="2"/>
  <c r="E71" i="2"/>
  <c r="F71" i="2" s="1"/>
  <c r="AN70" i="2"/>
  <c r="AO70" i="2" s="1"/>
  <c r="AF70" i="2"/>
  <c r="E70" i="2"/>
  <c r="F70" i="2" s="1"/>
  <c r="AN69" i="2"/>
  <c r="AO69" i="2" s="1"/>
  <c r="AF69" i="2"/>
  <c r="E69" i="2"/>
  <c r="F69" i="2" s="1"/>
  <c r="AN68" i="2"/>
  <c r="AO68" i="2" s="1"/>
  <c r="AF68" i="2"/>
  <c r="E68" i="2"/>
  <c r="F68" i="2" s="1"/>
  <c r="AN67" i="2"/>
  <c r="AO67" i="2" s="1"/>
  <c r="AF67" i="2"/>
  <c r="E67" i="2"/>
  <c r="F67" i="2" s="1"/>
  <c r="AN66" i="2"/>
  <c r="AO66" i="2" s="1"/>
  <c r="AF66" i="2"/>
  <c r="E66" i="2"/>
  <c r="F66" i="2" s="1"/>
  <c r="AN65" i="2"/>
  <c r="AO65" i="2" s="1"/>
  <c r="AF65" i="2"/>
  <c r="E65" i="2"/>
  <c r="F65" i="2" s="1"/>
  <c r="AN64" i="2"/>
  <c r="AO64" i="2" s="1"/>
  <c r="AF64" i="2"/>
  <c r="E64" i="2"/>
  <c r="F64" i="2" s="1"/>
  <c r="AN63" i="2"/>
  <c r="AO63" i="2" s="1"/>
  <c r="AF63" i="2"/>
  <c r="E63" i="2"/>
  <c r="F63" i="2" s="1"/>
  <c r="AN62" i="2"/>
  <c r="AO62" i="2" s="1"/>
  <c r="AF62" i="2"/>
  <c r="E62" i="2"/>
  <c r="F62" i="2" s="1"/>
  <c r="AN61" i="2"/>
  <c r="AO61" i="2" s="1"/>
  <c r="AF61" i="2"/>
  <c r="E61" i="2"/>
  <c r="F61" i="2" s="1"/>
  <c r="AN60" i="2"/>
  <c r="AO60" i="2" s="1"/>
  <c r="AF60" i="2"/>
  <c r="E60" i="2"/>
  <c r="F60" i="2" s="1"/>
  <c r="AN59" i="2"/>
  <c r="AO59" i="2" s="1"/>
  <c r="AF59" i="2"/>
  <c r="E59" i="2"/>
  <c r="F59" i="2" s="1"/>
  <c r="AN58" i="2"/>
  <c r="AO58" i="2" s="1"/>
  <c r="AF58" i="2"/>
  <c r="E58" i="2"/>
  <c r="F58" i="2" s="1"/>
  <c r="AN57" i="2"/>
  <c r="AO57" i="2" s="1"/>
  <c r="AF57" i="2"/>
  <c r="E57" i="2"/>
  <c r="F57" i="2" s="1"/>
  <c r="AN56" i="2"/>
  <c r="AO56" i="2" s="1"/>
  <c r="AF56" i="2"/>
  <c r="E56" i="2"/>
  <c r="F56" i="2" s="1"/>
  <c r="AN55" i="2"/>
  <c r="AO55" i="2" s="1"/>
  <c r="AF55" i="2"/>
  <c r="E55" i="2"/>
  <c r="F55" i="2" s="1"/>
  <c r="AN54" i="2"/>
  <c r="AO54" i="2" s="1"/>
  <c r="AF54" i="2"/>
  <c r="E54" i="2"/>
  <c r="F54" i="2" s="1"/>
  <c r="AN53" i="2"/>
  <c r="AO53" i="2" s="1"/>
  <c r="AF53" i="2"/>
  <c r="E53" i="2"/>
  <c r="F53" i="2" s="1"/>
  <c r="AN52" i="2"/>
  <c r="AO52" i="2" s="1"/>
  <c r="AF52" i="2"/>
  <c r="E52" i="2"/>
  <c r="F52" i="2" s="1"/>
  <c r="AN51" i="2"/>
  <c r="AO51" i="2" s="1"/>
  <c r="AF51" i="2"/>
  <c r="E51" i="2"/>
  <c r="F51" i="2" s="1"/>
  <c r="AN50" i="2"/>
  <c r="AO50" i="2" s="1"/>
  <c r="AF50" i="2"/>
  <c r="E50" i="2"/>
  <c r="F50" i="2" s="1"/>
  <c r="AN49" i="2"/>
  <c r="AO49" i="2" s="1"/>
  <c r="AF49" i="2"/>
  <c r="E49" i="2"/>
  <c r="F49" i="2" s="1"/>
  <c r="AN48" i="2"/>
  <c r="AO48" i="2" s="1"/>
  <c r="AF48" i="2"/>
  <c r="E48" i="2"/>
  <c r="F48" i="2" s="1"/>
  <c r="AN47" i="2"/>
  <c r="AO47" i="2" s="1"/>
  <c r="AF47" i="2"/>
  <c r="E47" i="2"/>
  <c r="F47" i="2" s="1"/>
  <c r="AN46" i="2"/>
  <c r="AO46" i="2" s="1"/>
  <c r="AF46" i="2"/>
  <c r="E46" i="2"/>
  <c r="F46" i="2" s="1"/>
  <c r="AN45" i="2"/>
  <c r="AO45" i="2" s="1"/>
  <c r="AF45" i="2"/>
  <c r="E45" i="2"/>
  <c r="F45" i="2" s="1"/>
  <c r="AN44" i="2"/>
  <c r="AO44" i="2" s="1"/>
  <c r="AF44" i="2"/>
  <c r="E44" i="2"/>
  <c r="F44" i="2" s="1"/>
  <c r="AN43" i="2"/>
  <c r="AO43" i="2" s="1"/>
  <c r="AF43" i="2"/>
  <c r="E43" i="2"/>
  <c r="F43" i="2" s="1"/>
  <c r="AN42" i="2"/>
  <c r="AO42" i="2" s="1"/>
  <c r="AF42" i="2"/>
  <c r="E42" i="2"/>
  <c r="F42" i="2" s="1"/>
  <c r="AN41" i="2"/>
  <c r="AO41" i="2" s="1"/>
  <c r="AF41" i="2"/>
  <c r="E41" i="2"/>
  <c r="F41" i="2" s="1"/>
  <c r="AN40" i="2"/>
  <c r="AO40" i="2" s="1"/>
  <c r="AF40" i="2"/>
  <c r="E40" i="2"/>
  <c r="F40" i="2" s="1"/>
  <c r="AN39" i="2"/>
  <c r="AO39" i="2" s="1"/>
  <c r="AF39" i="2"/>
  <c r="E39" i="2"/>
  <c r="F39" i="2" s="1"/>
  <c r="AN38" i="2"/>
  <c r="AO38" i="2" s="1"/>
  <c r="AF38" i="2"/>
  <c r="E38" i="2"/>
  <c r="F38" i="2" s="1"/>
  <c r="AN37" i="2"/>
  <c r="AO37" i="2" s="1"/>
  <c r="AF37" i="2"/>
  <c r="E37" i="2"/>
  <c r="F37" i="2" s="1"/>
  <c r="AN36" i="2"/>
  <c r="AO36" i="2" s="1"/>
  <c r="AF36" i="2"/>
  <c r="E36" i="2"/>
  <c r="F36" i="2" s="1"/>
  <c r="AN35" i="2"/>
  <c r="AO35" i="2" s="1"/>
  <c r="AF35" i="2"/>
  <c r="E35" i="2"/>
  <c r="F35" i="2" s="1"/>
  <c r="AN34" i="2"/>
  <c r="AO34" i="2" s="1"/>
  <c r="AF34" i="2"/>
  <c r="E34" i="2"/>
  <c r="F34" i="2" s="1"/>
  <c r="AN33" i="2"/>
  <c r="AO33" i="2" s="1"/>
  <c r="AF33" i="2"/>
  <c r="E33" i="2"/>
  <c r="F33" i="2" s="1"/>
  <c r="AN32" i="2"/>
  <c r="AO32" i="2" s="1"/>
  <c r="AF32" i="2"/>
  <c r="E32" i="2"/>
  <c r="F32" i="2" s="1"/>
  <c r="AN31" i="2"/>
  <c r="AO31" i="2" s="1"/>
  <c r="AF31" i="2"/>
  <c r="E31" i="2"/>
  <c r="F31" i="2" s="1"/>
  <c r="AN30" i="2"/>
  <c r="AO30" i="2" s="1"/>
  <c r="AF30" i="2"/>
  <c r="E30" i="2"/>
  <c r="F30" i="2" s="1"/>
  <c r="AN29" i="2"/>
  <c r="AO29" i="2" s="1"/>
  <c r="AF29" i="2"/>
  <c r="E29" i="2"/>
  <c r="F29" i="2" s="1"/>
  <c r="AN28" i="2"/>
  <c r="AO28" i="2" s="1"/>
  <c r="AF28" i="2"/>
  <c r="E28" i="2"/>
  <c r="F28" i="2" s="1"/>
  <c r="AN27" i="2"/>
  <c r="AO27" i="2" s="1"/>
  <c r="AF27" i="2"/>
  <c r="E27" i="2"/>
  <c r="F27" i="2" s="1"/>
  <c r="AN26" i="2"/>
  <c r="AO26" i="2" s="1"/>
  <c r="AF26" i="2"/>
  <c r="E26" i="2"/>
  <c r="F26" i="2" s="1"/>
  <c r="AN25" i="2"/>
  <c r="AO25" i="2" s="1"/>
  <c r="AF25" i="2"/>
  <c r="E25" i="2"/>
  <c r="F25" i="2" s="1"/>
  <c r="AN24" i="2"/>
  <c r="AO24" i="2" s="1"/>
  <c r="AF24" i="2"/>
  <c r="E24" i="2"/>
  <c r="F24" i="2" s="1"/>
  <c r="AN23" i="2"/>
  <c r="AO23" i="2" s="1"/>
  <c r="AF23" i="2"/>
  <c r="E23" i="2"/>
  <c r="F23" i="2" s="1"/>
  <c r="AN22" i="2"/>
  <c r="AO22" i="2" s="1"/>
  <c r="AF22" i="2"/>
  <c r="E22" i="2"/>
  <c r="F22" i="2" s="1"/>
  <c r="AN21" i="2"/>
  <c r="AO21" i="2" s="1"/>
  <c r="AF21" i="2"/>
  <c r="E21" i="2"/>
  <c r="F21" i="2" s="1"/>
  <c r="AN20" i="2"/>
  <c r="AO20" i="2" s="1"/>
  <c r="AF20" i="2"/>
  <c r="E20" i="2"/>
  <c r="F20" i="2" s="1"/>
  <c r="AN19" i="2"/>
  <c r="AO19" i="2" s="1"/>
  <c r="AF19" i="2"/>
  <c r="E19" i="2"/>
  <c r="F19" i="2" s="1"/>
  <c r="AN18" i="2"/>
  <c r="AO18" i="2" s="1"/>
  <c r="AF18" i="2"/>
  <c r="E18" i="2"/>
  <c r="F18" i="2" s="1"/>
  <c r="AN17" i="2"/>
  <c r="AO17" i="2" s="1"/>
  <c r="AF17" i="2"/>
  <c r="E17" i="2"/>
  <c r="F17" i="2" s="1"/>
  <c r="AN16" i="2"/>
  <c r="AO16" i="2" s="1"/>
  <c r="AF16" i="2"/>
  <c r="E16" i="2"/>
  <c r="F16" i="2" s="1"/>
  <c r="AN15" i="2"/>
  <c r="AO15" i="2" s="1"/>
  <c r="AF15" i="2"/>
  <c r="E15" i="2"/>
  <c r="F15" i="2" s="1"/>
  <c r="AN14" i="2"/>
  <c r="AO14" i="2" s="1"/>
  <c r="AF14" i="2"/>
  <c r="E14" i="2"/>
  <c r="F14" i="2" s="1"/>
  <c r="AN13" i="2"/>
  <c r="AO13" i="2" s="1"/>
  <c r="AF13" i="2"/>
  <c r="E13" i="2"/>
  <c r="F13" i="2" s="1"/>
  <c r="AN12" i="2"/>
  <c r="AO12" i="2" s="1"/>
  <c r="AF12" i="2"/>
  <c r="E12" i="2"/>
  <c r="F12" i="2" s="1"/>
  <c r="AN11" i="2"/>
  <c r="AO11" i="2" s="1"/>
  <c r="AF11" i="2"/>
  <c r="E11" i="2"/>
  <c r="F11" i="2" s="1"/>
  <c r="AO10" i="2"/>
  <c r="AF10" i="2"/>
  <c r="E10" i="2"/>
  <c r="F10" i="2" s="1"/>
  <c r="AK9" i="2"/>
  <c r="AJ9" i="2"/>
  <c r="AE9" i="2"/>
  <c r="AD9" i="2"/>
  <c r="W9" i="2"/>
  <c r="Z9" i="2" s="1"/>
  <c r="V9" i="2"/>
  <c r="U9" i="2"/>
  <c r="T9" i="2"/>
  <c r="S9" i="2"/>
  <c r="N9" i="2"/>
  <c r="P9" i="2" s="1"/>
  <c r="M9" i="2"/>
  <c r="L9" i="2"/>
  <c r="K9" i="2"/>
  <c r="J9" i="2"/>
  <c r="D9" i="2"/>
  <c r="C9" i="2"/>
  <c r="I129" i="1"/>
  <c r="E129" i="1"/>
  <c r="C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P64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P46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N31" i="1"/>
  <c r="D31" i="1"/>
  <c r="D30" i="1"/>
  <c r="D29" i="1"/>
  <c r="P28" i="1"/>
  <c r="D28" i="1"/>
  <c r="D27" i="1"/>
  <c r="D26" i="1"/>
  <c r="D25" i="1"/>
  <c r="P24" i="1"/>
  <c r="D24" i="1"/>
  <c r="D23" i="1"/>
  <c r="D22" i="1"/>
  <c r="D21" i="1"/>
  <c r="D20" i="1"/>
  <c r="D19" i="1"/>
  <c r="D18" i="1"/>
  <c r="D17" i="1"/>
  <c r="P16" i="1"/>
  <c r="D16" i="1"/>
  <c r="AG15" i="1"/>
  <c r="AH15" i="1" s="1"/>
  <c r="AF15" i="1"/>
  <c r="AB15" i="1"/>
  <c r="AA15" i="1"/>
  <c r="W15" i="1"/>
  <c r="V15" i="1"/>
  <c r="I15" i="1"/>
  <c r="P88" i="1" s="1"/>
  <c r="H15" i="1"/>
  <c r="O121" i="1" s="1"/>
  <c r="G15" i="1"/>
  <c r="N47" i="1" s="1"/>
  <c r="E15" i="1"/>
  <c r="F26" i="1" s="1"/>
  <c r="C15" i="1"/>
  <c r="L61" i="1" s="1"/>
  <c r="C25" i="20" l="1"/>
  <c r="C21" i="20"/>
  <c r="F7" i="9"/>
  <c r="F11" i="9" s="1"/>
  <c r="H12" i="6"/>
  <c r="D4" i="13"/>
  <c r="I12" i="6"/>
  <c r="J12" i="6" s="1"/>
  <c r="H8" i="6"/>
  <c r="E9" i="2"/>
  <c r="F9" i="2" s="1"/>
  <c r="Q89" i="23"/>
  <c r="P89" i="23"/>
  <c r="P18" i="1"/>
  <c r="AF9" i="2"/>
  <c r="N19" i="1"/>
  <c r="P74" i="1"/>
  <c r="X18" i="4"/>
  <c r="P20" i="1"/>
  <c r="X19" i="4"/>
  <c r="F8" i="15"/>
  <c r="F9" i="15"/>
  <c r="F10" i="15"/>
  <c r="F37" i="1"/>
  <c r="N55" i="1"/>
  <c r="K9" i="5"/>
  <c r="L9" i="5" s="1"/>
  <c r="K18" i="5"/>
  <c r="L18" i="5" s="1"/>
  <c r="P64" i="22"/>
  <c r="D19" i="23"/>
  <c r="E19" i="23" s="1"/>
  <c r="L19" i="23" s="1"/>
  <c r="D29" i="23"/>
  <c r="E29" i="23" s="1"/>
  <c r="D40" i="23"/>
  <c r="E40" i="23" s="1"/>
  <c r="D50" i="23"/>
  <c r="E50" i="23" s="1"/>
  <c r="D62" i="23"/>
  <c r="E62" i="23" s="1"/>
  <c r="D98" i="23"/>
  <c r="E98" i="23" s="1"/>
  <c r="D108" i="23"/>
  <c r="E108" i="23" s="1"/>
  <c r="M108" i="23" s="1"/>
  <c r="O15" i="18"/>
  <c r="P22" i="1"/>
  <c r="C99" i="5"/>
  <c r="F9" i="17"/>
  <c r="F8" i="17"/>
  <c r="F10" i="17"/>
  <c r="P40" i="1"/>
  <c r="I20" i="5"/>
  <c r="N95" i="6"/>
  <c r="K20" i="23"/>
  <c r="G30" i="23"/>
  <c r="H64" i="23"/>
  <c r="K99" i="23"/>
  <c r="K121" i="23"/>
  <c r="K21" i="5"/>
  <c r="L21" i="5" s="1"/>
  <c r="L31" i="23"/>
  <c r="Q99" i="23"/>
  <c r="D126" i="23"/>
  <c r="E126" i="23" s="1"/>
  <c r="Q126" i="23" s="1"/>
  <c r="F42" i="1"/>
  <c r="X68" i="4"/>
  <c r="H20" i="5"/>
  <c r="K21" i="23"/>
  <c r="N31" i="23"/>
  <c r="L52" i="23"/>
  <c r="M64" i="23"/>
  <c r="D75" i="23"/>
  <c r="E75" i="23" s="1"/>
  <c r="N75" i="23" s="1"/>
  <c r="D100" i="23"/>
  <c r="E100" i="23" s="1"/>
  <c r="D127" i="23"/>
  <c r="E127" i="23" s="1"/>
  <c r="P42" i="1"/>
  <c r="K13" i="5"/>
  <c r="L13" i="5" s="1"/>
  <c r="E6" i="6"/>
  <c r="L21" i="23"/>
  <c r="N27" i="1"/>
  <c r="O10" i="4"/>
  <c r="P12" i="22"/>
  <c r="N21" i="23"/>
  <c r="D33" i="23"/>
  <c r="E33" i="23" s="1"/>
  <c r="G43" i="23"/>
  <c r="D53" i="23"/>
  <c r="E53" i="23" s="1"/>
  <c r="P53" i="23" s="1"/>
  <c r="J76" i="23"/>
  <c r="D90" i="23"/>
  <c r="E90" i="23" s="1"/>
  <c r="M90" i="23" s="1"/>
  <c r="D22" i="23"/>
  <c r="E22" i="23" s="1"/>
  <c r="H43" i="23"/>
  <c r="D54" i="23"/>
  <c r="E54" i="23" s="1"/>
  <c r="P54" i="23" s="1"/>
  <c r="D65" i="23"/>
  <c r="E65" i="23" s="1"/>
  <c r="M76" i="23"/>
  <c r="D101" i="23"/>
  <c r="E101" i="23" s="1"/>
  <c r="X49" i="4"/>
  <c r="K14" i="5"/>
  <c r="L14" i="5" s="1"/>
  <c r="P13" i="22"/>
  <c r="I43" i="23"/>
  <c r="F29" i="1"/>
  <c r="X73" i="4"/>
  <c r="F10" i="10"/>
  <c r="F9" i="10"/>
  <c r="F8" i="10"/>
  <c r="G67" i="23"/>
  <c r="D79" i="23"/>
  <c r="E79" i="23" s="1"/>
  <c r="D93" i="23"/>
  <c r="E93" i="23" s="1"/>
  <c r="X14" i="4"/>
  <c r="X97" i="4"/>
  <c r="O34" i="23"/>
  <c r="J45" i="23"/>
  <c r="D57" i="23"/>
  <c r="E57" i="23" s="1"/>
  <c r="N57" i="23" s="1"/>
  <c r="H67" i="23"/>
  <c r="D80" i="23"/>
  <c r="E80" i="23" s="1"/>
  <c r="D94" i="23"/>
  <c r="E94" i="23" s="1"/>
  <c r="H94" i="23" s="1"/>
  <c r="D103" i="23"/>
  <c r="E103" i="23" s="1"/>
  <c r="I67" i="23"/>
  <c r="P36" i="22"/>
  <c r="D16" i="23"/>
  <c r="E16" i="23" s="1"/>
  <c r="N16" i="23" s="1"/>
  <c r="D24" i="23"/>
  <c r="E24" i="23" s="1"/>
  <c r="J24" i="23" s="1"/>
  <c r="G46" i="23"/>
  <c r="J58" i="23"/>
  <c r="L67" i="23"/>
  <c r="F81" i="23"/>
  <c r="R81" i="23" s="1"/>
  <c r="S81" i="23" s="1"/>
  <c r="D105" i="23"/>
  <c r="E105" i="23" s="1"/>
  <c r="P18" i="22"/>
  <c r="D36" i="23"/>
  <c r="E36" i="23" s="1"/>
  <c r="M36" i="23" s="1"/>
  <c r="D47" i="23"/>
  <c r="E47" i="23" s="1"/>
  <c r="O47" i="23" s="1"/>
  <c r="M58" i="23"/>
  <c r="N67" i="23"/>
  <c r="D82" i="23"/>
  <c r="E82" i="23" s="1"/>
  <c r="D96" i="23"/>
  <c r="E96" i="23" s="1"/>
  <c r="N96" i="23" s="1"/>
  <c r="F9" i="11"/>
  <c r="F10" i="11"/>
  <c r="F8" i="11"/>
  <c r="F15" i="4"/>
  <c r="I13" i="6"/>
  <c r="J13" i="6" s="1"/>
  <c r="D6" i="5"/>
  <c r="D17" i="23"/>
  <c r="E17" i="23" s="1"/>
  <c r="H17" i="23" s="1"/>
  <c r="D25" i="23"/>
  <c r="E25" i="23" s="1"/>
  <c r="N25" i="23" s="1"/>
  <c r="D37" i="23"/>
  <c r="E37" i="23" s="1"/>
  <c r="J37" i="23" s="1"/>
  <c r="D48" i="23"/>
  <c r="E48" i="23" s="1"/>
  <c r="P48" i="23" s="1"/>
  <c r="O58" i="23"/>
  <c r="D68" i="23"/>
  <c r="E68" i="23" s="1"/>
  <c r="D97" i="23"/>
  <c r="E97" i="23" s="1"/>
  <c r="E6" i="5"/>
  <c r="P19" i="22"/>
  <c r="P38" i="22"/>
  <c r="D18" i="23"/>
  <c r="E18" i="23" s="1"/>
  <c r="D26" i="23"/>
  <c r="E26" i="23" s="1"/>
  <c r="O26" i="23" s="1"/>
  <c r="D49" i="23"/>
  <c r="E49" i="23" s="1"/>
  <c r="D59" i="23"/>
  <c r="E59" i="23" s="1"/>
  <c r="D69" i="23"/>
  <c r="E69" i="23" s="1"/>
  <c r="D83" i="23"/>
  <c r="E83" i="23" s="1"/>
  <c r="D106" i="23"/>
  <c r="E106" i="23" s="1"/>
  <c r="K26" i="5"/>
  <c r="L26" i="5" s="1"/>
  <c r="D27" i="23"/>
  <c r="E27" i="23" s="1"/>
  <c r="D38" i="23"/>
  <c r="E38" i="23" s="1"/>
  <c r="D84" i="23"/>
  <c r="E84" i="23" s="1"/>
  <c r="Q84" i="23" s="1"/>
  <c r="P50" i="1"/>
  <c r="K17" i="5"/>
  <c r="L17" i="5" s="1"/>
  <c r="P36" i="1"/>
  <c r="P20" i="22"/>
  <c r="D28" i="23"/>
  <c r="E28" i="23" s="1"/>
  <c r="D60" i="23"/>
  <c r="E60" i="23" s="1"/>
  <c r="D70" i="23"/>
  <c r="E70" i="23" s="1"/>
  <c r="D85" i="23"/>
  <c r="E85" i="23" s="1"/>
  <c r="D107" i="23"/>
  <c r="E107" i="23" s="1"/>
  <c r="D26" i="24"/>
  <c r="C1734" i="20"/>
  <c r="F9" i="14"/>
  <c r="F8" i="14"/>
  <c r="F10" i="14"/>
  <c r="D39" i="23"/>
  <c r="E39" i="23" s="1"/>
  <c r="K39" i="23" s="1"/>
  <c r="D61" i="23"/>
  <c r="E61" i="23" s="1"/>
  <c r="F7" i="3"/>
  <c r="L104" i="3" s="1"/>
  <c r="J20" i="3"/>
  <c r="J108" i="3"/>
  <c r="J32" i="3"/>
  <c r="J76" i="3"/>
  <c r="J44" i="3"/>
  <c r="J12" i="3"/>
  <c r="N101" i="3"/>
  <c r="N69" i="3"/>
  <c r="G7" i="3"/>
  <c r="M117" i="3" s="1"/>
  <c r="C129" i="7"/>
  <c r="I95" i="3"/>
  <c r="C102" i="17" s="1"/>
  <c r="J8" i="3"/>
  <c r="D6" i="6"/>
  <c r="F57" i="1"/>
  <c r="F17" i="1"/>
  <c r="F21" i="1"/>
  <c r="L25" i="1"/>
  <c r="F34" i="1"/>
  <c r="P38" i="1"/>
  <c r="L47" i="1"/>
  <c r="N51" i="1"/>
  <c r="Q17" i="23"/>
  <c r="P17" i="23"/>
  <c r="M17" i="23"/>
  <c r="I17" i="23"/>
  <c r="F25" i="1"/>
  <c r="L17" i="1"/>
  <c r="L21" i="1"/>
  <c r="F30" i="1"/>
  <c r="P34" i="1"/>
  <c r="L43" i="1"/>
  <c r="K68" i="23"/>
  <c r="Q68" i="23"/>
  <c r="F68" i="23"/>
  <c r="R68" i="23" s="1"/>
  <c r="S68" i="23" s="1"/>
  <c r="F38" i="1"/>
  <c r="N112" i="1"/>
  <c r="N79" i="1"/>
  <c r="N96" i="1"/>
  <c r="N83" i="1"/>
  <c r="N116" i="1"/>
  <c r="N63" i="1"/>
  <c r="N67" i="1"/>
  <c r="N71" i="1"/>
  <c r="N75" i="1"/>
  <c r="P89" i="1"/>
  <c r="P66" i="1"/>
  <c r="P117" i="1"/>
  <c r="P109" i="1"/>
  <c r="P70" i="1"/>
  <c r="P78" i="1"/>
  <c r="P107" i="1"/>
  <c r="P82" i="1"/>
  <c r="P56" i="1"/>
  <c r="P100" i="1"/>
  <c r="P86" i="1"/>
  <c r="P60" i="1"/>
  <c r="P99" i="1"/>
  <c r="P92" i="1"/>
  <c r="P68" i="1"/>
  <c r="P120" i="1"/>
  <c r="P104" i="1"/>
  <c r="P72" i="1"/>
  <c r="P112" i="1"/>
  <c r="P98" i="1"/>
  <c r="P76" i="1"/>
  <c r="P54" i="1"/>
  <c r="P103" i="1"/>
  <c r="P90" i="1"/>
  <c r="P80" i="1"/>
  <c r="P58" i="1"/>
  <c r="P84" i="1"/>
  <c r="P62" i="1"/>
  <c r="P17" i="1"/>
  <c r="P30" i="1"/>
  <c r="L39" i="1"/>
  <c r="N43" i="1"/>
  <c r="P52" i="1"/>
  <c r="N59" i="1"/>
  <c r="N53" i="23"/>
  <c r="K53" i="23"/>
  <c r="F115" i="1"/>
  <c r="F62" i="1"/>
  <c r="F66" i="1"/>
  <c r="F74" i="1"/>
  <c r="F61" i="1"/>
  <c r="F123" i="1"/>
  <c r="F78" i="1"/>
  <c r="F65" i="1"/>
  <c r="F82" i="1"/>
  <c r="F69" i="1"/>
  <c r="F86" i="1"/>
  <c r="F73" i="1"/>
  <c r="F77" i="1"/>
  <c r="F81" i="1"/>
  <c r="F85" i="1"/>
  <c r="F54" i="1"/>
  <c r="F103" i="1"/>
  <c r="F58" i="1"/>
  <c r="L29" i="1"/>
  <c r="L51" i="1"/>
  <c r="F22" i="1"/>
  <c r="P26" i="1"/>
  <c r="L35" i="1"/>
  <c r="N39" i="1"/>
  <c r="P48" i="1"/>
  <c r="M84" i="23"/>
  <c r="J84" i="23"/>
  <c r="I84" i="23"/>
  <c r="G84" i="23"/>
  <c r="F18" i="1"/>
  <c r="L31" i="1"/>
  <c r="N35" i="1"/>
  <c r="P44" i="1"/>
  <c r="F53" i="1"/>
  <c r="F70" i="1"/>
  <c r="P101" i="1"/>
  <c r="P124" i="1"/>
  <c r="L27" i="1"/>
  <c r="F49" i="1"/>
  <c r="I8" i="5"/>
  <c r="I6" i="5" s="1"/>
  <c r="L108" i="1"/>
  <c r="L75" i="1"/>
  <c r="L53" i="1"/>
  <c r="L79" i="1"/>
  <c r="L57" i="1"/>
  <c r="L101" i="1"/>
  <c r="L65" i="1"/>
  <c r="L116" i="1"/>
  <c r="L69" i="1"/>
  <c r="L73" i="1"/>
  <c r="L77" i="1"/>
  <c r="L81" i="1"/>
  <c r="L85" i="1"/>
  <c r="L59" i="1"/>
  <c r="L128" i="1"/>
  <c r="L120" i="1"/>
  <c r="L63" i="1"/>
  <c r="L67" i="1"/>
  <c r="L97" i="1"/>
  <c r="L71" i="1"/>
  <c r="L23" i="1"/>
  <c r="F45" i="1"/>
  <c r="L49" i="1"/>
  <c r="G107" i="23"/>
  <c r="F107" i="23"/>
  <c r="R107" i="23" s="1"/>
  <c r="S107" i="23" s="1"/>
  <c r="Q107" i="23"/>
  <c r="O107" i="23"/>
  <c r="L107" i="23"/>
  <c r="I107" i="23"/>
  <c r="Q104" i="23"/>
  <c r="P104" i="23"/>
  <c r="AC15" i="1"/>
  <c r="L19" i="1"/>
  <c r="N23" i="1"/>
  <c r="P32" i="1"/>
  <c r="F41" i="1"/>
  <c r="L45" i="1"/>
  <c r="L55" i="1"/>
  <c r="L83" i="1"/>
  <c r="M78" i="23"/>
  <c r="G78" i="23"/>
  <c r="P92" i="23"/>
  <c r="O92" i="23"/>
  <c r="L92" i="23"/>
  <c r="L41" i="1"/>
  <c r="Q56" i="23"/>
  <c r="O56" i="23"/>
  <c r="C129" i="18"/>
  <c r="L24" i="18"/>
  <c r="L15" i="18" s="1"/>
  <c r="C15" i="18"/>
  <c r="L33" i="1"/>
  <c r="F50" i="1"/>
  <c r="F33" i="1"/>
  <c r="L37" i="1"/>
  <c r="F46" i="1"/>
  <c r="K10" i="5"/>
  <c r="L10" i="5" s="1"/>
  <c r="Q23" i="23"/>
  <c r="P23" i="23"/>
  <c r="N23" i="23"/>
  <c r="J23" i="23"/>
  <c r="I23" i="23"/>
  <c r="Q86" i="23"/>
  <c r="O86" i="23"/>
  <c r="N86" i="23"/>
  <c r="I86" i="23"/>
  <c r="G86" i="23"/>
  <c r="K94" i="23"/>
  <c r="J94" i="23"/>
  <c r="L102" i="23"/>
  <c r="H102" i="23"/>
  <c r="O102" i="23"/>
  <c r="M102" i="23"/>
  <c r="L96" i="1"/>
  <c r="Q24" i="23"/>
  <c r="K24" i="23"/>
  <c r="Q41" i="23"/>
  <c r="H41" i="23"/>
  <c r="I41" i="23"/>
  <c r="O87" i="23"/>
  <c r="H87" i="23"/>
  <c r="Q87" i="23"/>
  <c r="N87" i="23"/>
  <c r="M87" i="23"/>
  <c r="N9" i="3"/>
  <c r="N21" i="3"/>
  <c r="N33" i="3"/>
  <c r="N45" i="3"/>
  <c r="J52" i="3"/>
  <c r="I71" i="3"/>
  <c r="C78" i="15" s="1"/>
  <c r="N77" i="3"/>
  <c r="J84" i="3"/>
  <c r="I103" i="3"/>
  <c r="D111" i="18" s="1"/>
  <c r="J116" i="3"/>
  <c r="L16" i="4"/>
  <c r="L20" i="4"/>
  <c r="L28" i="4"/>
  <c r="L32" i="4"/>
  <c r="X36" i="4"/>
  <c r="X50" i="4"/>
  <c r="X55" i="4"/>
  <c r="X74" i="4"/>
  <c r="X79" i="4"/>
  <c r="X98" i="4"/>
  <c r="X103" i="4"/>
  <c r="L112" i="4"/>
  <c r="O99" i="5"/>
  <c r="C95" i="6"/>
  <c r="P17" i="22"/>
  <c r="P23" i="22"/>
  <c r="P40" i="22"/>
  <c r="P50" i="22"/>
  <c r="P68" i="22"/>
  <c r="P78" i="22"/>
  <c r="P88" i="22"/>
  <c r="P109" i="22"/>
  <c r="I25" i="23"/>
  <c r="M28" i="23"/>
  <c r="N30" i="23"/>
  <c r="F39" i="23"/>
  <c r="R39" i="23" s="1"/>
  <c r="S39" i="23" s="1"/>
  <c r="F44" i="23"/>
  <c r="R44" i="23" s="1"/>
  <c r="S44" i="23" s="1"/>
  <c r="J46" i="23"/>
  <c r="F57" i="23"/>
  <c r="R57" i="23" s="1"/>
  <c r="S57" i="23" s="1"/>
  <c r="O67" i="23"/>
  <c r="O70" i="23"/>
  <c r="P85" i="23"/>
  <c r="D109" i="23"/>
  <c r="E109" i="23" s="1"/>
  <c r="D128" i="23"/>
  <c r="E128" i="23" s="1"/>
  <c r="J16" i="3"/>
  <c r="J28" i="3"/>
  <c r="J40" i="3"/>
  <c r="I59" i="3"/>
  <c r="C66" i="14" s="1"/>
  <c r="N65" i="3"/>
  <c r="I91" i="3"/>
  <c r="C99" i="9" s="1"/>
  <c r="X12" i="4"/>
  <c r="O16" i="4"/>
  <c r="X20" i="4"/>
  <c r="X24" i="4"/>
  <c r="O28" i="4"/>
  <c r="X32" i="4"/>
  <c r="N41" i="4"/>
  <c r="F46" i="4"/>
  <c r="X60" i="4"/>
  <c r="N65" i="4"/>
  <c r="F70" i="4"/>
  <c r="X84" i="4"/>
  <c r="N89" i="4"/>
  <c r="F94" i="4"/>
  <c r="P108" i="4"/>
  <c r="L118" i="4"/>
  <c r="K15" i="5"/>
  <c r="L15" i="5" s="1"/>
  <c r="I10" i="6"/>
  <c r="J10" i="6" s="1"/>
  <c r="P60" i="22"/>
  <c r="O25" i="23"/>
  <c r="N28" i="23"/>
  <c r="H44" i="23"/>
  <c r="L46" i="23"/>
  <c r="F49" i="23"/>
  <c r="R49" i="23" s="1"/>
  <c r="S49" i="23" s="1"/>
  <c r="K57" i="23"/>
  <c r="Q85" i="23"/>
  <c r="I100" i="23"/>
  <c r="O105" i="23"/>
  <c r="D110" i="23"/>
  <c r="E110" i="23" s="1"/>
  <c r="I110" i="23" s="1"/>
  <c r="D116" i="23"/>
  <c r="E116" i="23" s="1"/>
  <c r="D119" i="23"/>
  <c r="E119" i="23" s="1"/>
  <c r="Q119" i="23" s="1"/>
  <c r="D123" i="23"/>
  <c r="E123" i="23" s="1"/>
  <c r="G123" i="23" s="1"/>
  <c r="D21" i="24"/>
  <c r="J72" i="3"/>
  <c r="J104" i="3"/>
  <c r="I111" i="3"/>
  <c r="C118" i="16" s="1"/>
  <c r="M118" i="16" s="1"/>
  <c r="X37" i="4"/>
  <c r="O41" i="4"/>
  <c r="L46" i="4"/>
  <c r="F51" i="4"/>
  <c r="F56" i="4"/>
  <c r="O65" i="4"/>
  <c r="L70" i="4"/>
  <c r="F75" i="4"/>
  <c r="F80" i="4"/>
  <c r="O89" i="4"/>
  <c r="L94" i="4"/>
  <c r="F99" i="4"/>
  <c r="F104" i="4"/>
  <c r="X108" i="4"/>
  <c r="N113" i="4"/>
  <c r="K11" i="5"/>
  <c r="L11" i="5" s="1"/>
  <c r="H24" i="5"/>
  <c r="I99" i="5"/>
  <c r="B99" i="5"/>
  <c r="I16" i="6"/>
  <c r="J16" i="6" s="1"/>
  <c r="G119" i="13"/>
  <c r="O28" i="23"/>
  <c r="N39" i="23"/>
  <c r="I44" i="23"/>
  <c r="N46" i="23"/>
  <c r="I11" i="3"/>
  <c r="C19" i="8" s="1"/>
  <c r="I23" i="3"/>
  <c r="C31" i="8" s="1"/>
  <c r="I35" i="3"/>
  <c r="C42" i="10" s="1"/>
  <c r="I47" i="3"/>
  <c r="C54" i="17" s="1"/>
  <c r="N53" i="3"/>
  <c r="J60" i="3"/>
  <c r="I79" i="3"/>
  <c r="C86" i="11" s="1"/>
  <c r="J92" i="3"/>
  <c r="N117" i="3"/>
  <c r="X13" i="4"/>
  <c r="L17" i="4"/>
  <c r="F21" i="4"/>
  <c r="X25" i="4"/>
  <c r="L29" i="4"/>
  <c r="F33" i="4"/>
  <c r="X56" i="4"/>
  <c r="X61" i="4"/>
  <c r="X80" i="4"/>
  <c r="X85" i="4"/>
  <c r="X104" i="4"/>
  <c r="O113" i="4"/>
  <c r="N119" i="4"/>
  <c r="I95" i="6"/>
  <c r="P34" i="22"/>
  <c r="P52" i="22"/>
  <c r="P61" i="22"/>
  <c r="F19" i="23"/>
  <c r="R19" i="23" s="1"/>
  <c r="S19" i="23" s="1"/>
  <c r="F31" i="23"/>
  <c r="R31" i="23" s="1"/>
  <c r="S31" i="23" s="1"/>
  <c r="M42" i="23"/>
  <c r="K44" i="23"/>
  <c r="O46" i="23"/>
  <c r="F76" i="23"/>
  <c r="R76" i="23" s="1"/>
  <c r="S76" i="23" s="1"/>
  <c r="D111" i="23"/>
  <c r="E111" i="23" s="1"/>
  <c r="D120" i="23"/>
  <c r="E120" i="23" s="1"/>
  <c r="F5" i="24"/>
  <c r="F6" i="24" s="1"/>
  <c r="F7" i="24" s="1"/>
  <c r="N17" i="3"/>
  <c r="N29" i="3"/>
  <c r="N41" i="3"/>
  <c r="I67" i="3"/>
  <c r="C75" i="8" s="1"/>
  <c r="I99" i="3"/>
  <c r="C107" i="9" s="1"/>
  <c r="J112" i="3"/>
  <c r="N17" i="4"/>
  <c r="N29" i="4"/>
  <c r="F38" i="4"/>
  <c r="X42" i="4"/>
  <c r="N47" i="4"/>
  <c r="F52" i="4"/>
  <c r="X66" i="4"/>
  <c r="N71" i="4"/>
  <c r="F76" i="4"/>
  <c r="X90" i="4"/>
  <c r="N95" i="4"/>
  <c r="F100" i="4"/>
  <c r="X109" i="4"/>
  <c r="O119" i="4"/>
  <c r="J24" i="5"/>
  <c r="L99" i="5"/>
  <c r="D99" i="5"/>
  <c r="P81" i="22"/>
  <c r="P123" i="22"/>
  <c r="M19" i="23"/>
  <c r="K26" i="23"/>
  <c r="G31" i="23"/>
  <c r="H76" i="23"/>
  <c r="D113" i="23"/>
  <c r="E113" i="23" s="1"/>
  <c r="D23" i="24"/>
  <c r="J24" i="3"/>
  <c r="J36" i="3"/>
  <c r="J48" i="3"/>
  <c r="J80" i="3"/>
  <c r="I87" i="3"/>
  <c r="C94" i="16" s="1"/>
  <c r="M94" i="16" s="1"/>
  <c r="F10" i="4"/>
  <c r="F14" i="4"/>
  <c r="O17" i="4"/>
  <c r="F22" i="4"/>
  <c r="F26" i="4"/>
  <c r="O29" i="4"/>
  <c r="F34" i="4"/>
  <c r="L38" i="4"/>
  <c r="O47" i="4"/>
  <c r="L52" i="4"/>
  <c r="F57" i="4"/>
  <c r="F62" i="4"/>
  <c r="O71" i="4"/>
  <c r="L76" i="4"/>
  <c r="F81" i="4"/>
  <c r="F86" i="4"/>
  <c r="O95" i="4"/>
  <c r="L100" i="4"/>
  <c r="F105" i="4"/>
  <c r="X114" i="4"/>
  <c r="H31" i="23"/>
  <c r="M52" i="23"/>
  <c r="G55" i="23"/>
  <c r="F58" i="23"/>
  <c r="R58" i="23" s="1"/>
  <c r="S58" i="23" s="1"/>
  <c r="F67" i="23"/>
  <c r="R67" i="23" s="1"/>
  <c r="S67" i="23" s="1"/>
  <c r="I76" i="23"/>
  <c r="I106" i="23"/>
  <c r="D114" i="23"/>
  <c r="E114" i="23" s="1"/>
  <c r="D117" i="23"/>
  <c r="E117" i="23" s="1"/>
  <c r="D124" i="23"/>
  <c r="E124" i="23" s="1"/>
  <c r="H124" i="23" s="1"/>
  <c r="D34" i="24"/>
  <c r="I55" i="3"/>
  <c r="C62" i="14" s="1"/>
  <c r="J68" i="3"/>
  <c r="N93" i="3"/>
  <c r="J100" i="3"/>
  <c r="I119" i="3"/>
  <c r="C126" i="12" s="1"/>
  <c r="L10" i="4"/>
  <c r="L14" i="4"/>
  <c r="L22" i="4"/>
  <c r="L26" i="4"/>
  <c r="L34" i="4"/>
  <c r="X38" i="4"/>
  <c r="X43" i="4"/>
  <c r="X62" i="4"/>
  <c r="X67" i="4"/>
  <c r="X86" i="4"/>
  <c r="X91" i="4"/>
  <c r="F110" i="4"/>
  <c r="X120" i="4"/>
  <c r="K20" i="5"/>
  <c r="L20" i="5" s="1"/>
  <c r="P114" i="22"/>
  <c r="I31" i="23"/>
  <c r="J55" i="23"/>
  <c r="I58" i="23"/>
  <c r="I19" i="3"/>
  <c r="D27" i="18" s="1"/>
  <c r="I31" i="3"/>
  <c r="C38" i="14" s="1"/>
  <c r="I43" i="3"/>
  <c r="C51" i="9" s="1"/>
  <c r="I75" i="3"/>
  <c r="C82" i="12" s="1"/>
  <c r="J88" i="3"/>
  <c r="I107" i="3"/>
  <c r="C114" i="10" s="1"/>
  <c r="N113" i="3"/>
  <c r="O22" i="4"/>
  <c r="X26" i="4"/>
  <c r="X30" i="4"/>
  <c r="X48" i="4"/>
  <c r="N53" i="4"/>
  <c r="F58" i="4"/>
  <c r="X72" i="4"/>
  <c r="N77" i="4"/>
  <c r="F82" i="4"/>
  <c r="X96" i="4"/>
  <c r="N101" i="4"/>
  <c r="F106" i="4"/>
  <c r="X110" i="4"/>
  <c r="X115" i="4"/>
  <c r="N13" i="3"/>
  <c r="N25" i="3"/>
  <c r="N37" i="3"/>
  <c r="J56" i="3"/>
  <c r="I63" i="3"/>
  <c r="C70" i="10" s="1"/>
  <c r="J120" i="3"/>
  <c r="L35" i="4"/>
  <c r="F39" i="4"/>
  <c r="F44" i="4"/>
  <c r="O53" i="4"/>
  <c r="L58" i="4"/>
  <c r="F63" i="4"/>
  <c r="F68" i="4"/>
  <c r="O77" i="4"/>
  <c r="L82" i="4"/>
  <c r="F87" i="4"/>
  <c r="F92" i="4"/>
  <c r="O101" i="4"/>
  <c r="L106" i="4"/>
  <c r="X121" i="4"/>
  <c r="H8" i="5"/>
  <c r="P23" i="20"/>
  <c r="P25" i="20"/>
  <c r="Q25" i="20" s="1"/>
  <c r="P15" i="22"/>
  <c r="P21" i="22"/>
  <c r="P28" i="22"/>
  <c r="P56" i="22"/>
  <c r="G18" i="23"/>
  <c r="J20" i="23"/>
  <c r="G28" i="23"/>
  <c r="F30" i="23"/>
  <c r="R30" i="23" s="1"/>
  <c r="S30" i="23" s="1"/>
  <c r="M31" i="23"/>
  <c r="F46" i="23"/>
  <c r="R46" i="23" s="1"/>
  <c r="S46" i="23" s="1"/>
  <c r="G73" i="23"/>
  <c r="H82" i="23"/>
  <c r="G89" i="23"/>
  <c r="H105" i="23"/>
  <c r="H121" i="23"/>
  <c r="I51" i="3"/>
  <c r="C58" i="16" s="1"/>
  <c r="M58" i="16" s="1"/>
  <c r="J64" i="3"/>
  <c r="I83" i="3"/>
  <c r="D91" i="18" s="1"/>
  <c r="N89" i="3"/>
  <c r="I115" i="3"/>
  <c r="C123" i="9" s="1"/>
  <c r="N11" i="4"/>
  <c r="N23" i="4"/>
  <c r="O35" i="4"/>
  <c r="F40" i="4"/>
  <c r="X54" i="4"/>
  <c r="N59" i="4"/>
  <c r="F64" i="4"/>
  <c r="X78" i="4"/>
  <c r="N83" i="4"/>
  <c r="F88" i="4"/>
  <c r="X102" i="4"/>
  <c r="N107" i="4"/>
  <c r="F122" i="4"/>
  <c r="I24" i="5"/>
  <c r="P16" i="22"/>
  <c r="P22" i="22"/>
  <c r="O22" i="23"/>
  <c r="I28" i="23"/>
  <c r="K30" i="23"/>
  <c r="H46" i="23"/>
  <c r="L105" i="23"/>
  <c r="D112" i="23"/>
  <c r="E112" i="23" s="1"/>
  <c r="J112" i="23" s="1"/>
  <c r="D115" i="23"/>
  <c r="E115" i="23" s="1"/>
  <c r="Q115" i="23" s="1"/>
  <c r="I15" i="3"/>
  <c r="M23" i="18" s="1"/>
  <c r="I27" i="3"/>
  <c r="C35" i="8" s="1"/>
  <c r="I39" i="3"/>
  <c r="D47" i="18" s="1"/>
  <c r="J96" i="3"/>
  <c r="O11" i="4"/>
  <c r="F16" i="4"/>
  <c r="F20" i="4"/>
  <c r="O23" i="4"/>
  <c r="F28" i="4"/>
  <c r="F32" i="4"/>
  <c r="L40" i="4"/>
  <c r="F45" i="4"/>
  <c r="F50" i="4"/>
  <c r="O59" i="4"/>
  <c r="L64" i="4"/>
  <c r="F69" i="4"/>
  <c r="F74" i="4"/>
  <c r="O83" i="4"/>
  <c r="L88" i="4"/>
  <c r="F93" i="4"/>
  <c r="F98" i="4"/>
  <c r="O107" i="4"/>
  <c r="F112" i="4"/>
  <c r="F117" i="4"/>
  <c r="K22" i="5"/>
  <c r="L22" i="5" s="1"/>
  <c r="C23" i="20"/>
  <c r="C27" i="20"/>
  <c r="I46" i="23"/>
  <c r="P126" i="1"/>
  <c r="P122" i="1"/>
  <c r="P118" i="1"/>
  <c r="P114" i="1"/>
  <c r="P110" i="1"/>
  <c r="P106" i="1"/>
  <c r="P127" i="1"/>
  <c r="P123" i="1"/>
  <c r="P119" i="1"/>
  <c r="P115" i="1"/>
  <c r="P111" i="1"/>
  <c r="L18" i="1"/>
  <c r="O19" i="1"/>
  <c r="L22" i="1"/>
  <c r="O23" i="1"/>
  <c r="L26" i="1"/>
  <c r="O27" i="1"/>
  <c r="L30" i="1"/>
  <c r="O31" i="1"/>
  <c r="L34" i="1"/>
  <c r="O35" i="1"/>
  <c r="L38" i="1"/>
  <c r="O39" i="1"/>
  <c r="L42" i="1"/>
  <c r="O43" i="1"/>
  <c r="L46" i="1"/>
  <c r="O47" i="1"/>
  <c r="L50" i="1"/>
  <c r="O51" i="1"/>
  <c r="L54" i="1"/>
  <c r="O55" i="1"/>
  <c r="L58" i="1"/>
  <c r="O59" i="1"/>
  <c r="L62" i="1"/>
  <c r="O63" i="1"/>
  <c r="L66" i="1"/>
  <c r="O67" i="1"/>
  <c r="L70" i="1"/>
  <c r="O71" i="1"/>
  <c r="L74" i="1"/>
  <c r="O75" i="1"/>
  <c r="L78" i="1"/>
  <c r="O79" i="1"/>
  <c r="L82" i="1"/>
  <c r="O83" i="1"/>
  <c r="L88" i="1"/>
  <c r="L92" i="1"/>
  <c r="O94" i="1"/>
  <c r="P96" i="1"/>
  <c r="O113" i="1"/>
  <c r="P116" i="1"/>
  <c r="F127" i="1"/>
  <c r="N8" i="3"/>
  <c r="N12" i="3"/>
  <c r="N16" i="3"/>
  <c r="N20" i="3"/>
  <c r="N24" i="3"/>
  <c r="N28" i="3"/>
  <c r="N32" i="3"/>
  <c r="N36" i="3"/>
  <c r="N40" i="3"/>
  <c r="N44" i="3"/>
  <c r="N49" i="3"/>
  <c r="C66" i="10"/>
  <c r="C66" i="17"/>
  <c r="C66" i="11"/>
  <c r="N73" i="3"/>
  <c r="C114" i="16"/>
  <c r="M114" i="16" s="1"/>
  <c r="M115" i="18"/>
  <c r="D115" i="18"/>
  <c r="C114" i="15"/>
  <c r="C114" i="14"/>
  <c r="C114" i="17"/>
  <c r="C114" i="12"/>
  <c r="C114" i="11"/>
  <c r="C115" i="8"/>
  <c r="D115" i="7"/>
  <c r="P24" i="4"/>
  <c r="P60" i="4"/>
  <c r="P19" i="1"/>
  <c r="P23" i="1"/>
  <c r="P27" i="1"/>
  <c r="P31" i="1"/>
  <c r="P35" i="1"/>
  <c r="P39" i="1"/>
  <c r="P43" i="1"/>
  <c r="P47" i="1"/>
  <c r="P51" i="1"/>
  <c r="P55" i="1"/>
  <c r="P59" i="1"/>
  <c r="P63" i="1"/>
  <c r="P67" i="1"/>
  <c r="P71" i="1"/>
  <c r="P75" i="1"/>
  <c r="P79" i="1"/>
  <c r="P83" i="1"/>
  <c r="N86" i="1"/>
  <c r="N90" i="1"/>
  <c r="P94" i="1"/>
  <c r="F99" i="1"/>
  <c r="O101" i="1"/>
  <c r="L104" i="1"/>
  <c r="F107" i="1"/>
  <c r="P113" i="1"/>
  <c r="N120" i="1"/>
  <c r="L124" i="1"/>
  <c r="P96" i="4"/>
  <c r="G8" i="6"/>
  <c r="G6" i="6" s="1"/>
  <c r="I6" i="6" s="1"/>
  <c r="F7" i="12"/>
  <c r="I14" i="6"/>
  <c r="J14" i="6" s="1"/>
  <c r="N50" i="1"/>
  <c r="N54" i="1"/>
  <c r="N58" i="1"/>
  <c r="N62" i="1"/>
  <c r="N66" i="1"/>
  <c r="N70" i="1"/>
  <c r="N74" i="1"/>
  <c r="N78" i="1"/>
  <c r="N82" i="1"/>
  <c r="O86" i="1"/>
  <c r="N88" i="1"/>
  <c r="O90" i="1"/>
  <c r="N92" i="1"/>
  <c r="O117" i="1"/>
  <c r="M128" i="18"/>
  <c r="D128" i="18"/>
  <c r="C127" i="17"/>
  <c r="C127" i="16"/>
  <c r="M127" i="16" s="1"/>
  <c r="C127" i="14"/>
  <c r="C127" i="15"/>
  <c r="C127" i="12"/>
  <c r="C128" i="9"/>
  <c r="C127" i="10"/>
  <c r="C127" i="11"/>
  <c r="C128" i="8"/>
  <c r="D128" i="7"/>
  <c r="C62" i="15"/>
  <c r="C62" i="12"/>
  <c r="C62" i="17"/>
  <c r="C86" i="15"/>
  <c r="M87" i="18"/>
  <c r="D87" i="18"/>
  <c r="C87" i="8"/>
  <c r="C110" i="17"/>
  <c r="C110" i="11"/>
  <c r="P18" i="4"/>
  <c r="N18" i="1"/>
  <c r="N30" i="1"/>
  <c r="N38" i="1"/>
  <c r="O22" i="1"/>
  <c r="O74" i="1"/>
  <c r="O78" i="1"/>
  <c r="O82" i="1"/>
  <c r="N104" i="1"/>
  <c r="N124" i="1"/>
  <c r="P121" i="4"/>
  <c r="P115" i="4"/>
  <c r="P109" i="4"/>
  <c r="P103" i="4"/>
  <c r="P97" i="4"/>
  <c r="P91" i="4"/>
  <c r="P85" i="4"/>
  <c r="P79" i="4"/>
  <c r="P73" i="4"/>
  <c r="P67" i="4"/>
  <c r="P61" i="4"/>
  <c r="P55" i="4"/>
  <c r="P49" i="4"/>
  <c r="P43" i="4"/>
  <c r="P37" i="4"/>
  <c r="P31" i="4"/>
  <c r="P25" i="4"/>
  <c r="P19" i="4"/>
  <c r="P13" i="4"/>
  <c r="P122" i="4"/>
  <c r="P116" i="4"/>
  <c r="P110" i="4"/>
  <c r="P104" i="4"/>
  <c r="P98" i="4"/>
  <c r="P92" i="4"/>
  <c r="P86" i="4"/>
  <c r="P80" i="4"/>
  <c r="P74" i="4"/>
  <c r="P68" i="4"/>
  <c r="P62" i="4"/>
  <c r="P56" i="4"/>
  <c r="P50" i="4"/>
  <c r="P44" i="4"/>
  <c r="P38" i="4"/>
  <c r="P32" i="4"/>
  <c r="P26" i="4"/>
  <c r="P20" i="4"/>
  <c r="P14" i="4"/>
  <c r="P117" i="4"/>
  <c r="P111" i="4"/>
  <c r="P105" i="4"/>
  <c r="P99" i="4"/>
  <c r="P93" i="4"/>
  <c r="P87" i="4"/>
  <c r="P81" i="4"/>
  <c r="P75" i="4"/>
  <c r="P69" i="4"/>
  <c r="P63" i="4"/>
  <c r="P57" i="4"/>
  <c r="P51" i="4"/>
  <c r="P45" i="4"/>
  <c r="P39" i="4"/>
  <c r="P33" i="4"/>
  <c r="P27" i="4"/>
  <c r="P21" i="4"/>
  <c r="P15" i="4"/>
  <c r="P118" i="4"/>
  <c r="P112" i="4"/>
  <c r="P106" i="4"/>
  <c r="P100" i="4"/>
  <c r="P94" i="4"/>
  <c r="P88" i="4"/>
  <c r="P82" i="4"/>
  <c r="P76" i="4"/>
  <c r="P70" i="4"/>
  <c r="P64" i="4"/>
  <c r="P58" i="4"/>
  <c r="P52" i="4"/>
  <c r="P46" i="4"/>
  <c r="P40" i="4"/>
  <c r="P34" i="4"/>
  <c r="P28" i="4"/>
  <c r="P22" i="4"/>
  <c r="P16" i="4"/>
  <c r="P10" i="4"/>
  <c r="P119" i="4"/>
  <c r="P113" i="4"/>
  <c r="P107" i="4"/>
  <c r="P101" i="4"/>
  <c r="P95" i="4"/>
  <c r="P89" i="4"/>
  <c r="P83" i="4"/>
  <c r="P77" i="4"/>
  <c r="P71" i="4"/>
  <c r="P65" i="4"/>
  <c r="P59" i="4"/>
  <c r="P53" i="4"/>
  <c r="P47" i="4"/>
  <c r="P41" i="4"/>
  <c r="P35" i="4"/>
  <c r="P29" i="4"/>
  <c r="P23" i="4"/>
  <c r="P17" i="4"/>
  <c r="P11" i="4"/>
  <c r="P42" i="4"/>
  <c r="P84" i="4"/>
  <c r="K27" i="5"/>
  <c r="L27" i="5" s="1"/>
  <c r="N26" i="1"/>
  <c r="N34" i="1"/>
  <c r="O66" i="1"/>
  <c r="F95" i="1"/>
  <c r="O97" i="1"/>
  <c r="F111" i="1"/>
  <c r="M59" i="18"/>
  <c r="C58" i="10"/>
  <c r="C58" i="15"/>
  <c r="C58" i="11"/>
  <c r="C59" i="8"/>
  <c r="D59" i="7"/>
  <c r="C82" i="14"/>
  <c r="C106" i="12"/>
  <c r="P12" i="4"/>
  <c r="P114" i="4"/>
  <c r="O126" i="1"/>
  <c r="O122" i="1"/>
  <c r="O118" i="1"/>
  <c r="O114" i="1"/>
  <c r="O110" i="1"/>
  <c r="O106" i="1"/>
  <c r="O102" i="1"/>
  <c r="O127" i="1"/>
  <c r="O123" i="1"/>
  <c r="O119" i="1"/>
  <c r="O115" i="1"/>
  <c r="O111" i="1"/>
  <c r="O107" i="1"/>
  <c r="O103" i="1"/>
  <c r="O99" i="1"/>
  <c r="O95" i="1"/>
  <c r="O91" i="1"/>
  <c r="O87" i="1"/>
  <c r="O128" i="1"/>
  <c r="O124" i="1"/>
  <c r="O120" i="1"/>
  <c r="O116" i="1"/>
  <c r="O112" i="1"/>
  <c r="O108" i="1"/>
  <c r="O104" i="1"/>
  <c r="O100" i="1"/>
  <c r="O96" i="1"/>
  <c r="O92" i="1"/>
  <c r="O88" i="1"/>
  <c r="N22" i="1"/>
  <c r="O18" i="1"/>
  <c r="O26" i="1"/>
  <c r="O30" i="1"/>
  <c r="O34" i="1"/>
  <c r="O38" i="1"/>
  <c r="O42" i="1"/>
  <c r="O46" i="1"/>
  <c r="O50" i="1"/>
  <c r="O54" i="1"/>
  <c r="O58" i="1"/>
  <c r="D129" i="1"/>
  <c r="F20" i="1"/>
  <c r="F24" i="1"/>
  <c r="F28" i="1"/>
  <c r="N29" i="1"/>
  <c r="F32" i="1"/>
  <c r="N33" i="1"/>
  <c r="F36" i="1"/>
  <c r="N37" i="1"/>
  <c r="F40" i="1"/>
  <c r="N41" i="1"/>
  <c r="F44" i="1"/>
  <c r="N45" i="1"/>
  <c r="F48" i="1"/>
  <c r="N49" i="1"/>
  <c r="F52" i="1"/>
  <c r="N53" i="1"/>
  <c r="F56" i="1"/>
  <c r="N57" i="1"/>
  <c r="F60" i="1"/>
  <c r="N61" i="1"/>
  <c r="F64" i="1"/>
  <c r="N65" i="1"/>
  <c r="F68" i="1"/>
  <c r="N69" i="1"/>
  <c r="F72" i="1"/>
  <c r="N73" i="1"/>
  <c r="F76" i="1"/>
  <c r="N77" i="1"/>
  <c r="F80" i="1"/>
  <c r="N81" i="1"/>
  <c r="F84" i="1"/>
  <c r="N85" i="1"/>
  <c r="F89" i="1"/>
  <c r="L93" i="1"/>
  <c r="P97" i="1"/>
  <c r="P121" i="1"/>
  <c r="N128" i="1"/>
  <c r="N118" i="3"/>
  <c r="N114" i="3"/>
  <c r="N110" i="3"/>
  <c r="N106" i="3"/>
  <c r="N102" i="3"/>
  <c r="N98" i="3"/>
  <c r="N94" i="3"/>
  <c r="N90" i="3"/>
  <c r="N86" i="3"/>
  <c r="N82" i="3"/>
  <c r="N78" i="3"/>
  <c r="N74" i="3"/>
  <c r="N70" i="3"/>
  <c r="N66" i="3"/>
  <c r="N62" i="3"/>
  <c r="N58" i="3"/>
  <c r="N54" i="3"/>
  <c r="N50" i="3"/>
  <c r="N46" i="3"/>
  <c r="N42" i="3"/>
  <c r="N38" i="3"/>
  <c r="N34" i="3"/>
  <c r="N30" i="3"/>
  <c r="N26" i="3"/>
  <c r="N22" i="3"/>
  <c r="N18" i="3"/>
  <c r="N14" i="3"/>
  <c r="N10" i="3"/>
  <c r="N119" i="3"/>
  <c r="N115" i="3"/>
  <c r="N111" i="3"/>
  <c r="N107" i="3"/>
  <c r="N103" i="3"/>
  <c r="N99" i="3"/>
  <c r="N95" i="3"/>
  <c r="N91" i="3"/>
  <c r="N87" i="3"/>
  <c r="N83" i="3"/>
  <c r="N79" i="3"/>
  <c r="N75" i="3"/>
  <c r="N71" i="3"/>
  <c r="N67" i="3"/>
  <c r="N63" i="3"/>
  <c r="N59" i="3"/>
  <c r="N55" i="3"/>
  <c r="N51" i="3"/>
  <c r="N47" i="3"/>
  <c r="N43" i="3"/>
  <c r="N39" i="3"/>
  <c r="N35" i="3"/>
  <c r="N31" i="3"/>
  <c r="N27" i="3"/>
  <c r="N23" i="3"/>
  <c r="N19" i="3"/>
  <c r="N15" i="3"/>
  <c r="N11" i="3"/>
  <c r="N120" i="3"/>
  <c r="N116" i="3"/>
  <c r="N112" i="3"/>
  <c r="N108" i="3"/>
  <c r="N104" i="3"/>
  <c r="N100" i="3"/>
  <c r="N96" i="3"/>
  <c r="N92" i="3"/>
  <c r="N88" i="3"/>
  <c r="N84" i="3"/>
  <c r="N80" i="3"/>
  <c r="N76" i="3"/>
  <c r="N72" i="3"/>
  <c r="N68" i="3"/>
  <c r="N64" i="3"/>
  <c r="N60" i="3"/>
  <c r="N56" i="3"/>
  <c r="N52" i="3"/>
  <c r="N48" i="3"/>
  <c r="P54" i="4"/>
  <c r="N42" i="1"/>
  <c r="F16" i="1"/>
  <c r="L125" i="1"/>
  <c r="L121" i="1"/>
  <c r="L117" i="1"/>
  <c r="L113" i="1"/>
  <c r="L109" i="1"/>
  <c r="L105" i="1"/>
  <c r="L126" i="1"/>
  <c r="L122" i="1"/>
  <c r="L118" i="1"/>
  <c r="L114" i="1"/>
  <c r="L110" i="1"/>
  <c r="L106" i="1"/>
  <c r="L102" i="1"/>
  <c r="L98" i="1"/>
  <c r="L94" i="1"/>
  <c r="L90" i="1"/>
  <c r="L86" i="1"/>
  <c r="L127" i="1"/>
  <c r="L123" i="1"/>
  <c r="L119" i="1"/>
  <c r="L115" i="1"/>
  <c r="L111" i="1"/>
  <c r="L107" i="1"/>
  <c r="L103" i="1"/>
  <c r="L99" i="1"/>
  <c r="L95" i="1"/>
  <c r="L91" i="1"/>
  <c r="L87" i="1"/>
  <c r="L16" i="1"/>
  <c r="L20" i="1"/>
  <c r="O21" i="1"/>
  <c r="L24" i="1"/>
  <c r="O25" i="1"/>
  <c r="L28" i="1"/>
  <c r="O29" i="1"/>
  <c r="L32" i="1"/>
  <c r="O33" i="1"/>
  <c r="L36" i="1"/>
  <c r="O37" i="1"/>
  <c r="L40" i="1"/>
  <c r="O41" i="1"/>
  <c r="L44" i="1"/>
  <c r="O45" i="1"/>
  <c r="L48" i="1"/>
  <c r="O49" i="1"/>
  <c r="L52" i="1"/>
  <c r="O53" i="1"/>
  <c r="L56" i="1"/>
  <c r="O57" i="1"/>
  <c r="L60" i="1"/>
  <c r="O61" i="1"/>
  <c r="L64" i="1"/>
  <c r="O65" i="1"/>
  <c r="L68" i="1"/>
  <c r="O69" i="1"/>
  <c r="L72" i="1"/>
  <c r="O73" i="1"/>
  <c r="L76" i="1"/>
  <c r="O77" i="1"/>
  <c r="L80" i="1"/>
  <c r="O81" i="1"/>
  <c r="L84" i="1"/>
  <c r="O85" i="1"/>
  <c r="F87" i="1"/>
  <c r="L89" i="1"/>
  <c r="F91" i="1"/>
  <c r="P95" i="1"/>
  <c r="L100" i="1"/>
  <c r="P102" i="1"/>
  <c r="O105" i="1"/>
  <c r="O125" i="1"/>
  <c r="P128" i="1"/>
  <c r="C18" i="16"/>
  <c r="M18" i="16" s="1"/>
  <c r="D19" i="7"/>
  <c r="C22" i="17"/>
  <c r="C23" i="8"/>
  <c r="C26" i="14"/>
  <c r="C27" i="9"/>
  <c r="M31" i="18"/>
  <c r="C30" i="10"/>
  <c r="C31" i="9"/>
  <c r="C38" i="15"/>
  <c r="C42" i="16"/>
  <c r="M42" i="16" s="1"/>
  <c r="M43" i="18"/>
  <c r="D43" i="18"/>
  <c r="C42" i="12"/>
  <c r="C42" i="17"/>
  <c r="C42" i="14"/>
  <c r="C43" i="8"/>
  <c r="C46" i="15"/>
  <c r="C46" i="10"/>
  <c r="C46" i="11"/>
  <c r="C51" i="8"/>
  <c r="D55" i="18"/>
  <c r="N61" i="3"/>
  <c r="D79" i="7"/>
  <c r="N85" i="3"/>
  <c r="C102" i="16"/>
  <c r="M102" i="16" s="1"/>
  <c r="C102" i="15"/>
  <c r="M103" i="18"/>
  <c r="C102" i="10"/>
  <c r="D103" i="18"/>
  <c r="C102" i="11"/>
  <c r="C102" i="12"/>
  <c r="C103" i="9"/>
  <c r="N109" i="3"/>
  <c r="C126" i="17"/>
  <c r="C127" i="9"/>
  <c r="D9" i="4"/>
  <c r="M57" i="4" s="1"/>
  <c r="P102" i="4"/>
  <c r="M115" i="4"/>
  <c r="M120" i="4"/>
  <c r="N17" i="1"/>
  <c r="N21" i="1"/>
  <c r="N25" i="1"/>
  <c r="O17" i="1"/>
  <c r="D15" i="1"/>
  <c r="M20" i="1" s="1"/>
  <c r="P21" i="1"/>
  <c r="P25" i="1"/>
  <c r="P29" i="1"/>
  <c r="P33" i="1"/>
  <c r="P37" i="1"/>
  <c r="P41" i="1"/>
  <c r="P45" i="1"/>
  <c r="P49" i="1"/>
  <c r="P53" i="1"/>
  <c r="P57" i="1"/>
  <c r="P61" i="1"/>
  <c r="P65" i="1"/>
  <c r="P69" i="1"/>
  <c r="P73" i="1"/>
  <c r="P77" i="1"/>
  <c r="P81" i="1"/>
  <c r="P85" i="1"/>
  <c r="O93" i="1"/>
  <c r="P105" i="1"/>
  <c r="N108" i="1"/>
  <c r="L112" i="1"/>
  <c r="P125" i="1"/>
  <c r="M13" i="4"/>
  <c r="P36" i="4"/>
  <c r="P66" i="4"/>
  <c r="M90" i="4"/>
  <c r="P120" i="4"/>
  <c r="D42" i="5"/>
  <c r="D41" i="5"/>
  <c r="D40" i="5"/>
  <c r="K16" i="5"/>
  <c r="L16" i="5" s="1"/>
  <c r="J8" i="5"/>
  <c r="N46" i="1"/>
  <c r="O62" i="1"/>
  <c r="O70" i="1"/>
  <c r="F128" i="1"/>
  <c r="F124" i="1"/>
  <c r="F120" i="1"/>
  <c r="F116" i="1"/>
  <c r="F112" i="1"/>
  <c r="F108" i="1"/>
  <c r="F104" i="1"/>
  <c r="F100" i="1"/>
  <c r="F96" i="1"/>
  <c r="F92" i="1"/>
  <c r="F88" i="1"/>
  <c r="F125" i="1"/>
  <c r="F121" i="1"/>
  <c r="F117" i="1"/>
  <c r="F113" i="1"/>
  <c r="F109" i="1"/>
  <c r="F105" i="1"/>
  <c r="F101" i="1"/>
  <c r="F97" i="1"/>
  <c r="F93" i="1"/>
  <c r="F126" i="1"/>
  <c r="F122" i="1"/>
  <c r="F118" i="1"/>
  <c r="F114" i="1"/>
  <c r="F110" i="1"/>
  <c r="F106" i="1"/>
  <c r="F102" i="1"/>
  <c r="F98" i="1"/>
  <c r="F94" i="1"/>
  <c r="F90" i="1"/>
  <c r="N16" i="1"/>
  <c r="F19" i="1"/>
  <c r="N20" i="1"/>
  <c r="F23" i="1"/>
  <c r="N24" i="1"/>
  <c r="F27" i="1"/>
  <c r="N28" i="1"/>
  <c r="F31" i="1"/>
  <c r="N32" i="1"/>
  <c r="F35" i="1"/>
  <c r="N36" i="1"/>
  <c r="F39" i="1"/>
  <c r="N40" i="1"/>
  <c r="F43" i="1"/>
  <c r="N44" i="1"/>
  <c r="F47" i="1"/>
  <c r="N48" i="1"/>
  <c r="F51" i="1"/>
  <c r="N52" i="1"/>
  <c r="F55" i="1"/>
  <c r="N56" i="1"/>
  <c r="F59" i="1"/>
  <c r="N60" i="1"/>
  <c r="F63" i="1"/>
  <c r="N64" i="1"/>
  <c r="F67" i="1"/>
  <c r="N68" i="1"/>
  <c r="F71" i="1"/>
  <c r="N72" i="1"/>
  <c r="F75" i="1"/>
  <c r="N76" i="1"/>
  <c r="F79" i="1"/>
  <c r="N80" i="1"/>
  <c r="F83" i="1"/>
  <c r="N84" i="1"/>
  <c r="P87" i="1"/>
  <c r="O89" i="1"/>
  <c r="P91" i="1"/>
  <c r="P93" i="1"/>
  <c r="N100" i="1"/>
  <c r="P108" i="1"/>
  <c r="F119" i="1"/>
  <c r="D7" i="3"/>
  <c r="K111" i="3" s="1"/>
  <c r="N57" i="3"/>
  <c r="C74" i="11"/>
  <c r="N81" i="3"/>
  <c r="C98" i="11"/>
  <c r="N105" i="3"/>
  <c r="C122" i="17"/>
  <c r="M33" i="4"/>
  <c r="M55" i="4"/>
  <c r="M78" i="4"/>
  <c r="P90" i="4"/>
  <c r="M103" i="4"/>
  <c r="K24" i="5"/>
  <c r="L24" i="5" s="1"/>
  <c r="F7" i="16"/>
  <c r="I17" i="6"/>
  <c r="J17" i="6" s="1"/>
  <c r="O16" i="1"/>
  <c r="O20" i="1"/>
  <c r="O24" i="1"/>
  <c r="O28" i="1"/>
  <c r="O32" i="1"/>
  <c r="O36" i="1"/>
  <c r="O40" i="1"/>
  <c r="O44" i="1"/>
  <c r="O48" i="1"/>
  <c r="O52" i="1"/>
  <c r="O56" i="1"/>
  <c r="O60" i="1"/>
  <c r="O64" i="1"/>
  <c r="O68" i="1"/>
  <c r="O72" i="1"/>
  <c r="O76" i="1"/>
  <c r="O80" i="1"/>
  <c r="O84" i="1"/>
  <c r="O98" i="1"/>
  <c r="M30" i="4"/>
  <c r="M63" i="4"/>
  <c r="P78" i="4"/>
  <c r="M121" i="4"/>
  <c r="N125" i="1"/>
  <c r="N121" i="1"/>
  <c r="N117" i="1"/>
  <c r="N113" i="1"/>
  <c r="N109" i="1"/>
  <c r="N105" i="1"/>
  <c r="N101" i="1"/>
  <c r="N97" i="1"/>
  <c r="N93" i="1"/>
  <c r="N89" i="1"/>
  <c r="N126" i="1"/>
  <c r="N122" i="1"/>
  <c r="N118" i="1"/>
  <c r="N114" i="1"/>
  <c r="N110" i="1"/>
  <c r="N106" i="1"/>
  <c r="N102" i="1"/>
  <c r="N98" i="1"/>
  <c r="N94" i="1"/>
  <c r="N127" i="1"/>
  <c r="N123" i="1"/>
  <c r="N119" i="1"/>
  <c r="N115" i="1"/>
  <c r="N111" i="1"/>
  <c r="N107" i="1"/>
  <c r="N103" i="1"/>
  <c r="N99" i="1"/>
  <c r="N95" i="1"/>
  <c r="N91" i="1"/>
  <c r="N87" i="1"/>
  <c r="O109" i="1"/>
  <c r="C70" i="16"/>
  <c r="M70" i="16" s="1"/>
  <c r="M71" i="18"/>
  <c r="D71" i="18"/>
  <c r="C70" i="15"/>
  <c r="C70" i="12"/>
  <c r="C70" i="14"/>
  <c r="C71" i="8"/>
  <c r="D71" i="7"/>
  <c r="D95" i="7"/>
  <c r="C95" i="8"/>
  <c r="C118" i="15"/>
  <c r="M119" i="18"/>
  <c r="D119" i="18"/>
  <c r="C118" i="17"/>
  <c r="C119" i="9"/>
  <c r="D119" i="7"/>
  <c r="M14" i="4"/>
  <c r="M27" i="4"/>
  <c r="P30" i="4"/>
  <c r="M37" i="4"/>
  <c r="P48" i="4"/>
  <c r="J11" i="3"/>
  <c r="J15" i="3"/>
  <c r="J19" i="3"/>
  <c r="J23" i="3"/>
  <c r="J27" i="3"/>
  <c r="J31" i="3"/>
  <c r="J35" i="3"/>
  <c r="J39" i="3"/>
  <c r="J43" i="3"/>
  <c r="J47" i="3"/>
  <c r="J51" i="3"/>
  <c r="J55" i="3"/>
  <c r="J59" i="3"/>
  <c r="J63" i="3"/>
  <c r="J67" i="3"/>
  <c r="J71" i="3"/>
  <c r="J75" i="3"/>
  <c r="J79" i="3"/>
  <c r="J83" i="3"/>
  <c r="J87" i="3"/>
  <c r="J91" i="3"/>
  <c r="J95" i="3"/>
  <c r="J99" i="3"/>
  <c r="J103" i="3"/>
  <c r="J107" i="3"/>
  <c r="J111" i="3"/>
  <c r="J115" i="3"/>
  <c r="J119" i="3"/>
  <c r="N10" i="4"/>
  <c r="L15" i="4"/>
  <c r="N16" i="4"/>
  <c r="L21" i="4"/>
  <c r="N22" i="4"/>
  <c r="L27" i="4"/>
  <c r="N28" i="4"/>
  <c r="L33" i="4"/>
  <c r="N34" i="4"/>
  <c r="L39" i="4"/>
  <c r="N40" i="4"/>
  <c r="L45" i="4"/>
  <c r="N46" i="4"/>
  <c r="L51" i="4"/>
  <c r="N52" i="4"/>
  <c r="L57" i="4"/>
  <c r="N58" i="4"/>
  <c r="L63" i="4"/>
  <c r="N64" i="4"/>
  <c r="L69" i="4"/>
  <c r="N70" i="4"/>
  <c r="L75" i="4"/>
  <c r="N76" i="4"/>
  <c r="L81" i="4"/>
  <c r="N82" i="4"/>
  <c r="L87" i="4"/>
  <c r="N88" i="4"/>
  <c r="L93" i="4"/>
  <c r="N94" i="4"/>
  <c r="L99" i="4"/>
  <c r="N100" i="4"/>
  <c r="L105" i="4"/>
  <c r="N106" i="4"/>
  <c r="L111" i="4"/>
  <c r="N112" i="4"/>
  <c r="L117" i="4"/>
  <c r="N118" i="4"/>
  <c r="I11" i="6"/>
  <c r="J11" i="6" s="1"/>
  <c r="E6" i="18"/>
  <c r="O5" i="18"/>
  <c r="E7" i="18"/>
  <c r="O34" i="4"/>
  <c r="O40" i="4"/>
  <c r="O46" i="4"/>
  <c r="O52" i="4"/>
  <c r="O58" i="4"/>
  <c r="O64" i="4"/>
  <c r="O70" i="4"/>
  <c r="O76" i="4"/>
  <c r="O82" i="4"/>
  <c r="O88" i="4"/>
  <c r="O94" i="4"/>
  <c r="O100" i="4"/>
  <c r="O106" i="4"/>
  <c r="O112" i="4"/>
  <c r="O118" i="4"/>
  <c r="I21" i="6"/>
  <c r="J21" i="6" s="1"/>
  <c r="H40" i="20"/>
  <c r="H119" i="13"/>
  <c r="I10" i="3"/>
  <c r="I14" i="3"/>
  <c r="I18" i="3"/>
  <c r="I22" i="3"/>
  <c r="I26" i="3"/>
  <c r="I30" i="3"/>
  <c r="I34" i="3"/>
  <c r="I38" i="3"/>
  <c r="I42" i="3"/>
  <c r="I46" i="3"/>
  <c r="I50" i="3"/>
  <c r="I54" i="3"/>
  <c r="I58" i="3"/>
  <c r="I62" i="3"/>
  <c r="I66" i="3"/>
  <c r="I70" i="3"/>
  <c r="I74" i="3"/>
  <c r="I78" i="3"/>
  <c r="I82" i="3"/>
  <c r="I86" i="3"/>
  <c r="I90" i="3"/>
  <c r="I94" i="3"/>
  <c r="I98" i="3"/>
  <c r="I102" i="3"/>
  <c r="I106" i="3"/>
  <c r="I110" i="3"/>
  <c r="I114" i="3"/>
  <c r="I118" i="3"/>
  <c r="N15" i="4"/>
  <c r="N21" i="4"/>
  <c r="N27" i="4"/>
  <c r="N33" i="4"/>
  <c r="N39" i="4"/>
  <c r="L44" i="4"/>
  <c r="N45" i="4"/>
  <c r="L50" i="4"/>
  <c r="N51" i="4"/>
  <c r="L56" i="4"/>
  <c r="N57" i="4"/>
  <c r="L62" i="4"/>
  <c r="N63" i="4"/>
  <c r="L68" i="4"/>
  <c r="N69" i="4"/>
  <c r="L74" i="4"/>
  <c r="N75" i="4"/>
  <c r="L80" i="4"/>
  <c r="N81" i="4"/>
  <c r="L86" i="4"/>
  <c r="N87" i="4"/>
  <c r="L92" i="4"/>
  <c r="N93" i="4"/>
  <c r="L98" i="4"/>
  <c r="N99" i="4"/>
  <c r="L104" i="4"/>
  <c r="N105" i="4"/>
  <c r="L110" i="4"/>
  <c r="N111" i="4"/>
  <c r="L116" i="4"/>
  <c r="N117" i="4"/>
  <c r="L122" i="4"/>
  <c r="K25" i="5"/>
  <c r="L25" i="5" s="1"/>
  <c r="F7" i="8"/>
  <c r="G8" i="7"/>
  <c r="J10" i="3"/>
  <c r="J14" i="3"/>
  <c r="J18" i="3"/>
  <c r="J22" i="3"/>
  <c r="J26" i="3"/>
  <c r="J30" i="3"/>
  <c r="J34" i="3"/>
  <c r="J38" i="3"/>
  <c r="J42" i="3"/>
  <c r="J46" i="3"/>
  <c r="J50" i="3"/>
  <c r="J54" i="3"/>
  <c r="J58" i="3"/>
  <c r="J62" i="3"/>
  <c r="J66" i="3"/>
  <c r="J70" i="3"/>
  <c r="J74" i="3"/>
  <c r="J78" i="3"/>
  <c r="J82" i="3"/>
  <c r="J86" i="3"/>
  <c r="J90" i="3"/>
  <c r="J94" i="3"/>
  <c r="J98" i="3"/>
  <c r="J102" i="3"/>
  <c r="J106" i="3"/>
  <c r="J110" i="3"/>
  <c r="J114" i="3"/>
  <c r="J118" i="3"/>
  <c r="X11" i="4"/>
  <c r="F13" i="4"/>
  <c r="O15" i="4"/>
  <c r="X17" i="4"/>
  <c r="F19" i="4"/>
  <c r="O21" i="4"/>
  <c r="X23" i="4"/>
  <c r="F25" i="4"/>
  <c r="O27" i="4"/>
  <c r="X29" i="4"/>
  <c r="F31" i="4"/>
  <c r="O33" i="4"/>
  <c r="X35" i="4"/>
  <c r="F37" i="4"/>
  <c r="O39" i="4"/>
  <c r="X41" i="4"/>
  <c r="F43" i="4"/>
  <c r="O45" i="4"/>
  <c r="X47" i="4"/>
  <c r="F49" i="4"/>
  <c r="O51" i="4"/>
  <c r="X53" i="4"/>
  <c r="F55" i="4"/>
  <c r="O57" i="4"/>
  <c r="X59" i="4"/>
  <c r="F61" i="4"/>
  <c r="O63" i="4"/>
  <c r="X65" i="4"/>
  <c r="F67" i="4"/>
  <c r="O69" i="4"/>
  <c r="X71" i="4"/>
  <c r="F73" i="4"/>
  <c r="O75" i="4"/>
  <c r="X77" i="4"/>
  <c r="F79" i="4"/>
  <c r="O81" i="4"/>
  <c r="X83" i="4"/>
  <c r="F85" i="4"/>
  <c r="O87" i="4"/>
  <c r="X89" i="4"/>
  <c r="F91" i="4"/>
  <c r="O93" i="4"/>
  <c r="X95" i="4"/>
  <c r="F97" i="4"/>
  <c r="O99" i="4"/>
  <c r="X101" i="4"/>
  <c r="F103" i="4"/>
  <c r="O105" i="4"/>
  <c r="X107" i="4"/>
  <c r="F109" i="4"/>
  <c r="O111" i="4"/>
  <c r="X113" i="4"/>
  <c r="F115" i="4"/>
  <c r="O117" i="4"/>
  <c r="X119" i="4"/>
  <c r="F121" i="4"/>
  <c r="I9" i="6"/>
  <c r="J9" i="6" s="1"/>
  <c r="I15" i="6"/>
  <c r="J15" i="6" s="1"/>
  <c r="I18" i="6"/>
  <c r="J18" i="6" s="1"/>
  <c r="L13" i="4"/>
  <c r="N14" i="4"/>
  <c r="L19" i="4"/>
  <c r="N20" i="4"/>
  <c r="L25" i="4"/>
  <c r="N26" i="4"/>
  <c r="L31" i="4"/>
  <c r="N32" i="4"/>
  <c r="L37" i="4"/>
  <c r="N38" i="4"/>
  <c r="L43" i="4"/>
  <c r="N44" i="4"/>
  <c r="L49" i="4"/>
  <c r="N50" i="4"/>
  <c r="L55" i="4"/>
  <c r="N56" i="4"/>
  <c r="L61" i="4"/>
  <c r="N62" i="4"/>
  <c r="L67" i="4"/>
  <c r="N68" i="4"/>
  <c r="L73" i="4"/>
  <c r="N74" i="4"/>
  <c r="L79" i="4"/>
  <c r="N80" i="4"/>
  <c r="L85" i="4"/>
  <c r="N86" i="4"/>
  <c r="L91" i="4"/>
  <c r="N92" i="4"/>
  <c r="L97" i="4"/>
  <c r="N98" i="4"/>
  <c r="L103" i="4"/>
  <c r="N104" i="4"/>
  <c r="L109" i="4"/>
  <c r="N110" i="4"/>
  <c r="L115" i="4"/>
  <c r="N116" i="4"/>
  <c r="L121" i="4"/>
  <c r="Q121" i="4" s="1"/>
  <c r="N122" i="4"/>
  <c r="M7" i="18"/>
  <c r="M6" i="18"/>
  <c r="I9" i="3"/>
  <c r="I13" i="3"/>
  <c r="I17" i="3"/>
  <c r="I21" i="3"/>
  <c r="I25" i="3"/>
  <c r="I29" i="3"/>
  <c r="I33" i="3"/>
  <c r="I37" i="3"/>
  <c r="I41" i="3"/>
  <c r="I45" i="3"/>
  <c r="I49" i="3"/>
  <c r="I53" i="3"/>
  <c r="I57" i="3"/>
  <c r="I61" i="3"/>
  <c r="I65" i="3"/>
  <c r="I69" i="3"/>
  <c r="I73" i="3"/>
  <c r="I77" i="3"/>
  <c r="I81" i="3"/>
  <c r="I85" i="3"/>
  <c r="I89" i="3"/>
  <c r="I93" i="3"/>
  <c r="I97" i="3"/>
  <c r="I101" i="3"/>
  <c r="I105" i="3"/>
  <c r="I109" i="3"/>
  <c r="I113" i="3"/>
  <c r="I117" i="3"/>
  <c r="X10" i="4"/>
  <c r="F12" i="4"/>
  <c r="O14" i="4"/>
  <c r="X16" i="4"/>
  <c r="F18" i="4"/>
  <c r="O20" i="4"/>
  <c r="X22" i="4"/>
  <c r="F24" i="4"/>
  <c r="O26" i="4"/>
  <c r="X28" i="4"/>
  <c r="F30" i="4"/>
  <c r="O32" i="4"/>
  <c r="X34" i="4"/>
  <c r="F36" i="4"/>
  <c r="O38" i="4"/>
  <c r="X40" i="4"/>
  <c r="F42" i="4"/>
  <c r="O44" i="4"/>
  <c r="X46" i="4"/>
  <c r="F48" i="4"/>
  <c r="O50" i="4"/>
  <c r="X52" i="4"/>
  <c r="F54" i="4"/>
  <c r="O56" i="4"/>
  <c r="X58" i="4"/>
  <c r="F60" i="4"/>
  <c r="O62" i="4"/>
  <c r="X64" i="4"/>
  <c r="F66" i="4"/>
  <c r="O68" i="4"/>
  <c r="X70" i="4"/>
  <c r="F72" i="4"/>
  <c r="O74" i="4"/>
  <c r="X76" i="4"/>
  <c r="F78" i="4"/>
  <c r="O80" i="4"/>
  <c r="X82" i="4"/>
  <c r="F84" i="4"/>
  <c r="O86" i="4"/>
  <c r="X88" i="4"/>
  <c r="F90" i="4"/>
  <c r="O92" i="4"/>
  <c r="X94" i="4"/>
  <c r="F96" i="4"/>
  <c r="O98" i="4"/>
  <c r="X100" i="4"/>
  <c r="F102" i="4"/>
  <c r="O104" i="4"/>
  <c r="X106" i="4"/>
  <c r="F108" i="4"/>
  <c r="O110" i="4"/>
  <c r="X112" i="4"/>
  <c r="F114" i="4"/>
  <c r="O116" i="4"/>
  <c r="X118" i="4"/>
  <c r="F120" i="4"/>
  <c r="O122" i="4"/>
  <c r="I22" i="6"/>
  <c r="J9" i="3"/>
  <c r="J13" i="3"/>
  <c r="J17" i="3"/>
  <c r="J21" i="3"/>
  <c r="J25" i="3"/>
  <c r="J29" i="3"/>
  <c r="J33" i="3"/>
  <c r="J37" i="3"/>
  <c r="J41" i="3"/>
  <c r="J45" i="3"/>
  <c r="J49" i="3"/>
  <c r="J53" i="3"/>
  <c r="J57" i="3"/>
  <c r="J61" i="3"/>
  <c r="J65" i="3"/>
  <c r="J69" i="3"/>
  <c r="J73" i="3"/>
  <c r="J77" i="3"/>
  <c r="J81" i="3"/>
  <c r="J85" i="3"/>
  <c r="J89" i="3"/>
  <c r="J93" i="3"/>
  <c r="J97" i="3"/>
  <c r="J101" i="3"/>
  <c r="J105" i="3"/>
  <c r="J109" i="3"/>
  <c r="J113" i="3"/>
  <c r="L12" i="4"/>
  <c r="N13" i="4"/>
  <c r="L18" i="4"/>
  <c r="N19" i="4"/>
  <c r="L24" i="4"/>
  <c r="N25" i="4"/>
  <c r="L30" i="4"/>
  <c r="N31" i="4"/>
  <c r="L36" i="4"/>
  <c r="N37" i="4"/>
  <c r="L42" i="4"/>
  <c r="N43" i="4"/>
  <c r="L48" i="4"/>
  <c r="N49" i="4"/>
  <c r="L54" i="4"/>
  <c r="N55" i="4"/>
  <c r="L60" i="4"/>
  <c r="N61" i="4"/>
  <c r="L66" i="4"/>
  <c r="N67" i="4"/>
  <c r="L72" i="4"/>
  <c r="N73" i="4"/>
  <c r="L78" i="4"/>
  <c r="N79" i="4"/>
  <c r="L84" i="4"/>
  <c r="N85" i="4"/>
  <c r="L90" i="4"/>
  <c r="N91" i="4"/>
  <c r="L96" i="4"/>
  <c r="N97" i="4"/>
  <c r="L102" i="4"/>
  <c r="N103" i="4"/>
  <c r="L108" i="4"/>
  <c r="N109" i="4"/>
  <c r="L114" i="4"/>
  <c r="N115" i="4"/>
  <c r="L120" i="4"/>
  <c r="N121" i="4"/>
  <c r="F11" i="4"/>
  <c r="O13" i="4"/>
  <c r="X15" i="4"/>
  <c r="F17" i="4"/>
  <c r="O19" i="4"/>
  <c r="X21" i="4"/>
  <c r="F23" i="4"/>
  <c r="O25" i="4"/>
  <c r="X27" i="4"/>
  <c r="F29" i="4"/>
  <c r="O31" i="4"/>
  <c r="X33" i="4"/>
  <c r="F35" i="4"/>
  <c r="O37" i="4"/>
  <c r="X39" i="4"/>
  <c r="F41" i="4"/>
  <c r="O43" i="4"/>
  <c r="X45" i="4"/>
  <c r="F47" i="4"/>
  <c r="O49" i="4"/>
  <c r="X51" i="4"/>
  <c r="F53" i="4"/>
  <c r="O55" i="4"/>
  <c r="X57" i="4"/>
  <c r="F59" i="4"/>
  <c r="O61" i="4"/>
  <c r="X63" i="4"/>
  <c r="F65" i="4"/>
  <c r="O67" i="4"/>
  <c r="X69" i="4"/>
  <c r="F71" i="4"/>
  <c r="O73" i="4"/>
  <c r="X75" i="4"/>
  <c r="F77" i="4"/>
  <c r="O79" i="4"/>
  <c r="X81" i="4"/>
  <c r="F83" i="4"/>
  <c r="O85" i="4"/>
  <c r="X87" i="4"/>
  <c r="F89" i="4"/>
  <c r="O91" i="4"/>
  <c r="X93" i="4"/>
  <c r="F95" i="4"/>
  <c r="O97" i="4"/>
  <c r="X99" i="4"/>
  <c r="F101" i="4"/>
  <c r="O103" i="4"/>
  <c r="X105" i="4"/>
  <c r="F107" i="4"/>
  <c r="O109" i="4"/>
  <c r="X111" i="4"/>
  <c r="F113" i="4"/>
  <c r="O115" i="4"/>
  <c r="X117" i="4"/>
  <c r="F119" i="4"/>
  <c r="O121" i="4"/>
  <c r="I8" i="3"/>
  <c r="I12" i="3"/>
  <c r="I16" i="3"/>
  <c r="I20" i="3"/>
  <c r="I24" i="3"/>
  <c r="I28" i="3"/>
  <c r="I32" i="3"/>
  <c r="I36" i="3"/>
  <c r="I40" i="3"/>
  <c r="I44" i="3"/>
  <c r="I48" i="3"/>
  <c r="I52" i="3"/>
  <c r="I56" i="3"/>
  <c r="I60" i="3"/>
  <c r="I64" i="3"/>
  <c r="I68" i="3"/>
  <c r="I72" i="3"/>
  <c r="I76" i="3"/>
  <c r="I80" i="3"/>
  <c r="I84" i="3"/>
  <c r="I88" i="3"/>
  <c r="I92" i="3"/>
  <c r="I96" i="3"/>
  <c r="I100" i="3"/>
  <c r="I104" i="3"/>
  <c r="I108" i="3"/>
  <c r="I112" i="3"/>
  <c r="I116" i="3"/>
  <c r="N12" i="4"/>
  <c r="N18" i="4"/>
  <c r="N24" i="4"/>
  <c r="N30" i="4"/>
  <c r="N36" i="4"/>
  <c r="L41" i="4"/>
  <c r="N42" i="4"/>
  <c r="L47" i="4"/>
  <c r="N48" i="4"/>
  <c r="L53" i="4"/>
  <c r="N54" i="4"/>
  <c r="L59" i="4"/>
  <c r="N60" i="4"/>
  <c r="L65" i="4"/>
  <c r="N66" i="4"/>
  <c r="L71" i="4"/>
  <c r="N72" i="4"/>
  <c r="L77" i="4"/>
  <c r="N78" i="4"/>
  <c r="L83" i="4"/>
  <c r="N84" i="4"/>
  <c r="L89" i="4"/>
  <c r="N90" i="4"/>
  <c r="L95" i="4"/>
  <c r="N96" i="4"/>
  <c r="L101" i="4"/>
  <c r="N102" i="4"/>
  <c r="L107" i="4"/>
  <c r="N108" i="4"/>
  <c r="L113" i="4"/>
  <c r="N114" i="4"/>
  <c r="H20" i="6"/>
  <c r="I20" i="6" s="1"/>
  <c r="J20" i="6" s="1"/>
  <c r="O12" i="4"/>
  <c r="O18" i="4"/>
  <c r="O24" i="4"/>
  <c r="O30" i="4"/>
  <c r="O36" i="4"/>
  <c r="O42" i="4"/>
  <c r="O48" i="4"/>
  <c r="O54" i="4"/>
  <c r="O60" i="4"/>
  <c r="O66" i="4"/>
  <c r="O72" i="4"/>
  <c r="O78" i="4"/>
  <c r="O84" i="4"/>
  <c r="O90" i="4"/>
  <c r="O96" i="4"/>
  <c r="O102" i="4"/>
  <c r="O108" i="4"/>
  <c r="O114" i="4"/>
  <c r="X116" i="4"/>
  <c r="F118" i="4"/>
  <c r="D40" i="20"/>
  <c r="P40" i="20" s="1"/>
  <c r="D119" i="13"/>
  <c r="P55" i="20"/>
  <c r="Q55" i="20" s="1"/>
  <c r="P70" i="20"/>
  <c r="P85" i="20"/>
  <c r="P100" i="20"/>
  <c r="P115" i="20"/>
  <c r="P130" i="20"/>
  <c r="P145" i="20"/>
  <c r="P160" i="20"/>
  <c r="I119" i="13"/>
  <c r="J119" i="13"/>
  <c r="K119" i="13"/>
  <c r="L119" i="13"/>
  <c r="P19" i="20"/>
  <c r="P20" i="20"/>
  <c r="P21" i="20"/>
  <c r="Q21" i="20" s="1"/>
  <c r="M119" i="13"/>
  <c r="P22" i="20"/>
  <c r="P24" i="20"/>
  <c r="N119" i="13"/>
  <c r="P26" i="20"/>
  <c r="P27" i="20"/>
  <c r="P28" i="20"/>
  <c r="P29" i="20"/>
  <c r="Q29" i="20" s="1"/>
  <c r="P175" i="20"/>
  <c r="P190" i="20"/>
  <c r="P205" i="20"/>
  <c r="P220" i="20"/>
  <c r="P235" i="20"/>
  <c r="P250" i="20"/>
  <c r="P265" i="20"/>
  <c r="P280" i="20"/>
  <c r="P295" i="20"/>
  <c r="P310" i="20"/>
  <c r="P325" i="20"/>
  <c r="P340" i="20"/>
  <c r="P355" i="20"/>
  <c r="P370" i="20"/>
  <c r="P385" i="20"/>
  <c r="P400" i="20"/>
  <c r="P415" i="20"/>
  <c r="P430" i="20"/>
  <c r="P445" i="20"/>
  <c r="P460" i="20"/>
  <c r="P475" i="20"/>
  <c r="P490" i="20"/>
  <c r="P505" i="20"/>
  <c r="P520" i="20"/>
  <c r="P535" i="20"/>
  <c r="P550" i="20"/>
  <c r="P565" i="20"/>
  <c r="P580" i="20"/>
  <c r="P595" i="20"/>
  <c r="P610" i="20"/>
  <c r="P625" i="20"/>
  <c r="P640" i="20"/>
  <c r="P655" i="20"/>
  <c r="P670" i="20"/>
  <c r="P685" i="20"/>
  <c r="P700" i="20"/>
  <c r="P715" i="20"/>
  <c r="P730" i="20"/>
  <c r="P745" i="20"/>
  <c r="P760" i="20"/>
  <c r="P775" i="20"/>
  <c r="P790" i="20"/>
  <c r="P805" i="20"/>
  <c r="P820" i="20"/>
  <c r="P835" i="20"/>
  <c r="P850" i="20"/>
  <c r="P865" i="20"/>
  <c r="P880" i="20"/>
  <c r="P895" i="20"/>
  <c r="P910" i="20"/>
  <c r="P925" i="20"/>
  <c r="P940" i="20"/>
  <c r="P955" i="20"/>
  <c r="P970" i="20"/>
  <c r="P985" i="20"/>
  <c r="P1000" i="20"/>
  <c r="P1015" i="20"/>
  <c r="P1030" i="20"/>
  <c r="P1045" i="20"/>
  <c r="P1060" i="20"/>
  <c r="P1075" i="20"/>
  <c r="P1090" i="20"/>
  <c r="P1105" i="20"/>
  <c r="P1120" i="20"/>
  <c r="P1135" i="20"/>
  <c r="P1150" i="20"/>
  <c r="P1165" i="20"/>
  <c r="P1180" i="20"/>
  <c r="P1195" i="20"/>
  <c r="P1210" i="20"/>
  <c r="P1225" i="20"/>
  <c r="P1240" i="20"/>
  <c r="P1255" i="20"/>
  <c r="P1270" i="20"/>
  <c r="P1285" i="20"/>
  <c r="P1300" i="20"/>
  <c r="P1315" i="20"/>
  <c r="P1330" i="20"/>
  <c r="P1345" i="20"/>
  <c r="P1360" i="20"/>
  <c r="P1375" i="20"/>
  <c r="P1390" i="20"/>
  <c r="P1405" i="20"/>
  <c r="P1420" i="20"/>
  <c r="P1435" i="20"/>
  <c r="P1450" i="20"/>
  <c r="P1465" i="20"/>
  <c r="P1480" i="20"/>
  <c r="P1495" i="20"/>
  <c r="P1510" i="20"/>
  <c r="P1525" i="20"/>
  <c r="P1540" i="20"/>
  <c r="P1555" i="20"/>
  <c r="P1570" i="20"/>
  <c r="P1585" i="20"/>
  <c r="P1600" i="20"/>
  <c r="P1615" i="20"/>
  <c r="P1630" i="20"/>
  <c r="P1645" i="20"/>
  <c r="P1660" i="20"/>
  <c r="P1675" i="20"/>
  <c r="P1690" i="20"/>
  <c r="P1705" i="20"/>
  <c r="P1720" i="20"/>
  <c r="O119" i="13"/>
  <c r="C19" i="20"/>
  <c r="P30" i="20"/>
  <c r="E119" i="13"/>
  <c r="Q27" i="20"/>
  <c r="F119" i="13"/>
  <c r="C22" i="20"/>
  <c r="C26" i="20"/>
  <c r="C30" i="20"/>
  <c r="C20" i="20"/>
  <c r="C24" i="20"/>
  <c r="Q24" i="20" s="1"/>
  <c r="C28" i="20"/>
  <c r="D15" i="21"/>
  <c r="G62" i="23"/>
  <c r="M62" i="23"/>
  <c r="L62" i="23"/>
  <c r="P62" i="23"/>
  <c r="N62" i="23"/>
  <c r="J62" i="23"/>
  <c r="F62" i="23"/>
  <c r="R62" i="23" s="1"/>
  <c r="S62" i="23" s="1"/>
  <c r="O62" i="23"/>
  <c r="K62" i="23"/>
  <c r="I62" i="23"/>
  <c r="H62" i="23"/>
  <c r="Q62" i="23"/>
  <c r="O27" i="23"/>
  <c r="I27" i="23"/>
  <c r="H27" i="23"/>
  <c r="M27" i="23"/>
  <c r="K27" i="23"/>
  <c r="F27" i="23"/>
  <c r="R27" i="23" s="1"/>
  <c r="S27" i="23" s="1"/>
  <c r="J27" i="23"/>
  <c r="G27" i="23"/>
  <c r="P124" i="22"/>
  <c r="P121" i="22"/>
  <c r="P120" i="22"/>
  <c r="P116" i="22"/>
  <c r="P112" i="22"/>
  <c r="P119" i="22"/>
  <c r="P115" i="22"/>
  <c r="P111" i="22"/>
  <c r="P107" i="22"/>
  <c r="P103" i="22"/>
  <c r="P99" i="22"/>
  <c r="P95" i="22"/>
  <c r="P91" i="22"/>
  <c r="P87" i="22"/>
  <c r="P83" i="22"/>
  <c r="P79" i="22"/>
  <c r="P75" i="22"/>
  <c r="P71" i="22"/>
  <c r="P67" i="22"/>
  <c r="P63" i="22"/>
  <c r="P59" i="22"/>
  <c r="P55" i="22"/>
  <c r="P106" i="22"/>
  <c r="P105" i="22"/>
  <c r="P90" i="22"/>
  <c r="P89" i="22"/>
  <c r="P74" i="22"/>
  <c r="P73" i="22"/>
  <c r="P58" i="22"/>
  <c r="P57" i="22"/>
  <c r="P53" i="22"/>
  <c r="P49" i="22"/>
  <c r="P45" i="22"/>
  <c r="P41" i="22"/>
  <c r="P37" i="22"/>
  <c r="P33" i="22"/>
  <c r="P29" i="22"/>
  <c r="P25" i="22"/>
  <c r="P102" i="22"/>
  <c r="P101" i="22"/>
  <c r="P86" i="22"/>
  <c r="P85" i="22"/>
  <c r="P70" i="22"/>
  <c r="P69" i="22"/>
  <c r="P113" i="22"/>
  <c r="P51" i="22"/>
  <c r="P47" i="22"/>
  <c r="P43" i="22"/>
  <c r="P39" i="22"/>
  <c r="P35" i="22"/>
  <c r="P31" i="22"/>
  <c r="P27" i="22"/>
  <c r="P42" i="22"/>
  <c r="P92" i="22"/>
  <c r="M24" i="23"/>
  <c r="L27" i="23"/>
  <c r="G32" i="23"/>
  <c r="M32" i="23"/>
  <c r="L32" i="23"/>
  <c r="P32" i="23"/>
  <c r="J32" i="23"/>
  <c r="H32" i="23"/>
  <c r="K32" i="23"/>
  <c r="I32" i="23"/>
  <c r="Q32" i="23"/>
  <c r="O32" i="23"/>
  <c r="N41" i="23"/>
  <c r="O66" i="23"/>
  <c r="I66" i="23"/>
  <c r="H66" i="23"/>
  <c r="Q66" i="23"/>
  <c r="N66" i="23"/>
  <c r="L66" i="23"/>
  <c r="J66" i="23"/>
  <c r="P66" i="23"/>
  <c r="M66" i="23"/>
  <c r="K66" i="23"/>
  <c r="G66" i="23"/>
  <c r="F66" i="23"/>
  <c r="R66" i="23" s="1"/>
  <c r="S66" i="23" s="1"/>
  <c r="K79" i="23"/>
  <c r="Q79" i="23"/>
  <c r="P79" i="23"/>
  <c r="J79" i="23"/>
  <c r="I79" i="23"/>
  <c r="H79" i="23"/>
  <c r="F79" i="23"/>
  <c r="R79" i="23" s="1"/>
  <c r="S79" i="23" s="1"/>
  <c r="O79" i="23"/>
  <c r="N79" i="23"/>
  <c r="M79" i="23"/>
  <c r="L79" i="23"/>
  <c r="G79" i="23"/>
  <c r="R11" i="22"/>
  <c r="P44" i="22"/>
  <c r="P72" i="22"/>
  <c r="P100" i="22"/>
  <c r="N27" i="23"/>
  <c r="G29" i="23"/>
  <c r="M29" i="23"/>
  <c r="L29" i="23"/>
  <c r="Q29" i="23"/>
  <c r="K29" i="23"/>
  <c r="I29" i="23"/>
  <c r="P29" i="23"/>
  <c r="O29" i="23"/>
  <c r="H29" i="23"/>
  <c r="F32" i="23"/>
  <c r="R32" i="23" s="1"/>
  <c r="S32" i="23" s="1"/>
  <c r="K37" i="23"/>
  <c r="Q37" i="23"/>
  <c r="P37" i="23"/>
  <c r="M37" i="23"/>
  <c r="H37" i="23"/>
  <c r="F37" i="23"/>
  <c r="R37" i="23" s="1"/>
  <c r="S37" i="23" s="1"/>
  <c r="O37" i="23"/>
  <c r="I37" i="23"/>
  <c r="G37" i="23"/>
  <c r="N37" i="23"/>
  <c r="L37" i="23"/>
  <c r="O48" i="23"/>
  <c r="I48" i="23"/>
  <c r="H48" i="23"/>
  <c r="J48" i="23"/>
  <c r="Q48" i="23"/>
  <c r="M48" i="23"/>
  <c r="L48" i="23"/>
  <c r="N48" i="23"/>
  <c r="K48" i="23"/>
  <c r="G48" i="23"/>
  <c r="F48" i="23"/>
  <c r="R48" i="23" s="1"/>
  <c r="S48" i="23" s="1"/>
  <c r="P118" i="22"/>
  <c r="E129" i="23"/>
  <c r="E130" i="23" s="1"/>
  <c r="K16" i="23"/>
  <c r="P16" i="23"/>
  <c r="M16" i="23"/>
  <c r="H16" i="23"/>
  <c r="F16" i="23"/>
  <c r="Q16" i="23"/>
  <c r="O16" i="23"/>
  <c r="G16" i="23"/>
  <c r="L16" i="23"/>
  <c r="J16" i="23"/>
  <c r="P27" i="23"/>
  <c r="G35" i="23"/>
  <c r="M35" i="23"/>
  <c r="L35" i="23"/>
  <c r="O35" i="23"/>
  <c r="I35" i="23"/>
  <c r="F35" i="23"/>
  <c r="R35" i="23" s="1"/>
  <c r="S35" i="23" s="1"/>
  <c r="Q35" i="23"/>
  <c r="N35" i="23"/>
  <c r="K35" i="23"/>
  <c r="P48" i="22"/>
  <c r="P54" i="22"/>
  <c r="P66" i="22"/>
  <c r="P77" i="22"/>
  <c r="P80" i="22"/>
  <c r="P94" i="22"/>
  <c r="P97" i="22"/>
  <c r="I16" i="23"/>
  <c r="Q27" i="23"/>
  <c r="H35" i="23"/>
  <c r="G38" i="23"/>
  <c r="M38" i="23"/>
  <c r="L38" i="23"/>
  <c r="N38" i="23"/>
  <c r="H38" i="23"/>
  <c r="Q38" i="23"/>
  <c r="P38" i="23"/>
  <c r="J38" i="23"/>
  <c r="O42" i="23"/>
  <c r="I42" i="23"/>
  <c r="H42" i="23"/>
  <c r="L42" i="23"/>
  <c r="F42" i="23"/>
  <c r="R42" i="23" s="1"/>
  <c r="S42" i="23" s="1"/>
  <c r="P42" i="23"/>
  <c r="N42" i="23"/>
  <c r="K42" i="23"/>
  <c r="J42" i="23"/>
  <c r="G42" i="23"/>
  <c r="O51" i="23"/>
  <c r="I51" i="23"/>
  <c r="H51" i="23"/>
  <c r="G51" i="23"/>
  <c r="P51" i="23"/>
  <c r="L51" i="23"/>
  <c r="K51" i="23"/>
  <c r="F51" i="23"/>
  <c r="R51" i="23" s="1"/>
  <c r="S51" i="23" s="1"/>
  <c r="Q51" i="23"/>
  <c r="N51" i="23"/>
  <c r="M51" i="23"/>
  <c r="N129" i="23"/>
  <c r="N15" i="23"/>
  <c r="O33" i="23"/>
  <c r="I33" i="23"/>
  <c r="H33" i="23"/>
  <c r="P33" i="23"/>
  <c r="K33" i="23"/>
  <c r="G33" i="23"/>
  <c r="Q33" i="23"/>
  <c r="L33" i="23"/>
  <c r="G59" i="23"/>
  <c r="M59" i="23"/>
  <c r="L59" i="23"/>
  <c r="Q59" i="23"/>
  <c r="O59" i="23"/>
  <c r="K59" i="23"/>
  <c r="H59" i="23"/>
  <c r="F59" i="23"/>
  <c r="R59" i="23" s="1"/>
  <c r="S59" i="23" s="1"/>
  <c r="P59" i="23"/>
  <c r="N59" i="23"/>
  <c r="J59" i="23"/>
  <c r="O69" i="23"/>
  <c r="I69" i="23"/>
  <c r="H69" i="23"/>
  <c r="P69" i="23"/>
  <c r="N69" i="23"/>
  <c r="M69" i="23"/>
  <c r="K69" i="23"/>
  <c r="G69" i="23"/>
  <c r="Q69" i="23"/>
  <c r="L69" i="23"/>
  <c r="J69" i="23"/>
  <c r="F69" i="23"/>
  <c r="R69" i="23" s="1"/>
  <c r="S69" i="23" s="1"/>
  <c r="N95" i="23"/>
  <c r="M95" i="23"/>
  <c r="K95" i="23"/>
  <c r="J95" i="23"/>
  <c r="H95" i="23"/>
  <c r="G95" i="23"/>
  <c r="Q95" i="23"/>
  <c r="P95" i="23"/>
  <c r="O95" i="23"/>
  <c r="L95" i="23"/>
  <c r="I95" i="23"/>
  <c r="F95" i="23"/>
  <c r="R95" i="23" s="1"/>
  <c r="S95" i="23" s="1"/>
  <c r="P122" i="22"/>
  <c r="F33" i="23"/>
  <c r="R33" i="23" s="1"/>
  <c r="S33" i="23" s="1"/>
  <c r="P35" i="23"/>
  <c r="I59" i="23"/>
  <c r="P30" i="22"/>
  <c r="J33" i="23"/>
  <c r="K38" i="23"/>
  <c r="P32" i="22"/>
  <c r="P62" i="22"/>
  <c r="P65" i="22"/>
  <c r="P82" i="22"/>
  <c r="P93" i="22"/>
  <c r="P96" i="22"/>
  <c r="P110" i="22"/>
  <c r="P117" i="22"/>
  <c r="G26" i="23"/>
  <c r="L26" i="23"/>
  <c r="N26" i="23"/>
  <c r="J26" i="23"/>
  <c r="F26" i="23"/>
  <c r="R26" i="23" s="1"/>
  <c r="S26" i="23" s="1"/>
  <c r="Q26" i="23"/>
  <c r="P26" i="23"/>
  <c r="I26" i="23"/>
  <c r="M33" i="23"/>
  <c r="O38" i="23"/>
  <c r="O60" i="23"/>
  <c r="I60" i="23"/>
  <c r="H60" i="23"/>
  <c r="Q60" i="23"/>
  <c r="N60" i="23"/>
  <c r="L60" i="23"/>
  <c r="G60" i="23"/>
  <c r="F60" i="23"/>
  <c r="R60" i="23" s="1"/>
  <c r="S60" i="23" s="1"/>
  <c r="P60" i="23"/>
  <c r="M60" i="23"/>
  <c r="K60" i="23"/>
  <c r="J60" i="23"/>
  <c r="H83" i="23"/>
  <c r="J83" i="23"/>
  <c r="P83" i="23"/>
  <c r="O83" i="23"/>
  <c r="M83" i="23"/>
  <c r="L83" i="23"/>
  <c r="K83" i="23"/>
  <c r="G83" i="23"/>
  <c r="F83" i="23"/>
  <c r="R83" i="23" s="1"/>
  <c r="S83" i="23" s="1"/>
  <c r="Q83" i="23"/>
  <c r="N83" i="23"/>
  <c r="I83" i="23"/>
  <c r="N33" i="23"/>
  <c r="G74" i="23"/>
  <c r="M74" i="23"/>
  <c r="L74" i="23"/>
  <c r="N74" i="23"/>
  <c r="K74" i="23"/>
  <c r="J74" i="23"/>
  <c r="H74" i="23"/>
  <c r="Q74" i="23"/>
  <c r="P74" i="23"/>
  <c r="O74" i="23"/>
  <c r="I74" i="23"/>
  <c r="F74" i="23"/>
  <c r="R74" i="23" s="1"/>
  <c r="S74" i="23" s="1"/>
  <c r="P84" i="22"/>
  <c r="P104" i="22"/>
  <c r="O24" i="23"/>
  <c r="I24" i="23"/>
  <c r="H24" i="23"/>
  <c r="N24" i="23"/>
  <c r="L24" i="23"/>
  <c r="G24" i="23"/>
  <c r="F24" i="23"/>
  <c r="R24" i="23" s="1"/>
  <c r="S24" i="23" s="1"/>
  <c r="P24" i="23"/>
  <c r="G41" i="23"/>
  <c r="M41" i="23"/>
  <c r="L41" i="23"/>
  <c r="K41" i="23"/>
  <c r="F41" i="23"/>
  <c r="R41" i="23" s="1"/>
  <c r="S41" i="23" s="1"/>
  <c r="P41" i="23"/>
  <c r="O41" i="23"/>
  <c r="J41" i="23"/>
  <c r="H19" i="23"/>
  <c r="L25" i="23"/>
  <c r="O30" i="23"/>
  <c r="I30" i="23"/>
  <c r="H30" i="23"/>
  <c r="Q30" i="23"/>
  <c r="L30" i="23"/>
  <c r="J30" i="23"/>
  <c r="H34" i="23"/>
  <c r="J39" i="23"/>
  <c r="L45" i="23"/>
  <c r="G53" i="23"/>
  <c r="M53" i="23"/>
  <c r="L53" i="23"/>
  <c r="F53" i="23"/>
  <c r="R53" i="23" s="1"/>
  <c r="S53" i="23" s="1"/>
  <c r="Q53" i="23"/>
  <c r="O53" i="23"/>
  <c r="J53" i="23"/>
  <c r="I53" i="23"/>
  <c r="J65" i="23"/>
  <c r="I68" i="23"/>
  <c r="K73" i="23"/>
  <c r="Q73" i="23"/>
  <c r="P73" i="23"/>
  <c r="M73" i="23"/>
  <c r="L73" i="23"/>
  <c r="J73" i="23"/>
  <c r="H73" i="23"/>
  <c r="F73" i="23"/>
  <c r="R73" i="23" s="1"/>
  <c r="S73" i="23" s="1"/>
  <c r="O73" i="23"/>
  <c r="O88" i="23"/>
  <c r="N88" i="23"/>
  <c r="L88" i="23"/>
  <c r="J88" i="23"/>
  <c r="I88" i="23"/>
  <c r="H88" i="23"/>
  <c r="G88" i="23"/>
  <c r="F88" i="23"/>
  <c r="R88" i="23" s="1"/>
  <c r="S88" i="23" s="1"/>
  <c r="Q88" i="23"/>
  <c r="P88" i="23"/>
  <c r="M88" i="23"/>
  <c r="N110" i="23"/>
  <c r="M110" i="23"/>
  <c r="K110" i="23"/>
  <c r="J110" i="23"/>
  <c r="H110" i="23"/>
  <c r="F110" i="23"/>
  <c r="R110" i="23" s="1"/>
  <c r="S110" i="23" s="1"/>
  <c r="Q110" i="23"/>
  <c r="P110" i="23"/>
  <c r="G110" i="23"/>
  <c r="O110" i="23"/>
  <c r="L110" i="23"/>
  <c r="O18" i="23"/>
  <c r="H18" i="23"/>
  <c r="J18" i="23"/>
  <c r="Q18" i="23"/>
  <c r="M18" i="23"/>
  <c r="L18" i="23"/>
  <c r="O21" i="23"/>
  <c r="I21" i="23"/>
  <c r="H21" i="23"/>
  <c r="P21" i="23"/>
  <c r="M21" i="23"/>
  <c r="J21" i="23"/>
  <c r="G21" i="23"/>
  <c r="O36" i="23"/>
  <c r="I36" i="23"/>
  <c r="H36" i="23"/>
  <c r="N36" i="23"/>
  <c r="J36" i="23"/>
  <c r="F36" i="23"/>
  <c r="R36" i="23" s="1"/>
  <c r="S36" i="23" s="1"/>
  <c r="Q36" i="23"/>
  <c r="G44" i="23"/>
  <c r="M44" i="23"/>
  <c r="L44" i="23"/>
  <c r="J44" i="23"/>
  <c r="O44" i="23"/>
  <c r="N44" i="23"/>
  <c r="P45" i="23"/>
  <c r="K55" i="23"/>
  <c r="Q55" i="23"/>
  <c r="P55" i="23"/>
  <c r="F55" i="23"/>
  <c r="R55" i="23" s="1"/>
  <c r="S55" i="23" s="1"/>
  <c r="O55" i="23"/>
  <c r="M55" i="23"/>
  <c r="I55" i="23"/>
  <c r="H55" i="23"/>
  <c r="O57" i="23"/>
  <c r="I57" i="23"/>
  <c r="H57" i="23"/>
  <c r="P57" i="23"/>
  <c r="M57" i="23"/>
  <c r="J57" i="23"/>
  <c r="G57" i="23"/>
  <c r="N65" i="23"/>
  <c r="O78" i="23"/>
  <c r="I78" i="23"/>
  <c r="H78" i="23"/>
  <c r="L78" i="23"/>
  <c r="K78" i="23"/>
  <c r="J78" i="23"/>
  <c r="F78" i="23"/>
  <c r="R78" i="23" s="1"/>
  <c r="S78" i="23" s="1"/>
  <c r="Q78" i="23"/>
  <c r="P78" i="23"/>
  <c r="N78" i="23"/>
  <c r="F103" i="23"/>
  <c r="R103" i="23" s="1"/>
  <c r="S103" i="23" s="1"/>
  <c r="Q103" i="23"/>
  <c r="O103" i="23"/>
  <c r="N103" i="23"/>
  <c r="L103" i="23"/>
  <c r="I103" i="23"/>
  <c r="H103" i="23"/>
  <c r="P103" i="23"/>
  <c r="M103" i="23"/>
  <c r="K103" i="23"/>
  <c r="J103" i="23"/>
  <c r="G103" i="23"/>
  <c r="G50" i="23"/>
  <c r="M50" i="23"/>
  <c r="L50" i="23"/>
  <c r="H50" i="23"/>
  <c r="P50" i="23"/>
  <c r="K50" i="23"/>
  <c r="J50" i="23"/>
  <c r="N98" i="23"/>
  <c r="M98" i="23"/>
  <c r="K98" i="23"/>
  <c r="J98" i="23"/>
  <c r="H98" i="23"/>
  <c r="I98" i="23"/>
  <c r="G98" i="23"/>
  <c r="Q98" i="23"/>
  <c r="P98" i="23"/>
  <c r="O98" i="23"/>
  <c r="L98" i="23"/>
  <c r="G47" i="23"/>
  <c r="M47" i="23"/>
  <c r="L47" i="23"/>
  <c r="I47" i="23"/>
  <c r="Q47" i="23"/>
  <c r="N47" i="23"/>
  <c r="K47" i="23"/>
  <c r="F50" i="23"/>
  <c r="R50" i="23" s="1"/>
  <c r="S50" i="23" s="1"/>
  <c r="G71" i="23"/>
  <c r="M71" i="23"/>
  <c r="L71" i="23"/>
  <c r="O71" i="23"/>
  <c r="N71" i="23"/>
  <c r="K71" i="23"/>
  <c r="I71" i="23"/>
  <c r="F71" i="23"/>
  <c r="R71" i="23" s="1"/>
  <c r="S71" i="23" s="1"/>
  <c r="Q71" i="23"/>
  <c r="F98" i="23"/>
  <c r="R98" i="23" s="1"/>
  <c r="S98" i="23" s="1"/>
  <c r="N113" i="23"/>
  <c r="M113" i="23"/>
  <c r="K113" i="23"/>
  <c r="J113" i="23"/>
  <c r="H113" i="23"/>
  <c r="P113" i="23"/>
  <c r="L113" i="23"/>
  <c r="G113" i="23"/>
  <c r="F113" i="23"/>
  <c r="R113" i="23" s="1"/>
  <c r="S113" i="23" s="1"/>
  <c r="Q113" i="23"/>
  <c r="O113" i="23"/>
  <c r="I113" i="23"/>
  <c r="K61" i="23"/>
  <c r="Q61" i="23"/>
  <c r="P61" i="23"/>
  <c r="O61" i="23"/>
  <c r="M61" i="23"/>
  <c r="J61" i="23"/>
  <c r="G61" i="23"/>
  <c r="F61" i="23"/>
  <c r="R61" i="23" s="1"/>
  <c r="S61" i="23" s="1"/>
  <c r="O63" i="23"/>
  <c r="I63" i="23"/>
  <c r="H63" i="23"/>
  <c r="P63" i="23"/>
  <c r="M63" i="23"/>
  <c r="K63" i="23"/>
  <c r="F63" i="23"/>
  <c r="R63" i="23" s="1"/>
  <c r="S63" i="23" s="1"/>
  <c r="J71" i="23"/>
  <c r="J93" i="23"/>
  <c r="I93" i="23"/>
  <c r="G93" i="23"/>
  <c r="F93" i="23"/>
  <c r="R93" i="23" s="1"/>
  <c r="S93" i="23" s="1"/>
  <c r="P93" i="23"/>
  <c r="K93" i="23"/>
  <c r="H93" i="23"/>
  <c r="N93" i="23"/>
  <c r="M93" i="23"/>
  <c r="L93" i="23"/>
  <c r="Q93" i="23"/>
  <c r="G17" i="23"/>
  <c r="L17" i="23"/>
  <c r="K17" i="23"/>
  <c r="F17" i="23"/>
  <c r="R17" i="23" s="1"/>
  <c r="S17" i="23" s="1"/>
  <c r="O17" i="23"/>
  <c r="N17" i="23"/>
  <c r="N18" i="23"/>
  <c r="G20" i="23"/>
  <c r="M20" i="23"/>
  <c r="L20" i="23"/>
  <c r="P20" i="23"/>
  <c r="N20" i="23"/>
  <c r="I20" i="23"/>
  <c r="H20" i="23"/>
  <c r="Q21" i="23"/>
  <c r="G23" i="23"/>
  <c r="M23" i="23"/>
  <c r="L23" i="23"/>
  <c r="O23" i="23"/>
  <c r="K23" i="23"/>
  <c r="H23" i="23"/>
  <c r="F23" i="23"/>
  <c r="R23" i="23" s="1"/>
  <c r="S23" i="23" s="1"/>
  <c r="P30" i="23"/>
  <c r="P36" i="23"/>
  <c r="K43" i="23"/>
  <c r="Q43" i="23"/>
  <c r="P43" i="23"/>
  <c r="J43" i="23"/>
  <c r="F43" i="23"/>
  <c r="R43" i="23" s="1"/>
  <c r="S43" i="23" s="1"/>
  <c r="N43" i="23"/>
  <c r="M43" i="23"/>
  <c r="P44" i="23"/>
  <c r="J47" i="23"/>
  <c r="K49" i="23"/>
  <c r="Q49" i="23"/>
  <c r="P49" i="23"/>
  <c r="H49" i="23"/>
  <c r="O49" i="23"/>
  <c r="L49" i="23"/>
  <c r="J49" i="23"/>
  <c r="O50" i="23"/>
  <c r="Q57" i="23"/>
  <c r="H61" i="23"/>
  <c r="G63" i="23"/>
  <c r="P71" i="23"/>
  <c r="O93" i="23"/>
  <c r="J96" i="23"/>
  <c r="I96" i="23"/>
  <c r="G96" i="23"/>
  <c r="F96" i="23"/>
  <c r="R96" i="23" s="1"/>
  <c r="S96" i="23" s="1"/>
  <c r="P96" i="23"/>
  <c r="L96" i="23"/>
  <c r="M96" i="23"/>
  <c r="K96" i="23"/>
  <c r="H96" i="23"/>
  <c r="Q96" i="23"/>
  <c r="O96" i="23"/>
  <c r="O54" i="23"/>
  <c r="I54" i="23"/>
  <c r="H54" i="23"/>
  <c r="F54" i="23"/>
  <c r="R54" i="23" s="1"/>
  <c r="S54" i="23" s="1"/>
  <c r="Q54" i="23"/>
  <c r="N54" i="23"/>
  <c r="K54" i="23"/>
  <c r="J54" i="23"/>
  <c r="G56" i="23"/>
  <c r="M56" i="23"/>
  <c r="L56" i="23"/>
  <c r="P56" i="23"/>
  <c r="N56" i="23"/>
  <c r="I56" i="23"/>
  <c r="H56" i="23"/>
  <c r="I61" i="23"/>
  <c r="J63" i="23"/>
  <c r="G80" i="23"/>
  <c r="M80" i="23"/>
  <c r="L80" i="23"/>
  <c r="J80" i="23"/>
  <c r="I80" i="23"/>
  <c r="H80" i="23"/>
  <c r="Q80" i="23"/>
  <c r="P80" i="23"/>
  <c r="O80" i="23"/>
  <c r="N80" i="23"/>
  <c r="O45" i="23"/>
  <c r="I45" i="23"/>
  <c r="H45" i="23"/>
  <c r="K45" i="23"/>
  <c r="N45" i="23"/>
  <c r="M45" i="23"/>
  <c r="P47" i="23"/>
  <c r="G54" i="23"/>
  <c r="F56" i="23"/>
  <c r="R56" i="23" s="1"/>
  <c r="S56" i="23" s="1"/>
  <c r="L61" i="23"/>
  <c r="L63" i="23"/>
  <c r="O72" i="23"/>
  <c r="I72" i="23"/>
  <c r="H72" i="23"/>
  <c r="N72" i="23"/>
  <c r="M72" i="23"/>
  <c r="L72" i="23"/>
  <c r="J72" i="23"/>
  <c r="F72" i="23"/>
  <c r="R72" i="23" s="1"/>
  <c r="S72" i="23" s="1"/>
  <c r="Q72" i="23"/>
  <c r="O75" i="23"/>
  <c r="I75" i="23"/>
  <c r="H75" i="23"/>
  <c r="M75" i="23"/>
  <c r="L75" i="23"/>
  <c r="K75" i="23"/>
  <c r="G75" i="23"/>
  <c r="Q75" i="23"/>
  <c r="P75" i="23"/>
  <c r="F80" i="23"/>
  <c r="R80" i="23" s="1"/>
  <c r="S80" i="23" s="1"/>
  <c r="K25" i="23"/>
  <c r="Q25" i="23"/>
  <c r="P25" i="23"/>
  <c r="M25" i="23"/>
  <c r="J25" i="23"/>
  <c r="G25" i="23"/>
  <c r="F25" i="23"/>
  <c r="R25" i="23" s="1"/>
  <c r="S25" i="23" s="1"/>
  <c r="F45" i="23"/>
  <c r="R45" i="23" s="1"/>
  <c r="S45" i="23" s="1"/>
  <c r="L54" i="23"/>
  <c r="J56" i="23"/>
  <c r="N61" i="23"/>
  <c r="N63" i="23"/>
  <c r="G65" i="23"/>
  <c r="M65" i="23"/>
  <c r="L65" i="23"/>
  <c r="Q65" i="23"/>
  <c r="O65" i="23"/>
  <c r="K65" i="23"/>
  <c r="I65" i="23"/>
  <c r="G72" i="23"/>
  <c r="F75" i="23"/>
  <c r="R75" i="23" s="1"/>
  <c r="S75" i="23" s="1"/>
  <c r="G77" i="23"/>
  <c r="M77" i="23"/>
  <c r="L77" i="23"/>
  <c r="K77" i="23"/>
  <c r="J77" i="23"/>
  <c r="I77" i="23"/>
  <c r="F77" i="23"/>
  <c r="R77" i="23" s="1"/>
  <c r="S77" i="23" s="1"/>
  <c r="Q77" i="23"/>
  <c r="P77" i="23"/>
  <c r="O77" i="23"/>
  <c r="K80" i="23"/>
  <c r="K19" i="23"/>
  <c r="P19" i="23"/>
  <c r="G19" i="23"/>
  <c r="Q19" i="23"/>
  <c r="N19" i="23"/>
  <c r="J19" i="23"/>
  <c r="I19" i="23"/>
  <c r="H25" i="23"/>
  <c r="K34" i="23"/>
  <c r="Q34" i="23"/>
  <c r="P34" i="23"/>
  <c r="N34" i="23"/>
  <c r="I34" i="23"/>
  <c r="G34" i="23"/>
  <c r="O39" i="23"/>
  <c r="I39" i="23"/>
  <c r="H39" i="23"/>
  <c r="M39" i="23"/>
  <c r="G39" i="23"/>
  <c r="Q39" i="23"/>
  <c r="P39" i="23"/>
  <c r="G45" i="23"/>
  <c r="M54" i="23"/>
  <c r="K56" i="23"/>
  <c r="Q63" i="23"/>
  <c r="F65" i="23"/>
  <c r="R65" i="23" s="1"/>
  <c r="S65" i="23" s="1"/>
  <c r="G68" i="23"/>
  <c r="M68" i="23"/>
  <c r="L68" i="23"/>
  <c r="P68" i="23"/>
  <c r="O68" i="23"/>
  <c r="N68" i="23"/>
  <c r="J68" i="23"/>
  <c r="H68" i="23"/>
  <c r="K72" i="23"/>
  <c r="J75" i="23"/>
  <c r="H77" i="23"/>
  <c r="P81" i="23"/>
  <c r="O81" i="23"/>
  <c r="I81" i="23"/>
  <c r="H81" i="23"/>
  <c r="K81" i="23"/>
  <c r="J81" i="23"/>
  <c r="G81" i="23"/>
  <c r="Q81" i="23"/>
  <c r="N81" i="23"/>
  <c r="M81" i="23"/>
  <c r="O91" i="23"/>
  <c r="N91" i="23"/>
  <c r="L91" i="23"/>
  <c r="I91" i="23"/>
  <c r="H91" i="23"/>
  <c r="Q91" i="23"/>
  <c r="P91" i="23"/>
  <c r="M91" i="23"/>
  <c r="K91" i="23"/>
  <c r="J91" i="23"/>
  <c r="G91" i="23"/>
  <c r="F91" i="23"/>
  <c r="R91" i="23" s="1"/>
  <c r="S91" i="23" s="1"/>
  <c r="G22" i="23"/>
  <c r="K28" i="23"/>
  <c r="Q28" i="23"/>
  <c r="P28" i="23"/>
  <c r="N40" i="23"/>
  <c r="I52" i="23"/>
  <c r="G58" i="23"/>
  <c r="K64" i="23"/>
  <c r="Q64" i="23"/>
  <c r="P64" i="23"/>
  <c r="N76" i="23"/>
  <c r="O82" i="23"/>
  <c r="K86" i="23"/>
  <c r="J86" i="23"/>
  <c r="H86" i="23"/>
  <c r="M86" i="23"/>
  <c r="L86" i="23"/>
  <c r="I87" i="23"/>
  <c r="M92" i="23"/>
  <c r="F100" i="23"/>
  <c r="R100" i="23" s="1"/>
  <c r="S100" i="23" s="1"/>
  <c r="Q100" i="23"/>
  <c r="O100" i="23"/>
  <c r="N100" i="23"/>
  <c r="L100" i="23"/>
  <c r="H100" i="23"/>
  <c r="P100" i="23"/>
  <c r="P101" i="23"/>
  <c r="F106" i="23"/>
  <c r="R106" i="23" s="1"/>
  <c r="S106" i="23" s="1"/>
  <c r="Q106" i="23"/>
  <c r="O106" i="23"/>
  <c r="N106" i="23"/>
  <c r="L106" i="23"/>
  <c r="J106" i="23"/>
  <c r="L116" i="23"/>
  <c r="N119" i="23"/>
  <c r="M119" i="23"/>
  <c r="K119" i="23"/>
  <c r="J119" i="23"/>
  <c r="H119" i="23"/>
  <c r="P119" i="23"/>
  <c r="L119" i="23"/>
  <c r="G119" i="23"/>
  <c r="F119" i="23"/>
  <c r="R119" i="23" s="1"/>
  <c r="S119" i="23" s="1"/>
  <c r="H22" i="23"/>
  <c r="F28" i="23"/>
  <c r="R28" i="23" s="1"/>
  <c r="S28" i="23" s="1"/>
  <c r="K31" i="23"/>
  <c r="Q31" i="23"/>
  <c r="P31" i="23"/>
  <c r="J52" i="23"/>
  <c r="H58" i="23"/>
  <c r="F64" i="23"/>
  <c r="R64" i="23" s="1"/>
  <c r="S64" i="23" s="1"/>
  <c r="K67" i="23"/>
  <c r="Q67" i="23"/>
  <c r="P67" i="23"/>
  <c r="P82" i="23"/>
  <c r="O85" i="23"/>
  <c r="N85" i="23"/>
  <c r="L85" i="23"/>
  <c r="K85" i="23"/>
  <c r="J85" i="23"/>
  <c r="F86" i="23"/>
  <c r="R86" i="23" s="1"/>
  <c r="S86" i="23" s="1"/>
  <c r="L87" i="23"/>
  <c r="N92" i="23"/>
  <c r="G100" i="23"/>
  <c r="G106" i="23"/>
  <c r="O119" i="23"/>
  <c r="K70" i="23"/>
  <c r="Q70" i="23"/>
  <c r="P70" i="23"/>
  <c r="F109" i="23"/>
  <c r="R109" i="23" s="1"/>
  <c r="S109" i="23" s="1"/>
  <c r="Q109" i="23"/>
  <c r="O109" i="23"/>
  <c r="N109" i="23"/>
  <c r="L109" i="23"/>
  <c r="P109" i="23"/>
  <c r="K109" i="23"/>
  <c r="J109" i="23"/>
  <c r="G90" i="23"/>
  <c r="F90" i="23"/>
  <c r="R90" i="23" s="1"/>
  <c r="S90" i="23" s="1"/>
  <c r="P90" i="23"/>
  <c r="Q90" i="23"/>
  <c r="J90" i="23"/>
  <c r="I90" i="23"/>
  <c r="G109" i="23"/>
  <c r="L22" i="23"/>
  <c r="K40" i="23"/>
  <c r="Q40" i="23"/>
  <c r="P40" i="23"/>
  <c r="L58" i="23"/>
  <c r="G70" i="23"/>
  <c r="K76" i="23"/>
  <c r="Q76" i="23"/>
  <c r="P76" i="23"/>
  <c r="P84" i="23"/>
  <c r="F84" i="23"/>
  <c r="R84" i="23" s="1"/>
  <c r="S84" i="23" s="1"/>
  <c r="L84" i="23"/>
  <c r="K84" i="23"/>
  <c r="H90" i="23"/>
  <c r="J102" i="23"/>
  <c r="I102" i="23"/>
  <c r="G102" i="23"/>
  <c r="F102" i="23"/>
  <c r="R102" i="23" s="1"/>
  <c r="S102" i="23" s="1"/>
  <c r="P102" i="23"/>
  <c r="N102" i="23"/>
  <c r="H109" i="23"/>
  <c r="F115" i="23"/>
  <c r="R115" i="23" s="1"/>
  <c r="S115" i="23" s="1"/>
  <c r="O115" i="23"/>
  <c r="N115" i="23"/>
  <c r="P115" i="23"/>
  <c r="M115" i="23"/>
  <c r="J115" i="23"/>
  <c r="L82" i="23"/>
  <c r="M82" i="23"/>
  <c r="F82" i="23"/>
  <c r="R82" i="23" s="1"/>
  <c r="S82" i="23" s="1"/>
  <c r="K89" i="23"/>
  <c r="J89" i="23"/>
  <c r="H89" i="23"/>
  <c r="L89" i="23"/>
  <c r="I89" i="23"/>
  <c r="K90" i="23"/>
  <c r="I109" i="23"/>
  <c r="L28" i="23"/>
  <c r="J31" i="23"/>
  <c r="G40" i="23"/>
  <c r="K46" i="23"/>
  <c r="Q46" i="23"/>
  <c r="P46" i="23"/>
  <c r="L64" i="23"/>
  <c r="J67" i="23"/>
  <c r="I70" i="23"/>
  <c r="G76" i="23"/>
  <c r="G82" i="23"/>
  <c r="H84" i="23"/>
  <c r="P86" i="23"/>
  <c r="F89" i="23"/>
  <c r="R89" i="23" s="1"/>
  <c r="S89" i="23" s="1"/>
  <c r="L90" i="23"/>
  <c r="J99" i="23"/>
  <c r="I99" i="23"/>
  <c r="G99" i="23"/>
  <c r="F99" i="23"/>
  <c r="R99" i="23" s="1"/>
  <c r="S99" i="23" s="1"/>
  <c r="P99" i="23"/>
  <c r="M99" i="23"/>
  <c r="L99" i="23"/>
  <c r="K102" i="23"/>
  <c r="P106" i="23"/>
  <c r="M109" i="23"/>
  <c r="I115" i="23"/>
  <c r="N125" i="23"/>
  <c r="M125" i="23"/>
  <c r="K125" i="23"/>
  <c r="J125" i="23"/>
  <c r="H125" i="23"/>
  <c r="G125" i="23"/>
  <c r="F125" i="23"/>
  <c r="R125" i="23" s="1"/>
  <c r="S125" i="23" s="1"/>
  <c r="P125" i="23"/>
  <c r="O125" i="23"/>
  <c r="L125" i="23"/>
  <c r="I125" i="23"/>
  <c r="N101" i="23"/>
  <c r="M101" i="23"/>
  <c r="K101" i="23"/>
  <c r="J101" i="23"/>
  <c r="H101" i="23"/>
  <c r="L101" i="23"/>
  <c r="N104" i="23"/>
  <c r="M104" i="23"/>
  <c r="K104" i="23"/>
  <c r="J104" i="23"/>
  <c r="H104" i="23"/>
  <c r="O104" i="23"/>
  <c r="L104" i="23"/>
  <c r="K52" i="23"/>
  <c r="Q52" i="23"/>
  <c r="P52" i="23"/>
  <c r="L70" i="23"/>
  <c r="I82" i="23"/>
  <c r="M89" i="23"/>
  <c r="N90" i="23"/>
  <c r="F101" i="23"/>
  <c r="R101" i="23" s="1"/>
  <c r="S101" i="23" s="1"/>
  <c r="F104" i="23"/>
  <c r="R104" i="23" s="1"/>
  <c r="S104" i="23" s="1"/>
  <c r="M70" i="23"/>
  <c r="J82" i="23"/>
  <c r="N89" i="23"/>
  <c r="O90" i="23"/>
  <c r="K92" i="23"/>
  <c r="J92" i="23"/>
  <c r="H92" i="23"/>
  <c r="Q92" i="23"/>
  <c r="I92" i="23"/>
  <c r="G92" i="23"/>
  <c r="G101" i="23"/>
  <c r="G104" i="23"/>
  <c r="K22" i="23"/>
  <c r="Q22" i="23"/>
  <c r="P22" i="23"/>
  <c r="L40" i="23"/>
  <c r="G52" i="23"/>
  <c r="K58" i="23"/>
  <c r="Q58" i="23"/>
  <c r="P58" i="23"/>
  <c r="N70" i="23"/>
  <c r="L76" i="23"/>
  <c r="K82" i="23"/>
  <c r="N84" i="23"/>
  <c r="G87" i="23"/>
  <c r="F87" i="23"/>
  <c r="R87" i="23" s="1"/>
  <c r="S87" i="23" s="1"/>
  <c r="P87" i="23"/>
  <c r="K87" i="23"/>
  <c r="J87" i="23"/>
  <c r="O89" i="23"/>
  <c r="F92" i="23"/>
  <c r="R92" i="23" s="1"/>
  <c r="S92" i="23" s="1"/>
  <c r="I101" i="23"/>
  <c r="Q102" i="23"/>
  <c r="I104" i="23"/>
  <c r="N116" i="23"/>
  <c r="M116" i="23"/>
  <c r="K116" i="23"/>
  <c r="J116" i="23"/>
  <c r="H116" i="23"/>
  <c r="I116" i="23"/>
  <c r="F116" i="23"/>
  <c r="R116" i="23" s="1"/>
  <c r="S116" i="23" s="1"/>
  <c r="P116" i="23"/>
  <c r="N122" i="23"/>
  <c r="M122" i="23"/>
  <c r="K122" i="23"/>
  <c r="J122" i="23"/>
  <c r="H122" i="23"/>
  <c r="P122" i="23"/>
  <c r="O122" i="23"/>
  <c r="L122" i="23"/>
  <c r="I122" i="23"/>
  <c r="G122" i="23"/>
  <c r="F122" i="23"/>
  <c r="R122" i="23" s="1"/>
  <c r="S122" i="23" s="1"/>
  <c r="J114" i="23"/>
  <c r="I114" i="23"/>
  <c r="G114" i="23"/>
  <c r="F114" i="23"/>
  <c r="R114" i="23" s="1"/>
  <c r="S114" i="23" s="1"/>
  <c r="P114" i="23"/>
  <c r="K120" i="23"/>
  <c r="M121" i="23"/>
  <c r="G124" i="23"/>
  <c r="M126" i="23"/>
  <c r="D47" i="24"/>
  <c r="F118" i="23"/>
  <c r="R118" i="23" s="1"/>
  <c r="S118" i="23" s="1"/>
  <c r="Q118" i="23"/>
  <c r="O118" i="23"/>
  <c r="N118" i="23"/>
  <c r="L118" i="23"/>
  <c r="L120" i="23"/>
  <c r="N126" i="23"/>
  <c r="F97" i="23"/>
  <c r="R97" i="23" s="1"/>
  <c r="S97" i="23" s="1"/>
  <c r="Q97" i="23"/>
  <c r="O97" i="23"/>
  <c r="N97" i="23"/>
  <c r="L97" i="23"/>
  <c r="J108" i="23"/>
  <c r="I108" i="23"/>
  <c r="G108" i="23"/>
  <c r="F108" i="23"/>
  <c r="R108" i="23" s="1"/>
  <c r="S108" i="23" s="1"/>
  <c r="P108" i="23"/>
  <c r="K114" i="23"/>
  <c r="G118" i="23"/>
  <c r="M120" i="23"/>
  <c r="I124" i="23"/>
  <c r="O126" i="23"/>
  <c r="N128" i="23"/>
  <c r="M128" i="23"/>
  <c r="K128" i="23"/>
  <c r="J128" i="23"/>
  <c r="H128" i="23"/>
  <c r="D37" i="24"/>
  <c r="D45" i="24"/>
  <c r="D57" i="24"/>
  <c r="D67" i="24"/>
  <c r="D81" i="24"/>
  <c r="D91" i="24"/>
  <c r="D105" i="24"/>
  <c r="D115" i="24"/>
  <c r="G97" i="23"/>
  <c r="N107" i="23"/>
  <c r="M107" i="23"/>
  <c r="K107" i="23"/>
  <c r="J107" i="23"/>
  <c r="H107" i="23"/>
  <c r="Q112" i="23"/>
  <c r="O112" i="23"/>
  <c r="N112" i="23"/>
  <c r="L112" i="23"/>
  <c r="L114" i="23"/>
  <c r="H118" i="23"/>
  <c r="N120" i="23"/>
  <c r="J123" i="23"/>
  <c r="I123" i="23"/>
  <c r="F123" i="23"/>
  <c r="R123" i="23" s="1"/>
  <c r="S123" i="23" s="1"/>
  <c r="P123" i="23"/>
  <c r="F128" i="23"/>
  <c r="R128" i="23" s="1"/>
  <c r="S128" i="23" s="1"/>
  <c r="F127" i="23"/>
  <c r="R127" i="23" s="1"/>
  <c r="S127" i="23" s="1"/>
  <c r="Q127" i="23"/>
  <c r="O127" i="23"/>
  <c r="N127" i="23"/>
  <c r="L127" i="23"/>
  <c r="G128" i="23"/>
  <c r="D16" i="24"/>
  <c r="D40" i="24"/>
  <c r="D64" i="24"/>
  <c r="D71" i="24"/>
  <c r="D88" i="24"/>
  <c r="D95" i="24"/>
  <c r="D112" i="24"/>
  <c r="D119" i="24"/>
  <c r="N114" i="23"/>
  <c r="J117" i="23"/>
  <c r="I117" i="23"/>
  <c r="G117" i="23"/>
  <c r="F117" i="23"/>
  <c r="R117" i="23" s="1"/>
  <c r="S117" i="23" s="1"/>
  <c r="P117" i="23"/>
  <c r="J118" i="23"/>
  <c r="K123" i="23"/>
  <c r="G127" i="23"/>
  <c r="I128" i="23"/>
  <c r="D19" i="24"/>
  <c r="D43" i="24"/>
  <c r="D58" i="24"/>
  <c r="D82" i="24"/>
  <c r="D106" i="24"/>
  <c r="K118" i="23"/>
  <c r="F121" i="23"/>
  <c r="R121" i="23" s="1"/>
  <c r="S121" i="23" s="1"/>
  <c r="Q121" i="23"/>
  <c r="O121" i="23"/>
  <c r="N121" i="23"/>
  <c r="L121" i="23"/>
  <c r="L123" i="23"/>
  <c r="H127" i="23"/>
  <c r="L128" i="23"/>
  <c r="D22" i="24"/>
  <c r="I27" i="24"/>
  <c r="D35" i="24"/>
  <c r="D38" i="24"/>
  <c r="D46" i="24"/>
  <c r="J111" i="23"/>
  <c r="I111" i="23"/>
  <c r="G111" i="23"/>
  <c r="F111" i="23"/>
  <c r="R111" i="23" s="1"/>
  <c r="S111" i="23" s="1"/>
  <c r="P111" i="23"/>
  <c r="Q114" i="23"/>
  <c r="K117" i="23"/>
  <c r="M118" i="23"/>
  <c r="G121" i="23"/>
  <c r="M123" i="23"/>
  <c r="I127" i="23"/>
  <c r="O128" i="23"/>
  <c r="P118" i="23"/>
  <c r="J126" i="23"/>
  <c r="I126" i="23"/>
  <c r="G126" i="23"/>
  <c r="F126" i="23"/>
  <c r="R126" i="23" s="1"/>
  <c r="S126" i="23" s="1"/>
  <c r="P126" i="23"/>
  <c r="J127" i="23"/>
  <c r="P128" i="23"/>
  <c r="D25" i="24"/>
  <c r="D33" i="24"/>
  <c r="D49" i="24"/>
  <c r="D52" i="24"/>
  <c r="D55" i="24"/>
  <c r="D69" i="24"/>
  <c r="D79" i="24"/>
  <c r="D93" i="24"/>
  <c r="D103" i="24"/>
  <c r="D117" i="24"/>
  <c r="F94" i="23"/>
  <c r="R94" i="23" s="1"/>
  <c r="S94" i="23" s="1"/>
  <c r="Q94" i="23"/>
  <c r="O94" i="23"/>
  <c r="N94" i="23"/>
  <c r="L94" i="23"/>
  <c r="P97" i="23"/>
  <c r="J105" i="23"/>
  <c r="I105" i="23"/>
  <c r="G105" i="23"/>
  <c r="F105" i="23"/>
  <c r="R105" i="23" s="1"/>
  <c r="S105" i="23" s="1"/>
  <c r="P105" i="23"/>
  <c r="P107" i="23"/>
  <c r="Q108" i="23"/>
  <c r="K111" i="23"/>
  <c r="M112" i="23"/>
  <c r="M117" i="23"/>
  <c r="I121" i="23"/>
  <c r="O123" i="23"/>
  <c r="H126" i="23"/>
  <c r="K127" i="23"/>
  <c r="Q128" i="23"/>
  <c r="H15" i="24"/>
  <c r="I48" i="24" s="1"/>
  <c r="J120" i="23"/>
  <c r="I120" i="23"/>
  <c r="G120" i="23"/>
  <c r="F120" i="23"/>
  <c r="R120" i="23" s="1"/>
  <c r="S120" i="23" s="1"/>
  <c r="P120" i="23"/>
  <c r="J121" i="23"/>
  <c r="Q123" i="23"/>
  <c r="K126" i="23"/>
  <c r="M127" i="23"/>
  <c r="D122" i="24"/>
  <c r="D110" i="24"/>
  <c r="D98" i="24"/>
  <c r="D86" i="24"/>
  <c r="D74" i="24"/>
  <c r="D62" i="24"/>
  <c r="D50" i="24"/>
  <c r="D120" i="24"/>
  <c r="D108" i="24"/>
  <c r="D96" i="24"/>
  <c r="D84" i="24"/>
  <c r="D72" i="24"/>
  <c r="D60" i="24"/>
  <c r="D48" i="24"/>
  <c r="D36" i="24"/>
  <c r="D24" i="24"/>
  <c r="D125" i="24"/>
  <c r="D113" i="24"/>
  <c r="D101" i="24"/>
  <c r="D89" i="24"/>
  <c r="D77" i="24"/>
  <c r="D65" i="24"/>
  <c r="D53" i="24"/>
  <c r="D41" i="24"/>
  <c r="D29" i="24"/>
  <c r="D17" i="24"/>
  <c r="D123" i="24"/>
  <c r="D111" i="24"/>
  <c r="D99" i="24"/>
  <c r="D87" i="24"/>
  <c r="D75" i="24"/>
  <c r="D63" i="24"/>
  <c r="D51" i="24"/>
  <c r="D39" i="24"/>
  <c r="D27" i="24"/>
  <c r="D128" i="24"/>
  <c r="D116" i="24"/>
  <c r="D104" i="24"/>
  <c r="D92" i="24"/>
  <c r="D80" i="24"/>
  <c r="D68" i="24"/>
  <c r="D56" i="24"/>
  <c r="D44" i="24"/>
  <c r="D32" i="24"/>
  <c r="D20" i="24"/>
  <c r="D121" i="24"/>
  <c r="D109" i="24"/>
  <c r="D97" i="24"/>
  <c r="D85" i="24"/>
  <c r="D73" i="24"/>
  <c r="D61" i="24"/>
  <c r="D126" i="24"/>
  <c r="D114" i="24"/>
  <c r="D102" i="24"/>
  <c r="D90" i="24"/>
  <c r="D78" i="24"/>
  <c r="D66" i="24"/>
  <c r="D54" i="24"/>
  <c r="D42" i="24"/>
  <c r="D30" i="24"/>
  <c r="D18" i="24"/>
  <c r="D28" i="24"/>
  <c r="D59" i="24"/>
  <c r="D76" i="24"/>
  <c r="D83" i="24"/>
  <c r="D100" i="24"/>
  <c r="D107" i="24"/>
  <c r="D124" i="24"/>
  <c r="F124" i="23"/>
  <c r="R124" i="23" s="1"/>
  <c r="S124" i="23" s="1"/>
  <c r="Q124" i="23"/>
  <c r="O124" i="23"/>
  <c r="N124" i="23"/>
  <c r="L124" i="23"/>
  <c r="L126" i="23"/>
  <c r="P127" i="23"/>
  <c r="D31" i="24"/>
  <c r="D70" i="24"/>
  <c r="D94" i="24"/>
  <c r="D118" i="24"/>
  <c r="I39" i="9" l="1"/>
  <c r="I17" i="9"/>
  <c r="I18" i="9"/>
  <c r="I42" i="9"/>
  <c r="I66" i="9"/>
  <c r="I90" i="9"/>
  <c r="I114" i="9"/>
  <c r="I43" i="9"/>
  <c r="I67" i="9"/>
  <c r="I91" i="9"/>
  <c r="I115" i="9"/>
  <c r="I44" i="9"/>
  <c r="I98" i="9"/>
  <c r="I19" i="9"/>
  <c r="I20" i="9"/>
  <c r="I21" i="9"/>
  <c r="I22" i="9"/>
  <c r="I46" i="9"/>
  <c r="I70" i="9"/>
  <c r="I94" i="9"/>
  <c r="I118" i="9"/>
  <c r="I47" i="9"/>
  <c r="I71" i="9"/>
  <c r="I95" i="9"/>
  <c r="I119" i="9"/>
  <c r="I48" i="9"/>
  <c r="I72" i="9"/>
  <c r="I23" i="9"/>
  <c r="I24" i="9"/>
  <c r="I25" i="9"/>
  <c r="I26" i="9"/>
  <c r="I27" i="9"/>
  <c r="I51" i="9"/>
  <c r="I75" i="9"/>
  <c r="I99" i="9"/>
  <c r="I123" i="9"/>
  <c r="I52" i="9"/>
  <c r="I76" i="9"/>
  <c r="I100" i="9"/>
  <c r="I124" i="9"/>
  <c r="I53" i="9"/>
  <c r="I77" i="9"/>
  <c r="I101" i="9"/>
  <c r="I125" i="9"/>
  <c r="I54" i="9"/>
  <c r="I78" i="9"/>
  <c r="I102" i="9"/>
  <c r="I126" i="9"/>
  <c r="I50" i="9"/>
  <c r="I28" i="9"/>
  <c r="I29" i="9"/>
  <c r="I30" i="9"/>
  <c r="I31" i="9"/>
  <c r="I55" i="9"/>
  <c r="I79" i="9"/>
  <c r="I103" i="9"/>
  <c r="I127" i="9"/>
  <c r="I56" i="9"/>
  <c r="I104" i="9"/>
  <c r="I41" i="9"/>
  <c r="I120" i="9"/>
  <c r="I74" i="9"/>
  <c r="I32" i="9"/>
  <c r="I80" i="9"/>
  <c r="I128" i="9"/>
  <c r="I89" i="9"/>
  <c r="I69" i="9"/>
  <c r="I97" i="9"/>
  <c r="I33" i="9"/>
  <c r="I57" i="9"/>
  <c r="I81" i="9"/>
  <c r="I105" i="9"/>
  <c r="I16" i="9"/>
  <c r="I58" i="9"/>
  <c r="I82" i="9"/>
  <c r="I106" i="9"/>
  <c r="I65" i="9"/>
  <c r="I45" i="9"/>
  <c r="I49" i="9"/>
  <c r="I34" i="9"/>
  <c r="I35" i="9"/>
  <c r="I59" i="9"/>
  <c r="I83" i="9"/>
  <c r="I107" i="9"/>
  <c r="I87" i="9"/>
  <c r="I64" i="9"/>
  <c r="I113" i="9"/>
  <c r="I92" i="9"/>
  <c r="I96" i="9"/>
  <c r="I36" i="9"/>
  <c r="I60" i="9"/>
  <c r="I84" i="9"/>
  <c r="I108" i="9"/>
  <c r="I37" i="9"/>
  <c r="I61" i="9"/>
  <c r="I85" i="9"/>
  <c r="I109" i="9"/>
  <c r="I111" i="9"/>
  <c r="I88" i="9"/>
  <c r="I112" i="9"/>
  <c r="I68" i="9"/>
  <c r="I93" i="9"/>
  <c r="I121" i="9"/>
  <c r="I122" i="9"/>
  <c r="I38" i="9"/>
  <c r="I62" i="9"/>
  <c r="I86" i="9"/>
  <c r="I110" i="9"/>
  <c r="I63" i="9"/>
  <c r="I40" i="9"/>
  <c r="I116" i="9"/>
  <c r="I117" i="9"/>
  <c r="I73" i="9"/>
  <c r="Q23" i="20"/>
  <c r="F10" i="9"/>
  <c r="F9" i="9"/>
  <c r="F8" i="9"/>
  <c r="L16" i="3"/>
  <c r="M103" i="3"/>
  <c r="L44" i="3"/>
  <c r="L53" i="3"/>
  <c r="L18" i="3"/>
  <c r="L95" i="3"/>
  <c r="L102" i="3"/>
  <c r="L34" i="3"/>
  <c r="L105" i="3"/>
  <c r="L9" i="3"/>
  <c r="L94" i="3"/>
  <c r="L26" i="3"/>
  <c r="M114" i="3"/>
  <c r="L90" i="3"/>
  <c r="L65" i="3"/>
  <c r="L86" i="3"/>
  <c r="L35" i="3"/>
  <c r="L82" i="3"/>
  <c r="L57" i="3"/>
  <c r="L27" i="3"/>
  <c r="L91" i="3"/>
  <c r="L19" i="3"/>
  <c r="L32" i="3"/>
  <c r="L49" i="3"/>
  <c r="L20" i="3"/>
  <c r="L113" i="3"/>
  <c r="L45" i="3"/>
  <c r="L83" i="3"/>
  <c r="L11" i="3"/>
  <c r="L37" i="3"/>
  <c r="L46" i="3"/>
  <c r="L101" i="3"/>
  <c r="L71" i="3"/>
  <c r="L106" i="3"/>
  <c r="L38" i="3"/>
  <c r="L67" i="3"/>
  <c r="L93" i="3"/>
  <c r="M90" i="3"/>
  <c r="M79" i="3"/>
  <c r="L97" i="3"/>
  <c r="L33" i="3"/>
  <c r="L74" i="3"/>
  <c r="M55" i="3"/>
  <c r="L119" i="3"/>
  <c r="L59" i="3"/>
  <c r="L92" i="3"/>
  <c r="L85" i="3"/>
  <c r="L10" i="3"/>
  <c r="M97" i="3"/>
  <c r="L81" i="3"/>
  <c r="L25" i="3"/>
  <c r="L55" i="3"/>
  <c r="L60" i="3"/>
  <c r="L62" i="3"/>
  <c r="L88" i="3"/>
  <c r="M66" i="3"/>
  <c r="L115" i="3"/>
  <c r="L21" i="3"/>
  <c r="L118" i="3"/>
  <c r="L107" i="3"/>
  <c r="L47" i="3"/>
  <c r="L73" i="3"/>
  <c r="L58" i="3"/>
  <c r="L17" i="3"/>
  <c r="L43" i="3"/>
  <c r="L48" i="3"/>
  <c r="L69" i="3"/>
  <c r="L110" i="3"/>
  <c r="L54" i="3"/>
  <c r="L99" i="3"/>
  <c r="L64" i="3"/>
  <c r="L36" i="3"/>
  <c r="L100" i="3"/>
  <c r="M42" i="3"/>
  <c r="M18" i="3"/>
  <c r="M31" i="3"/>
  <c r="L103" i="3"/>
  <c r="L89" i="3"/>
  <c r="L41" i="3"/>
  <c r="L42" i="3"/>
  <c r="L51" i="3"/>
  <c r="L40" i="3"/>
  <c r="M49" i="3"/>
  <c r="L77" i="3"/>
  <c r="L29" i="3"/>
  <c r="L30" i="3"/>
  <c r="L39" i="3"/>
  <c r="L78" i="3"/>
  <c r="L87" i="3"/>
  <c r="L12" i="3"/>
  <c r="L22" i="3"/>
  <c r="L31" i="3"/>
  <c r="L70" i="3"/>
  <c r="L79" i="3"/>
  <c r="L66" i="3"/>
  <c r="L75" i="3"/>
  <c r="L72" i="3"/>
  <c r="L108" i="3"/>
  <c r="L109" i="3"/>
  <c r="L61" i="3"/>
  <c r="L13" i="3"/>
  <c r="L114" i="3"/>
  <c r="L14" i="3"/>
  <c r="L23" i="3"/>
  <c r="L52" i="3"/>
  <c r="E113" i="24"/>
  <c r="E102" i="24"/>
  <c r="E112" i="24"/>
  <c r="E67" i="24"/>
  <c r="Q101" i="23"/>
  <c r="O101" i="23"/>
  <c r="Q14" i="4"/>
  <c r="F9" i="16"/>
  <c r="F8" i="16"/>
  <c r="F10" i="16"/>
  <c r="J17" i="23"/>
  <c r="J27" i="24"/>
  <c r="P65" i="23"/>
  <c r="H65" i="23"/>
  <c r="Q50" i="23"/>
  <c r="N50" i="23"/>
  <c r="O40" i="23"/>
  <c r="M40" i="23"/>
  <c r="J40" i="23"/>
  <c r="I40" i="23"/>
  <c r="F40" i="23"/>
  <c r="R40" i="23" s="1"/>
  <c r="S40" i="23" s="1"/>
  <c r="I38" i="23"/>
  <c r="F38" i="23"/>
  <c r="R38" i="23" s="1"/>
  <c r="S38" i="23" s="1"/>
  <c r="N22" i="23"/>
  <c r="M22" i="23"/>
  <c r="J22" i="23"/>
  <c r="I22" i="23"/>
  <c r="F22" i="23"/>
  <c r="R22" i="23" s="1"/>
  <c r="S22" i="23" s="1"/>
  <c r="J29" i="23"/>
  <c r="N29" i="23"/>
  <c r="F29" i="23"/>
  <c r="R29" i="23" s="1"/>
  <c r="S29" i="23" s="1"/>
  <c r="Q28" i="20"/>
  <c r="Q120" i="4"/>
  <c r="G11" i="7"/>
  <c r="G10" i="7"/>
  <c r="G9" i="7"/>
  <c r="C83" i="8"/>
  <c r="O84" i="23"/>
  <c r="L120" i="3"/>
  <c r="K106" i="23"/>
  <c r="M106" i="23"/>
  <c r="Q82" i="23"/>
  <c r="N82" i="23"/>
  <c r="Q20" i="20"/>
  <c r="E53" i="24"/>
  <c r="F112" i="23"/>
  <c r="R112" i="23" s="1"/>
  <c r="S112" i="23" s="1"/>
  <c r="D129" i="23"/>
  <c r="F9" i="8"/>
  <c r="F8" i="8"/>
  <c r="F10" i="8"/>
  <c r="M123" i="18"/>
  <c r="C47" i="9"/>
  <c r="C26" i="11"/>
  <c r="D26" i="11" s="1"/>
  <c r="C82" i="11"/>
  <c r="D82" i="11" s="1"/>
  <c r="F10" i="12"/>
  <c r="F9" i="12"/>
  <c r="F8" i="12"/>
  <c r="L56" i="3"/>
  <c r="L96" i="3"/>
  <c r="H53" i="23"/>
  <c r="L117" i="3"/>
  <c r="C46" i="14"/>
  <c r="C82" i="10"/>
  <c r="I94" i="23"/>
  <c r="N49" i="23"/>
  <c r="M49" i="23"/>
  <c r="I49" i="23"/>
  <c r="G49" i="23"/>
  <c r="C74" i="10"/>
  <c r="M36" i="4"/>
  <c r="C46" i="12"/>
  <c r="C59" i="9"/>
  <c r="M94" i="23"/>
  <c r="G36" i="23"/>
  <c r="K18" i="23"/>
  <c r="P18" i="23"/>
  <c r="I18" i="23"/>
  <c r="F18" i="23"/>
  <c r="R18" i="23" s="1"/>
  <c r="S18" i="23" s="1"/>
  <c r="M105" i="23"/>
  <c r="K105" i="23"/>
  <c r="C74" i="12"/>
  <c r="C46" i="16"/>
  <c r="M46" i="16" s="1"/>
  <c r="L112" i="3"/>
  <c r="H26" i="23"/>
  <c r="P94" i="23"/>
  <c r="K36" i="23"/>
  <c r="M47" i="18"/>
  <c r="M105" i="4"/>
  <c r="H40" i="23"/>
  <c r="L39" i="23"/>
  <c r="G94" i="23"/>
  <c r="H108" i="23"/>
  <c r="F47" i="23"/>
  <c r="R47" i="23" s="1"/>
  <c r="S47" i="23" s="1"/>
  <c r="L36" i="23"/>
  <c r="Q108" i="4"/>
  <c r="K108" i="23"/>
  <c r="H47" i="23"/>
  <c r="M108" i="4"/>
  <c r="M127" i="18"/>
  <c r="D43" i="7"/>
  <c r="M85" i="4"/>
  <c r="C58" i="12"/>
  <c r="O19" i="23"/>
  <c r="L108" i="23"/>
  <c r="J97" i="23"/>
  <c r="M97" i="23"/>
  <c r="K97" i="23"/>
  <c r="I97" i="23"/>
  <c r="H97" i="23"/>
  <c r="Q19" i="20"/>
  <c r="M91" i="4"/>
  <c r="C43" i="9"/>
  <c r="C58" i="14"/>
  <c r="I50" i="23"/>
  <c r="N108" i="23"/>
  <c r="E16" i="24"/>
  <c r="G115" i="23"/>
  <c r="I65" i="24"/>
  <c r="J65" i="24" s="1"/>
  <c r="M124" i="23"/>
  <c r="J124" i="23"/>
  <c r="L115" i="23"/>
  <c r="I119" i="23"/>
  <c r="M26" i="23"/>
  <c r="M67" i="4"/>
  <c r="C42" i="15"/>
  <c r="D42" i="15" s="1"/>
  <c r="C58" i="17"/>
  <c r="D58" i="17" s="1"/>
  <c r="C111" i="9"/>
  <c r="C115" i="9"/>
  <c r="Q105" i="23"/>
  <c r="O108" i="23"/>
  <c r="I85" i="23"/>
  <c r="F85" i="23"/>
  <c r="R85" i="23" s="1"/>
  <c r="S85" i="23" s="1"/>
  <c r="M85" i="23"/>
  <c r="H85" i="23"/>
  <c r="G85" i="23"/>
  <c r="Q36" i="4"/>
  <c r="E27" i="24"/>
  <c r="E84" i="24"/>
  <c r="C42" i="11"/>
  <c r="D59" i="18"/>
  <c r="M111" i="18"/>
  <c r="L57" i="23"/>
  <c r="H70" i="23"/>
  <c r="F70" i="23"/>
  <c r="R70" i="23" s="1"/>
  <c r="S70" i="23" s="1"/>
  <c r="J70" i="23"/>
  <c r="M100" i="23"/>
  <c r="K100" i="23"/>
  <c r="J100" i="23"/>
  <c r="E42" i="24"/>
  <c r="E45" i="24"/>
  <c r="D15" i="23"/>
  <c r="L98" i="3"/>
  <c r="L50" i="3"/>
  <c r="L111" i="3"/>
  <c r="L63" i="3"/>
  <c r="L15" i="3"/>
  <c r="C86" i="17"/>
  <c r="H106" i="23"/>
  <c r="N105" i="23"/>
  <c r="J28" i="23"/>
  <c r="H28" i="23"/>
  <c r="C119" i="8"/>
  <c r="C99" i="8"/>
  <c r="C75" i="9"/>
  <c r="D103" i="7"/>
  <c r="C78" i="16"/>
  <c r="M78" i="16" s="1"/>
  <c r="C54" i="16"/>
  <c r="M54" i="16" s="1"/>
  <c r="C38" i="17"/>
  <c r="D27" i="7"/>
  <c r="C22" i="11"/>
  <c r="C107" i="8"/>
  <c r="C82" i="15"/>
  <c r="D82" i="15" s="1"/>
  <c r="C110" i="12"/>
  <c r="C62" i="11"/>
  <c r="D67" i="18"/>
  <c r="L76" i="3"/>
  <c r="L24" i="3"/>
  <c r="L28" i="3"/>
  <c r="L116" i="3"/>
  <c r="C118" i="11"/>
  <c r="D118" i="11" s="1"/>
  <c r="C122" i="12"/>
  <c r="C98" i="12"/>
  <c r="C74" i="15"/>
  <c r="D74" i="15" s="1"/>
  <c r="C103" i="8"/>
  <c r="C79" i="9"/>
  <c r="D79" i="9" s="1"/>
  <c r="C55" i="9"/>
  <c r="D55" i="9" s="1"/>
  <c r="C38" i="10"/>
  <c r="C27" i="8"/>
  <c r="D23" i="18"/>
  <c r="C106" i="17"/>
  <c r="D106" i="17" s="1"/>
  <c r="C110" i="15"/>
  <c r="D110" i="15" s="1"/>
  <c r="C62" i="10"/>
  <c r="L84" i="3"/>
  <c r="C122" i="11"/>
  <c r="C98" i="10"/>
  <c r="C79" i="8"/>
  <c r="C55" i="8"/>
  <c r="C38" i="12"/>
  <c r="C22" i="16"/>
  <c r="M22" i="16" s="1"/>
  <c r="C106" i="11"/>
  <c r="D106" i="11" s="1"/>
  <c r="C122" i="10"/>
  <c r="D122" i="10" s="1"/>
  <c r="C98" i="14"/>
  <c r="D98" i="14" s="1"/>
  <c r="C78" i="11"/>
  <c r="D78" i="11" s="1"/>
  <c r="D55" i="7"/>
  <c r="D39" i="18"/>
  <c r="C106" i="10"/>
  <c r="C118" i="10"/>
  <c r="D118" i="10" s="1"/>
  <c r="C122" i="14"/>
  <c r="D122" i="14" s="1"/>
  <c r="C98" i="17"/>
  <c r="C74" i="17"/>
  <c r="D79" i="18"/>
  <c r="C54" i="11"/>
  <c r="M39" i="18"/>
  <c r="C26" i="12"/>
  <c r="C18" i="11"/>
  <c r="C106" i="14"/>
  <c r="C86" i="10"/>
  <c r="D86" i="10" s="1"/>
  <c r="D63" i="18"/>
  <c r="C118" i="14"/>
  <c r="C122" i="15"/>
  <c r="D122" i="15" s="1"/>
  <c r="C98" i="15"/>
  <c r="C74" i="14"/>
  <c r="C102" i="14"/>
  <c r="C78" i="14"/>
  <c r="D78" i="14" s="1"/>
  <c r="M55" i="18"/>
  <c r="C38" i="16"/>
  <c r="M38" i="16" s="1"/>
  <c r="C26" i="16"/>
  <c r="M26" i="16" s="1"/>
  <c r="C18" i="12"/>
  <c r="C106" i="15"/>
  <c r="C86" i="12"/>
  <c r="M63" i="18"/>
  <c r="L8" i="3"/>
  <c r="L68" i="3"/>
  <c r="C118" i="12"/>
  <c r="D123" i="18"/>
  <c r="D99" i="18"/>
  <c r="C126" i="11"/>
  <c r="C78" i="10"/>
  <c r="C54" i="14"/>
  <c r="D31" i="7"/>
  <c r="M27" i="18"/>
  <c r="M19" i="18"/>
  <c r="D107" i="18"/>
  <c r="C110" i="14"/>
  <c r="D110" i="14" s="1"/>
  <c r="C86" i="14"/>
  <c r="L80" i="3"/>
  <c r="M99" i="18"/>
  <c r="C78" i="17"/>
  <c r="D78" i="17" s="1"/>
  <c r="C54" i="10"/>
  <c r="D54" i="10" s="1"/>
  <c r="C98" i="16"/>
  <c r="M98" i="16" s="1"/>
  <c r="C78" i="12"/>
  <c r="C54" i="12"/>
  <c r="D23" i="7"/>
  <c r="D99" i="7"/>
  <c r="M79" i="18"/>
  <c r="C54" i="15"/>
  <c r="D54" i="15" s="1"/>
  <c r="C22" i="14"/>
  <c r="D75" i="7"/>
  <c r="C39" i="9"/>
  <c r="C30" i="16"/>
  <c r="M30" i="16" s="1"/>
  <c r="C23" i="9"/>
  <c r="C110" i="10"/>
  <c r="D110" i="10" s="1"/>
  <c r="C63" i="9"/>
  <c r="C66" i="12"/>
  <c r="M45" i="3"/>
  <c r="M108" i="3"/>
  <c r="M89" i="3"/>
  <c r="M41" i="3"/>
  <c r="M110" i="3"/>
  <c r="M86" i="3"/>
  <c r="M62" i="3"/>
  <c r="M38" i="3"/>
  <c r="M14" i="3"/>
  <c r="M99" i="3"/>
  <c r="M75" i="3"/>
  <c r="M51" i="3"/>
  <c r="M27" i="3"/>
  <c r="C94" i="11"/>
  <c r="C70" i="17"/>
  <c r="C122" i="16"/>
  <c r="M122" i="16" s="1"/>
  <c r="D75" i="18"/>
  <c r="D47" i="7"/>
  <c r="C38" i="11"/>
  <c r="D38" i="11" s="1"/>
  <c r="D35" i="7"/>
  <c r="C26" i="15"/>
  <c r="D26" i="15" s="1"/>
  <c r="C22" i="12"/>
  <c r="M107" i="18"/>
  <c r="C110" i="16"/>
  <c r="M110" i="16" s="1"/>
  <c r="C86" i="16"/>
  <c r="M86" i="16" s="1"/>
  <c r="C62" i="16"/>
  <c r="M62" i="16" s="1"/>
  <c r="M85" i="3"/>
  <c r="M37" i="3"/>
  <c r="M104" i="3"/>
  <c r="M80" i="3"/>
  <c r="M56" i="3"/>
  <c r="M32" i="3"/>
  <c r="M8" i="3"/>
  <c r="C95" i="9"/>
  <c r="C70" i="11"/>
  <c r="D70" i="11" s="1"/>
  <c r="D123" i="7"/>
  <c r="M75" i="18"/>
  <c r="C47" i="8"/>
  <c r="D39" i="7"/>
  <c r="C26" i="10"/>
  <c r="D26" i="10" s="1"/>
  <c r="C22" i="10"/>
  <c r="C106" i="16"/>
  <c r="M106" i="16" s="1"/>
  <c r="C111" i="8"/>
  <c r="C87" i="9"/>
  <c r="C63" i="8"/>
  <c r="C90" i="14"/>
  <c r="M12" i="3"/>
  <c r="M81" i="3"/>
  <c r="M33" i="3"/>
  <c r="M106" i="3"/>
  <c r="M82" i="3"/>
  <c r="M58" i="3"/>
  <c r="M34" i="3"/>
  <c r="M10" i="3"/>
  <c r="M119" i="3"/>
  <c r="M95" i="3"/>
  <c r="M71" i="3"/>
  <c r="O71" i="3" s="1"/>
  <c r="M47" i="3"/>
  <c r="M23" i="3"/>
  <c r="C94" i="14"/>
  <c r="C71" i="9"/>
  <c r="D71" i="9" s="1"/>
  <c r="C123" i="8"/>
  <c r="C74" i="16"/>
  <c r="M74" i="16" s="1"/>
  <c r="C46" i="17"/>
  <c r="D46" i="17" s="1"/>
  <c r="C39" i="8"/>
  <c r="C26" i="17"/>
  <c r="C22" i="15"/>
  <c r="D22" i="15" s="1"/>
  <c r="D107" i="7"/>
  <c r="D111" i="7"/>
  <c r="D87" i="7"/>
  <c r="D63" i="7"/>
  <c r="C90" i="17"/>
  <c r="D90" i="17" s="1"/>
  <c r="M77" i="3"/>
  <c r="M29" i="3"/>
  <c r="J7" i="3"/>
  <c r="M100" i="3"/>
  <c r="M76" i="3"/>
  <c r="M52" i="3"/>
  <c r="M28" i="3"/>
  <c r="C94" i="10"/>
  <c r="D94" i="10" s="1"/>
  <c r="C90" i="12"/>
  <c r="M93" i="3"/>
  <c r="M73" i="3"/>
  <c r="M25" i="3"/>
  <c r="M102" i="3"/>
  <c r="M78" i="3"/>
  <c r="M54" i="3"/>
  <c r="M30" i="3"/>
  <c r="M115" i="3"/>
  <c r="M91" i="3"/>
  <c r="M67" i="3"/>
  <c r="M43" i="3"/>
  <c r="M19" i="3"/>
  <c r="C94" i="12"/>
  <c r="C127" i="8"/>
  <c r="C90" i="15"/>
  <c r="D90" i="15" s="1"/>
  <c r="M69" i="3"/>
  <c r="M21" i="3"/>
  <c r="M120" i="3"/>
  <c r="M96" i="3"/>
  <c r="M72" i="3"/>
  <c r="M48" i="3"/>
  <c r="M24" i="3"/>
  <c r="C94" i="17"/>
  <c r="D94" i="17" s="1"/>
  <c r="M91" i="18"/>
  <c r="M36" i="3"/>
  <c r="M113" i="3"/>
  <c r="M65" i="3"/>
  <c r="M17" i="3"/>
  <c r="M98" i="3"/>
  <c r="M74" i="3"/>
  <c r="M50" i="3"/>
  <c r="M26" i="3"/>
  <c r="M111" i="3"/>
  <c r="M87" i="3"/>
  <c r="M63" i="3"/>
  <c r="M39" i="3"/>
  <c r="M15" i="3"/>
  <c r="D95" i="18"/>
  <c r="M109" i="3"/>
  <c r="M61" i="3"/>
  <c r="M13" i="3"/>
  <c r="M116" i="3"/>
  <c r="M92" i="3"/>
  <c r="M68" i="3"/>
  <c r="M44" i="3"/>
  <c r="M20" i="3"/>
  <c r="M95" i="18"/>
  <c r="M60" i="3"/>
  <c r="M105" i="3"/>
  <c r="M57" i="3"/>
  <c r="M9" i="3"/>
  <c r="M94" i="3"/>
  <c r="M70" i="3"/>
  <c r="M46" i="3"/>
  <c r="M22" i="3"/>
  <c r="M107" i="3"/>
  <c r="M83" i="3"/>
  <c r="M59" i="3"/>
  <c r="M35" i="3"/>
  <c r="M11" i="3"/>
  <c r="C94" i="15"/>
  <c r="D94" i="15" s="1"/>
  <c r="M84" i="3"/>
  <c r="M101" i="3"/>
  <c r="M53" i="3"/>
  <c r="M118" i="3"/>
  <c r="M112" i="3"/>
  <c r="M88" i="3"/>
  <c r="M64" i="3"/>
  <c r="M40" i="3"/>
  <c r="M16" i="3"/>
  <c r="E54" i="24"/>
  <c r="E121" i="24"/>
  <c r="E39" i="24"/>
  <c r="E65" i="24"/>
  <c r="K65" i="24" s="1"/>
  <c r="N65" i="24" s="1"/>
  <c r="E96" i="24"/>
  <c r="E55" i="24"/>
  <c r="E22" i="24"/>
  <c r="E58" i="24"/>
  <c r="E37" i="24"/>
  <c r="E19" i="24"/>
  <c r="E126" i="24"/>
  <c r="E91" i="24"/>
  <c r="D43" i="5"/>
  <c r="C126" i="14"/>
  <c r="C50" i="11"/>
  <c r="D50" i="11" s="1"/>
  <c r="C35" i="9"/>
  <c r="D35" i="9" s="1"/>
  <c r="C30" i="11"/>
  <c r="D30" i="11" s="1"/>
  <c r="C18" i="15"/>
  <c r="D18" i="15" s="1"/>
  <c r="M73" i="4"/>
  <c r="D83" i="18"/>
  <c r="C90" i="16"/>
  <c r="M90" i="16" s="1"/>
  <c r="M67" i="18"/>
  <c r="E66" i="24"/>
  <c r="E108" i="24"/>
  <c r="E52" i="24"/>
  <c r="I123" i="24"/>
  <c r="J123" i="24" s="1"/>
  <c r="I51" i="24"/>
  <c r="J51" i="24" s="1"/>
  <c r="E123" i="24"/>
  <c r="E61" i="24"/>
  <c r="E103" i="24"/>
  <c r="Q26" i="20"/>
  <c r="C126" i="10"/>
  <c r="D126" i="10" s="1"/>
  <c r="C50" i="15"/>
  <c r="D50" i="15" s="1"/>
  <c r="D35" i="18"/>
  <c r="C30" i="15"/>
  <c r="D30" i="15" s="1"/>
  <c r="C19" i="9"/>
  <c r="M93" i="4"/>
  <c r="M83" i="18"/>
  <c r="C91" i="8"/>
  <c r="C66" i="16"/>
  <c r="M66" i="16" s="1"/>
  <c r="H115" i="23"/>
  <c r="K115" i="23"/>
  <c r="E124" i="24"/>
  <c r="E77" i="24"/>
  <c r="E94" i="24"/>
  <c r="E107" i="24"/>
  <c r="E32" i="24"/>
  <c r="E63" i="24"/>
  <c r="E89" i="24"/>
  <c r="K89" i="24" s="1"/>
  <c r="N89" i="24" s="1"/>
  <c r="E49" i="24"/>
  <c r="I99" i="24"/>
  <c r="E43" i="24"/>
  <c r="E111" i="24"/>
  <c r="E120" i="24"/>
  <c r="E109" i="24"/>
  <c r="E127" i="24"/>
  <c r="D127" i="18"/>
  <c r="C50" i="10"/>
  <c r="D50" i="10" s="1"/>
  <c r="C34" i="10"/>
  <c r="C30" i="17"/>
  <c r="C18" i="10"/>
  <c r="D18" i="10" s="1"/>
  <c r="C82" i="16"/>
  <c r="M82" i="16" s="1"/>
  <c r="D91" i="7"/>
  <c r="D67" i="7"/>
  <c r="G112" i="23"/>
  <c r="P112" i="23"/>
  <c r="K112" i="23"/>
  <c r="I112" i="23"/>
  <c r="H112" i="23"/>
  <c r="E44" i="24"/>
  <c r="E50" i="24"/>
  <c r="E119" i="24"/>
  <c r="E115" i="24"/>
  <c r="E26" i="24"/>
  <c r="J99" i="24"/>
  <c r="E20" i="24"/>
  <c r="Q85" i="4"/>
  <c r="Q13" i="4"/>
  <c r="C50" i="14"/>
  <c r="C34" i="12"/>
  <c r="E90" i="24"/>
  <c r="E75" i="24"/>
  <c r="I75" i="24"/>
  <c r="J75" i="24" s="1"/>
  <c r="E105" i="24"/>
  <c r="G9" i="24"/>
  <c r="G10" i="24" s="1"/>
  <c r="E80" i="24"/>
  <c r="C126" i="15"/>
  <c r="D126" i="15" s="1"/>
  <c r="C50" i="12"/>
  <c r="C34" i="15"/>
  <c r="D34" i="15" s="1"/>
  <c r="C30" i="12"/>
  <c r="C18" i="14"/>
  <c r="D83" i="7"/>
  <c r="M31" i="4"/>
  <c r="C91" i="9"/>
  <c r="C67" i="8"/>
  <c r="E100" i="24"/>
  <c r="E101" i="24"/>
  <c r="E33" i="24"/>
  <c r="E83" i="24"/>
  <c r="E87" i="24"/>
  <c r="E21" i="24"/>
  <c r="E31" i="24"/>
  <c r="E114" i="24"/>
  <c r="E68" i="24"/>
  <c r="E99" i="24"/>
  <c r="E125" i="24"/>
  <c r="E74" i="24"/>
  <c r="E117" i="24"/>
  <c r="I102" i="24"/>
  <c r="J102" i="24" s="1"/>
  <c r="E95" i="24"/>
  <c r="I101" i="24"/>
  <c r="J101" i="24" s="1"/>
  <c r="E24" i="24"/>
  <c r="E69" i="24"/>
  <c r="E92" i="24"/>
  <c r="O9" i="4"/>
  <c r="F9" i="4"/>
  <c r="C126" i="16"/>
  <c r="M126" i="16" s="1"/>
  <c r="C50" i="17"/>
  <c r="D50" i="17" s="1"/>
  <c r="C34" i="14"/>
  <c r="C30" i="14"/>
  <c r="D30" i="14" s="1"/>
  <c r="C18" i="17"/>
  <c r="D18" i="17" s="1"/>
  <c r="C82" i="17"/>
  <c r="D82" i="17" s="1"/>
  <c r="C90" i="11"/>
  <c r="D90" i="11" s="1"/>
  <c r="C67" i="9"/>
  <c r="M89" i="1"/>
  <c r="H6" i="5"/>
  <c r="I83" i="24"/>
  <c r="J83" i="24" s="1"/>
  <c r="E70" i="24"/>
  <c r="E56" i="24"/>
  <c r="E62" i="24"/>
  <c r="E25" i="24"/>
  <c r="I69" i="24"/>
  <c r="J69" i="24" s="1"/>
  <c r="E86" i="24"/>
  <c r="I92" i="24"/>
  <c r="J92" i="24" s="1"/>
  <c r="E88" i="24"/>
  <c r="I104" i="24"/>
  <c r="J104" i="24" s="1"/>
  <c r="E48" i="24"/>
  <c r="E28" i="24"/>
  <c r="E34" i="24"/>
  <c r="D127" i="7"/>
  <c r="D51" i="18"/>
  <c r="C34" i="17"/>
  <c r="D34" i="17" s="1"/>
  <c r="D31" i="18"/>
  <c r="D19" i="18"/>
  <c r="C83" i="9"/>
  <c r="C90" i="10"/>
  <c r="D90" i="10" s="1"/>
  <c r="C66" i="15"/>
  <c r="D66" i="15" s="1"/>
  <c r="M56" i="1"/>
  <c r="J48" i="24"/>
  <c r="E93" i="24"/>
  <c r="I54" i="24"/>
  <c r="J54" i="24" s="1"/>
  <c r="E71" i="24"/>
  <c r="E47" i="24"/>
  <c r="E81" i="24"/>
  <c r="K81" i="24" s="1"/>
  <c r="N81" i="24" s="1"/>
  <c r="E76" i="24"/>
  <c r="E46" i="24"/>
  <c r="Q37" i="4"/>
  <c r="M16" i="1"/>
  <c r="M51" i="18"/>
  <c r="M35" i="18"/>
  <c r="N35" i="18" s="1"/>
  <c r="M105" i="1"/>
  <c r="M54" i="1"/>
  <c r="Q54" i="1" s="1"/>
  <c r="P124" i="23"/>
  <c r="K124" i="23"/>
  <c r="N123" i="23"/>
  <c r="H123" i="23"/>
  <c r="I89" i="24"/>
  <c r="J89" i="24" s="1"/>
  <c r="E64" i="24"/>
  <c r="I77" i="24"/>
  <c r="J77" i="24" s="1"/>
  <c r="E98" i="24"/>
  <c r="K98" i="24" s="1"/>
  <c r="N98" i="24" s="1"/>
  <c r="E82" i="24"/>
  <c r="C50" i="16"/>
  <c r="M50" i="16" s="1"/>
  <c r="C34" i="16"/>
  <c r="M34" i="16" s="1"/>
  <c r="M110" i="1"/>
  <c r="P129" i="1"/>
  <c r="Q117" i="23"/>
  <c r="O117" i="23"/>
  <c r="L117" i="23"/>
  <c r="H117" i="23"/>
  <c r="N117" i="23"/>
  <c r="Q120" i="23"/>
  <c r="O120" i="23"/>
  <c r="H120" i="23"/>
  <c r="E73" i="24"/>
  <c r="E17" i="24"/>
  <c r="E18" i="24"/>
  <c r="E29" i="24"/>
  <c r="E79" i="24"/>
  <c r="I45" i="24"/>
  <c r="J45" i="24" s="1"/>
  <c r="E59" i="24"/>
  <c r="Q114" i="4"/>
  <c r="Q78" i="4"/>
  <c r="M126" i="1"/>
  <c r="M122" i="1"/>
  <c r="D51" i="7"/>
  <c r="C34" i="11"/>
  <c r="D34" i="11" s="1"/>
  <c r="M114" i="23"/>
  <c r="H114" i="23"/>
  <c r="O114" i="23"/>
  <c r="Q111" i="23"/>
  <c r="N111" i="23"/>
  <c r="M111" i="23"/>
  <c r="L111" i="23"/>
  <c r="H111" i="23"/>
  <c r="O111" i="23"/>
  <c r="O116" i="23"/>
  <c r="Q116" i="23"/>
  <c r="G116" i="23"/>
  <c r="E36" i="24"/>
  <c r="E104" i="24"/>
  <c r="E110" i="24"/>
  <c r="E23" i="24"/>
  <c r="E85" i="24"/>
  <c r="E116" i="24"/>
  <c r="E60" i="24"/>
  <c r="E122" i="24"/>
  <c r="E38" i="24"/>
  <c r="I53" i="24"/>
  <c r="J53" i="24" s="1"/>
  <c r="E51" i="24"/>
  <c r="K51" i="24" s="1"/>
  <c r="N51" i="24" s="1"/>
  <c r="E118" i="24"/>
  <c r="E30" i="24"/>
  <c r="E97" i="24"/>
  <c r="E128" i="24"/>
  <c r="E41" i="24"/>
  <c r="E72" i="24"/>
  <c r="E35" i="24"/>
  <c r="E106" i="24"/>
  <c r="E57" i="24"/>
  <c r="I98" i="24"/>
  <c r="J98" i="24" s="1"/>
  <c r="E40" i="24"/>
  <c r="E78" i="24"/>
  <c r="I43" i="24"/>
  <c r="J43" i="24" s="1"/>
  <c r="M109" i="1"/>
  <c r="M114" i="4"/>
  <c r="M96" i="4"/>
  <c r="Q96" i="4" s="1"/>
  <c r="M84" i="18"/>
  <c r="D84" i="18"/>
  <c r="C83" i="17"/>
  <c r="D83" i="17" s="1"/>
  <c r="C83" i="16"/>
  <c r="M83" i="16" s="1"/>
  <c r="C83" i="15"/>
  <c r="D83" i="15" s="1"/>
  <c r="C83" i="14"/>
  <c r="D83" i="14" s="1"/>
  <c r="C83" i="12"/>
  <c r="C83" i="11"/>
  <c r="D83" i="11" s="1"/>
  <c r="C83" i="10"/>
  <c r="D83" i="10" s="1"/>
  <c r="C84" i="8"/>
  <c r="D84" i="7"/>
  <c r="C84" i="9"/>
  <c r="D84" i="9" s="1"/>
  <c r="M102" i="18"/>
  <c r="D102" i="18"/>
  <c r="C101" i="17"/>
  <c r="D101" i="17" s="1"/>
  <c r="C101" i="16"/>
  <c r="M101" i="16" s="1"/>
  <c r="C101" i="15"/>
  <c r="D101" i="15" s="1"/>
  <c r="C101" i="14"/>
  <c r="C101" i="10"/>
  <c r="C101" i="11"/>
  <c r="C102" i="9"/>
  <c r="D102" i="9" s="1"/>
  <c r="C101" i="12"/>
  <c r="D102" i="7"/>
  <c r="C102" i="8"/>
  <c r="K93" i="3"/>
  <c r="K89" i="3"/>
  <c r="K61" i="3"/>
  <c r="K57" i="3"/>
  <c r="K53" i="3"/>
  <c r="K49" i="3"/>
  <c r="K45" i="3"/>
  <c r="K41" i="3"/>
  <c r="K37" i="3"/>
  <c r="K33" i="3"/>
  <c r="K29" i="3"/>
  <c r="K25" i="3"/>
  <c r="K21" i="3"/>
  <c r="K17" i="3"/>
  <c r="K13" i="3"/>
  <c r="K9" i="3"/>
  <c r="K44" i="3"/>
  <c r="K40" i="3"/>
  <c r="K36" i="3"/>
  <c r="K32" i="3"/>
  <c r="K28" i="3"/>
  <c r="K24" i="3"/>
  <c r="K20" i="3"/>
  <c r="K16" i="3"/>
  <c r="K12" i="3"/>
  <c r="K8" i="3"/>
  <c r="K120" i="3"/>
  <c r="K96" i="3"/>
  <c r="K72" i="3"/>
  <c r="K48" i="3"/>
  <c r="K100" i="3"/>
  <c r="K76" i="3"/>
  <c r="K52" i="3"/>
  <c r="K104" i="3"/>
  <c r="K80" i="3"/>
  <c r="K56" i="3"/>
  <c r="K108" i="3"/>
  <c r="K84" i="3"/>
  <c r="K60" i="3"/>
  <c r="K112" i="3"/>
  <c r="K88" i="3"/>
  <c r="K64" i="3"/>
  <c r="K116" i="3"/>
  <c r="K92" i="3"/>
  <c r="K68" i="3"/>
  <c r="K18" i="3"/>
  <c r="K50" i="3"/>
  <c r="I35" i="24"/>
  <c r="J35" i="24" s="1"/>
  <c r="K35" i="24" s="1"/>
  <c r="N35" i="24" s="1"/>
  <c r="I95" i="24"/>
  <c r="J95" i="24" s="1"/>
  <c r="I81" i="24"/>
  <c r="J81" i="24" s="1"/>
  <c r="I47" i="24"/>
  <c r="J47" i="24" s="1"/>
  <c r="I90" i="24"/>
  <c r="J90" i="24" s="1"/>
  <c r="I86" i="24"/>
  <c r="J86" i="24" s="1"/>
  <c r="O129" i="23"/>
  <c r="O15" i="23"/>
  <c r="M109" i="18"/>
  <c r="N109" i="18" s="1"/>
  <c r="D109" i="18"/>
  <c r="C108" i="17"/>
  <c r="D108" i="17" s="1"/>
  <c r="C108" i="16"/>
  <c r="M108" i="16" s="1"/>
  <c r="C108" i="14"/>
  <c r="C108" i="15"/>
  <c r="D108" i="15" s="1"/>
  <c r="C108" i="12"/>
  <c r="C108" i="10"/>
  <c r="D108" i="10" s="1"/>
  <c r="C108" i="11"/>
  <c r="D109" i="7"/>
  <c r="C109" i="8"/>
  <c r="C109" i="9"/>
  <c r="M85" i="18"/>
  <c r="N85" i="18" s="1"/>
  <c r="D85" i="18"/>
  <c r="C84" i="17"/>
  <c r="D84" i="17" s="1"/>
  <c r="C84" i="16"/>
  <c r="M84" i="16" s="1"/>
  <c r="C84" i="14"/>
  <c r="C84" i="10"/>
  <c r="C84" i="12"/>
  <c r="C84" i="11"/>
  <c r="D84" i="11" s="1"/>
  <c r="C85" i="9"/>
  <c r="C84" i="15"/>
  <c r="D84" i="15" s="1"/>
  <c r="C85" i="8"/>
  <c r="D85" i="7"/>
  <c r="M61" i="18"/>
  <c r="N61" i="18" s="1"/>
  <c r="D61" i="18"/>
  <c r="C60" i="17"/>
  <c r="D60" i="17" s="1"/>
  <c r="C60" i="16"/>
  <c r="M60" i="16" s="1"/>
  <c r="C60" i="14"/>
  <c r="C60" i="11"/>
  <c r="C60" i="15"/>
  <c r="D60" i="15" s="1"/>
  <c r="C60" i="10"/>
  <c r="D60" i="10" s="1"/>
  <c r="C61" i="9"/>
  <c r="D61" i="9" s="1"/>
  <c r="C60" i="12"/>
  <c r="C61" i="8"/>
  <c r="D61" i="7"/>
  <c r="M37" i="18"/>
  <c r="N37" i="18" s="1"/>
  <c r="D37" i="18"/>
  <c r="C36" i="17"/>
  <c r="D36" i="17" s="1"/>
  <c r="C36" i="16"/>
  <c r="M36" i="16" s="1"/>
  <c r="C36" i="11"/>
  <c r="D36" i="11" s="1"/>
  <c r="C36" i="14"/>
  <c r="C36" i="15"/>
  <c r="D36" i="15" s="1"/>
  <c r="C36" i="12"/>
  <c r="C36" i="10"/>
  <c r="D36" i="10" s="1"/>
  <c r="C37" i="9"/>
  <c r="C37" i="8"/>
  <c r="D37" i="7"/>
  <c r="K101" i="3"/>
  <c r="O129" i="1"/>
  <c r="O15" i="1"/>
  <c r="Q56" i="1"/>
  <c r="F129" i="1"/>
  <c r="F15" i="1"/>
  <c r="K71" i="3"/>
  <c r="K94" i="3"/>
  <c r="K14" i="3"/>
  <c r="M121" i="1"/>
  <c r="M84" i="4"/>
  <c r="M18" i="4"/>
  <c r="Q18" i="4" s="1"/>
  <c r="M117" i="4"/>
  <c r="Q117" i="4" s="1"/>
  <c r="M79" i="4"/>
  <c r="Q79" i="4" s="1"/>
  <c r="N7" i="3"/>
  <c r="M52" i="1"/>
  <c r="M30" i="1"/>
  <c r="Q30" i="1" s="1"/>
  <c r="M34" i="1"/>
  <c r="K11" i="3"/>
  <c r="M60" i="18"/>
  <c r="D60" i="18"/>
  <c r="C59" i="17"/>
  <c r="D59" i="17" s="1"/>
  <c r="C59" i="16"/>
  <c r="M59" i="16" s="1"/>
  <c r="C59" i="15"/>
  <c r="D59" i="15" s="1"/>
  <c r="C59" i="14"/>
  <c r="D59" i="14" s="1"/>
  <c r="C59" i="10"/>
  <c r="D59" i="10" s="1"/>
  <c r="C60" i="9"/>
  <c r="C60" i="8"/>
  <c r="C59" i="11"/>
  <c r="D60" i="7"/>
  <c r="C59" i="12"/>
  <c r="D114" i="15"/>
  <c r="D102" i="15"/>
  <c r="D78" i="15"/>
  <c r="D98" i="15"/>
  <c r="D86" i="15"/>
  <c r="D62" i="15"/>
  <c r="D38" i="15"/>
  <c r="D127" i="15"/>
  <c r="D118" i="15"/>
  <c r="D106" i="15"/>
  <c r="D70" i="15"/>
  <c r="D58" i="15"/>
  <c r="D46" i="15"/>
  <c r="M126" i="18"/>
  <c r="D126" i="18"/>
  <c r="C125" i="17"/>
  <c r="D125" i="17" s="1"/>
  <c r="C125" i="16"/>
  <c r="M125" i="16" s="1"/>
  <c r="C125" i="15"/>
  <c r="D125" i="15" s="1"/>
  <c r="C125" i="14"/>
  <c r="D125" i="14" s="1"/>
  <c r="C125" i="12"/>
  <c r="C125" i="10"/>
  <c r="D125" i="10" s="1"/>
  <c r="C125" i="11"/>
  <c r="D125" i="11" s="1"/>
  <c r="D126" i="7"/>
  <c r="C126" i="8"/>
  <c r="C126" i="9"/>
  <c r="D126" i="9" s="1"/>
  <c r="M78" i="18"/>
  <c r="D78" i="18"/>
  <c r="C77" i="17"/>
  <c r="D77" i="17" s="1"/>
  <c r="C77" i="16"/>
  <c r="M77" i="16" s="1"/>
  <c r="C77" i="15"/>
  <c r="D77" i="15" s="1"/>
  <c r="C77" i="14"/>
  <c r="D77" i="14" s="1"/>
  <c r="C77" i="12"/>
  <c r="C77" i="11"/>
  <c r="D77" i="11" s="1"/>
  <c r="C78" i="9"/>
  <c r="C77" i="10"/>
  <c r="D77" i="10" s="1"/>
  <c r="C78" i="8"/>
  <c r="D78" i="7"/>
  <c r="K85" i="3"/>
  <c r="K23" i="3"/>
  <c r="I107" i="24"/>
  <c r="J107" i="24" s="1"/>
  <c r="I33" i="24"/>
  <c r="J33" i="24" s="1"/>
  <c r="I30" i="24"/>
  <c r="J30" i="24" s="1"/>
  <c r="I113" i="24"/>
  <c r="J113" i="24" s="1"/>
  <c r="K113" i="24" s="1"/>
  <c r="N113" i="24" s="1"/>
  <c r="I125" i="24"/>
  <c r="J125" i="24" s="1"/>
  <c r="K125" i="24" s="1"/>
  <c r="N125" i="24" s="1"/>
  <c r="I23" i="24"/>
  <c r="J23" i="24" s="1"/>
  <c r="I80" i="24"/>
  <c r="J80" i="24" s="1"/>
  <c r="I74" i="24"/>
  <c r="J74" i="24" s="1"/>
  <c r="Q129" i="23"/>
  <c r="Q15" i="23"/>
  <c r="M104" i="18"/>
  <c r="D104" i="18"/>
  <c r="C103" i="17"/>
  <c r="D103" i="17" s="1"/>
  <c r="C103" i="16"/>
  <c r="M103" i="16" s="1"/>
  <c r="C103" i="14"/>
  <c r="D103" i="14" s="1"/>
  <c r="C103" i="15"/>
  <c r="D103" i="15" s="1"/>
  <c r="C103" i="10"/>
  <c r="D103" i="10" s="1"/>
  <c r="C103" i="11"/>
  <c r="D103" i="11" s="1"/>
  <c r="C103" i="12"/>
  <c r="C104" i="8"/>
  <c r="C104" i="9"/>
  <c r="D104" i="9" s="1"/>
  <c r="D104" i="7"/>
  <c r="M80" i="18"/>
  <c r="D80" i="18"/>
  <c r="C79" i="17"/>
  <c r="D79" i="17" s="1"/>
  <c r="C79" i="16"/>
  <c r="M79" i="16" s="1"/>
  <c r="C79" i="14"/>
  <c r="D79" i="14" s="1"/>
  <c r="C79" i="15"/>
  <c r="D79" i="15" s="1"/>
  <c r="C79" i="12"/>
  <c r="C79" i="10"/>
  <c r="D79" i="10" s="1"/>
  <c r="C79" i="11"/>
  <c r="D79" i="11" s="1"/>
  <c r="C80" i="8"/>
  <c r="D80" i="7"/>
  <c r="C80" i="9"/>
  <c r="D80" i="9" s="1"/>
  <c r="M56" i="18"/>
  <c r="D56" i="18"/>
  <c r="C55" i="17"/>
  <c r="D55" i="17" s="1"/>
  <c r="C55" i="15"/>
  <c r="D55" i="15" s="1"/>
  <c r="C55" i="16"/>
  <c r="M55" i="16" s="1"/>
  <c r="C55" i="14"/>
  <c r="C55" i="11"/>
  <c r="D55" i="11" s="1"/>
  <c r="C56" i="8"/>
  <c r="D56" i="7"/>
  <c r="C55" i="12"/>
  <c r="C55" i="10"/>
  <c r="D55" i="10" s="1"/>
  <c r="C56" i="9"/>
  <c r="M32" i="18"/>
  <c r="D32" i="18"/>
  <c r="C31" i="17"/>
  <c r="D31" i="17" s="1"/>
  <c r="C31" i="15"/>
  <c r="D31" i="15" s="1"/>
  <c r="C31" i="14"/>
  <c r="D31" i="14" s="1"/>
  <c r="C31" i="16"/>
  <c r="M31" i="16" s="1"/>
  <c r="C31" i="12"/>
  <c r="C32" i="9"/>
  <c r="D32" i="9" s="1"/>
  <c r="C31" i="11"/>
  <c r="D31" i="11" s="1"/>
  <c r="C32" i="8"/>
  <c r="C31" i="10"/>
  <c r="D31" i="10" s="1"/>
  <c r="D32" i="7"/>
  <c r="Q30" i="4"/>
  <c r="Q115" i="4"/>
  <c r="M122" i="18"/>
  <c r="N122" i="18" s="1"/>
  <c r="D122" i="18"/>
  <c r="C121" i="17"/>
  <c r="D121" i="17" s="1"/>
  <c r="C121" i="16"/>
  <c r="M121" i="16" s="1"/>
  <c r="C121" i="15"/>
  <c r="D121" i="15" s="1"/>
  <c r="C121" i="14"/>
  <c r="C121" i="11"/>
  <c r="D121" i="11" s="1"/>
  <c r="C121" i="10"/>
  <c r="C121" i="12"/>
  <c r="C122" i="8"/>
  <c r="C122" i="9"/>
  <c r="D122" i="7"/>
  <c r="M98" i="18"/>
  <c r="N98" i="18" s="1"/>
  <c r="D98" i="18"/>
  <c r="C97" i="17"/>
  <c r="D97" i="17" s="1"/>
  <c r="C97" i="16"/>
  <c r="M97" i="16" s="1"/>
  <c r="C97" i="15"/>
  <c r="D97" i="15" s="1"/>
  <c r="C97" i="14"/>
  <c r="D97" i="14" s="1"/>
  <c r="C97" i="11"/>
  <c r="D97" i="11" s="1"/>
  <c r="C97" i="12"/>
  <c r="C98" i="9"/>
  <c r="D98" i="9" s="1"/>
  <c r="C98" i="8"/>
  <c r="C97" i="10"/>
  <c r="D97" i="10" s="1"/>
  <c r="D98" i="7"/>
  <c r="M74" i="18"/>
  <c r="N74" i="18" s="1"/>
  <c r="D74" i="18"/>
  <c r="C73" i="17"/>
  <c r="D73" i="17" s="1"/>
  <c r="C73" i="16"/>
  <c r="M73" i="16" s="1"/>
  <c r="C73" i="15"/>
  <c r="D73" i="15" s="1"/>
  <c r="C73" i="14"/>
  <c r="D73" i="14" s="1"/>
  <c r="C73" i="11"/>
  <c r="D73" i="11" s="1"/>
  <c r="C73" i="10"/>
  <c r="D73" i="10" s="1"/>
  <c r="C74" i="9"/>
  <c r="D74" i="9" s="1"/>
  <c r="C73" i="12"/>
  <c r="D74" i="7"/>
  <c r="C74" i="8"/>
  <c r="M50" i="18"/>
  <c r="N50" i="18" s="1"/>
  <c r="C49" i="17"/>
  <c r="D49" i="17" s="1"/>
  <c r="C49" i="16"/>
  <c r="M49" i="16" s="1"/>
  <c r="C49" i="14"/>
  <c r="D50" i="18"/>
  <c r="C49" i="15"/>
  <c r="D49" i="15" s="1"/>
  <c r="C49" i="10"/>
  <c r="D49" i="10" s="1"/>
  <c r="C49" i="12"/>
  <c r="C50" i="9"/>
  <c r="D50" i="9" s="1"/>
  <c r="C49" i="11"/>
  <c r="D49" i="11" s="1"/>
  <c r="C50" i="8"/>
  <c r="D50" i="7"/>
  <c r="M26" i="18"/>
  <c r="N26" i="18" s="1"/>
  <c r="C25" i="17"/>
  <c r="D25" i="17" s="1"/>
  <c r="D26" i="18"/>
  <c r="C25" i="14"/>
  <c r="C25" i="16"/>
  <c r="M25" i="16" s="1"/>
  <c r="C25" i="15"/>
  <c r="D25" i="15" s="1"/>
  <c r="C25" i="12"/>
  <c r="C25" i="10"/>
  <c r="D25" i="10" s="1"/>
  <c r="C26" i="9"/>
  <c r="D26" i="9" s="1"/>
  <c r="C25" i="11"/>
  <c r="D25" i="11" s="1"/>
  <c r="D26" i="7"/>
  <c r="C26" i="8"/>
  <c r="N9" i="4"/>
  <c r="K87" i="3"/>
  <c r="M51" i="4"/>
  <c r="Q51" i="4" s="1"/>
  <c r="Q110" i="1"/>
  <c r="K47" i="3"/>
  <c r="K10" i="3"/>
  <c r="M114" i="1"/>
  <c r="Q114" i="1" s="1"/>
  <c r="K117" i="3"/>
  <c r="K54" i="3"/>
  <c r="M84" i="1"/>
  <c r="M62" i="1"/>
  <c r="M88" i="1"/>
  <c r="M26" i="1"/>
  <c r="Q26" i="1" s="1"/>
  <c r="M91" i="1"/>
  <c r="M76" i="1"/>
  <c r="Q76" i="1" s="1"/>
  <c r="M108" i="18"/>
  <c r="D108" i="18"/>
  <c r="C107" i="17"/>
  <c r="D107" i="17" s="1"/>
  <c r="C107" i="16"/>
  <c r="M107" i="16" s="1"/>
  <c r="C107" i="14"/>
  <c r="C107" i="15"/>
  <c r="D107" i="15" s="1"/>
  <c r="C107" i="12"/>
  <c r="C107" i="10"/>
  <c r="D107" i="10" s="1"/>
  <c r="C108" i="9"/>
  <c r="D108" i="9" s="1"/>
  <c r="C108" i="8"/>
  <c r="D108" i="7"/>
  <c r="C107" i="11"/>
  <c r="D107" i="11" s="1"/>
  <c r="O6" i="18"/>
  <c r="I126" i="24"/>
  <c r="J126" i="24" s="1"/>
  <c r="I114" i="24"/>
  <c r="J114" i="24" s="1"/>
  <c r="I124" i="24"/>
  <c r="J124" i="24" s="1"/>
  <c r="I112" i="24"/>
  <c r="J112" i="24" s="1"/>
  <c r="I100" i="24"/>
  <c r="J100" i="24" s="1"/>
  <c r="I88" i="24"/>
  <c r="J88" i="24" s="1"/>
  <c r="I76" i="24"/>
  <c r="J76" i="24" s="1"/>
  <c r="I64" i="24"/>
  <c r="J64" i="24" s="1"/>
  <c r="I52" i="24"/>
  <c r="J52" i="24" s="1"/>
  <c r="I127" i="24"/>
  <c r="J127" i="24" s="1"/>
  <c r="I103" i="24"/>
  <c r="J103" i="24" s="1"/>
  <c r="I79" i="24"/>
  <c r="J79" i="24" s="1"/>
  <c r="I55" i="24"/>
  <c r="J55" i="24" s="1"/>
  <c r="I49" i="24"/>
  <c r="J49" i="24" s="1"/>
  <c r="I41" i="24"/>
  <c r="J41" i="24" s="1"/>
  <c r="I25" i="24"/>
  <c r="J25" i="24" s="1"/>
  <c r="I17" i="24"/>
  <c r="J17" i="24" s="1"/>
  <c r="I120" i="24"/>
  <c r="J120" i="24" s="1"/>
  <c r="I96" i="24"/>
  <c r="J96" i="24" s="1"/>
  <c r="I72" i="24"/>
  <c r="J72" i="24" s="1"/>
  <c r="I38" i="24"/>
  <c r="J38" i="24" s="1"/>
  <c r="I46" i="24"/>
  <c r="J46" i="24" s="1"/>
  <c r="K46" i="24" s="1"/>
  <c r="N46" i="24" s="1"/>
  <c r="I22" i="24"/>
  <c r="J22" i="24" s="1"/>
  <c r="K22" i="24" s="1"/>
  <c r="N22" i="24" s="1"/>
  <c r="I109" i="24"/>
  <c r="J109" i="24" s="1"/>
  <c r="I106" i="24"/>
  <c r="J106" i="24" s="1"/>
  <c r="I85" i="24"/>
  <c r="J85" i="24" s="1"/>
  <c r="I82" i="24"/>
  <c r="J82" i="24" s="1"/>
  <c r="I61" i="24"/>
  <c r="J61" i="24" s="1"/>
  <c r="I58" i="24"/>
  <c r="J58" i="24" s="1"/>
  <c r="K58" i="24" s="1"/>
  <c r="N58" i="24" s="1"/>
  <c r="I40" i="24"/>
  <c r="J40" i="24" s="1"/>
  <c r="I16" i="24"/>
  <c r="I115" i="24"/>
  <c r="J115" i="24" s="1"/>
  <c r="I91" i="24"/>
  <c r="J91" i="24" s="1"/>
  <c r="I67" i="24"/>
  <c r="J67" i="24" s="1"/>
  <c r="I37" i="24"/>
  <c r="J37" i="24" s="1"/>
  <c r="K37" i="24" s="1"/>
  <c r="N37" i="24" s="1"/>
  <c r="I29" i="24"/>
  <c r="J29" i="24" s="1"/>
  <c r="I108" i="24"/>
  <c r="J108" i="24" s="1"/>
  <c r="I84" i="24"/>
  <c r="J84" i="24" s="1"/>
  <c r="K84" i="24" s="1"/>
  <c r="N84" i="24" s="1"/>
  <c r="I60" i="24"/>
  <c r="J60" i="24" s="1"/>
  <c r="I50" i="24"/>
  <c r="J50" i="24" s="1"/>
  <c r="K50" i="24" s="1"/>
  <c r="N50" i="24" s="1"/>
  <c r="I34" i="24"/>
  <c r="J34" i="24" s="1"/>
  <c r="I31" i="24"/>
  <c r="J31" i="24" s="1"/>
  <c r="K31" i="24" s="1"/>
  <c r="N31" i="24" s="1"/>
  <c r="I121" i="24"/>
  <c r="J121" i="24" s="1"/>
  <c r="K121" i="24" s="1"/>
  <c r="N121" i="24" s="1"/>
  <c r="I118" i="24"/>
  <c r="J118" i="24" s="1"/>
  <c r="I97" i="24"/>
  <c r="J97" i="24" s="1"/>
  <c r="K97" i="24" s="1"/>
  <c r="N97" i="24" s="1"/>
  <c r="I94" i="24"/>
  <c r="J94" i="24" s="1"/>
  <c r="I73" i="24"/>
  <c r="J73" i="24" s="1"/>
  <c r="I70" i="24"/>
  <c r="J70" i="24" s="1"/>
  <c r="K70" i="24" s="1"/>
  <c r="N70" i="24" s="1"/>
  <c r="I28" i="24"/>
  <c r="J28" i="24" s="1"/>
  <c r="I116" i="24"/>
  <c r="J116" i="24" s="1"/>
  <c r="I71" i="24"/>
  <c r="J71" i="24" s="1"/>
  <c r="I42" i="24"/>
  <c r="J42" i="24" s="1"/>
  <c r="I66" i="24"/>
  <c r="J66" i="24" s="1"/>
  <c r="I62" i="24"/>
  <c r="J62" i="24" s="1"/>
  <c r="I36" i="24"/>
  <c r="J36" i="24" s="1"/>
  <c r="F129" i="23"/>
  <c r="F15" i="23"/>
  <c r="R16" i="23"/>
  <c r="D126" i="11"/>
  <c r="D114" i="11"/>
  <c r="D108" i="11"/>
  <c r="D102" i="11"/>
  <c r="D66" i="11"/>
  <c r="D60" i="11"/>
  <c r="D54" i="11"/>
  <c r="D42" i="11"/>
  <c r="D18" i="11"/>
  <c r="D122" i="11"/>
  <c r="D86" i="11"/>
  <c r="D101" i="11"/>
  <c r="D46" i="11"/>
  <c r="D98" i="11"/>
  <c r="D62" i="11"/>
  <c r="D59" i="11"/>
  <c r="D94" i="11"/>
  <c r="D58" i="11"/>
  <c r="D22" i="11"/>
  <c r="D110" i="11"/>
  <c r="D74" i="11"/>
  <c r="D127" i="11"/>
  <c r="X9" i="4"/>
  <c r="M105" i="18"/>
  <c r="D105" i="18"/>
  <c r="C104" i="17"/>
  <c r="C104" i="16"/>
  <c r="M104" i="16" s="1"/>
  <c r="C104" i="15"/>
  <c r="D104" i="15" s="1"/>
  <c r="C104" i="14"/>
  <c r="D104" i="14" s="1"/>
  <c r="C104" i="12"/>
  <c r="C104" i="10"/>
  <c r="D104" i="10" s="1"/>
  <c r="C105" i="9"/>
  <c r="D105" i="9" s="1"/>
  <c r="D105" i="7"/>
  <c r="C105" i="8"/>
  <c r="C104" i="11"/>
  <c r="D104" i="11" s="1"/>
  <c r="M81" i="18"/>
  <c r="D81" i="18"/>
  <c r="C80" i="17"/>
  <c r="D80" i="17" s="1"/>
  <c r="C80" i="16"/>
  <c r="M80" i="16" s="1"/>
  <c r="C80" i="14"/>
  <c r="D80" i="14" s="1"/>
  <c r="C80" i="15"/>
  <c r="D80" i="15" s="1"/>
  <c r="C80" i="12"/>
  <c r="C80" i="10"/>
  <c r="D80" i="10" s="1"/>
  <c r="C80" i="11"/>
  <c r="D80" i="11" s="1"/>
  <c r="C81" i="9"/>
  <c r="D81" i="9" s="1"/>
  <c r="C81" i="8"/>
  <c r="D81" i="7"/>
  <c r="M57" i="18"/>
  <c r="D57" i="18"/>
  <c r="C56" i="17"/>
  <c r="D56" i="17" s="1"/>
  <c r="C56" i="16"/>
  <c r="M56" i="16" s="1"/>
  <c r="C56" i="14"/>
  <c r="D56" i="14" s="1"/>
  <c r="C56" i="15"/>
  <c r="D56" i="15" s="1"/>
  <c r="C56" i="11"/>
  <c r="D56" i="11" s="1"/>
  <c r="C56" i="12"/>
  <c r="C56" i="10"/>
  <c r="D56" i="10" s="1"/>
  <c r="C57" i="9"/>
  <c r="D57" i="9" s="1"/>
  <c r="C57" i="8"/>
  <c r="D57" i="7"/>
  <c r="M33" i="18"/>
  <c r="D33" i="18"/>
  <c r="C32" i="17"/>
  <c r="D32" i="17" s="1"/>
  <c r="C32" i="16"/>
  <c r="M32" i="16" s="1"/>
  <c r="C32" i="12"/>
  <c r="C32" i="11"/>
  <c r="D32" i="11" s="1"/>
  <c r="C32" i="10"/>
  <c r="D32" i="10" s="1"/>
  <c r="C32" i="14"/>
  <c r="D32" i="14" s="1"/>
  <c r="C32" i="15"/>
  <c r="D32" i="15" s="1"/>
  <c r="C33" i="9"/>
  <c r="D33" i="9" s="1"/>
  <c r="D33" i="7"/>
  <c r="C33" i="8"/>
  <c r="Q86" i="4"/>
  <c r="D114" i="10"/>
  <c r="D102" i="10"/>
  <c r="D84" i="10"/>
  <c r="D78" i="10"/>
  <c r="D66" i="10"/>
  <c r="D42" i="10"/>
  <c r="D30" i="10"/>
  <c r="D58" i="10"/>
  <c r="D22" i="10"/>
  <c r="D74" i="10"/>
  <c r="D38" i="10"/>
  <c r="D127" i="10"/>
  <c r="D106" i="10"/>
  <c r="D70" i="10"/>
  <c r="D34" i="10"/>
  <c r="D121" i="10"/>
  <c r="D101" i="10"/>
  <c r="D82" i="10"/>
  <c r="D46" i="10"/>
  <c r="D98" i="10"/>
  <c r="D62" i="10"/>
  <c r="K77" i="3"/>
  <c r="K110" i="3"/>
  <c r="M119" i="4"/>
  <c r="Q119" i="4" s="1"/>
  <c r="M113" i="4"/>
  <c r="M107" i="4"/>
  <c r="M101" i="4"/>
  <c r="Q101" i="4" s="1"/>
  <c r="M95" i="4"/>
  <c r="Q95" i="4" s="1"/>
  <c r="M89" i="4"/>
  <c r="Q89" i="4" s="1"/>
  <c r="M83" i="4"/>
  <c r="M77" i="4"/>
  <c r="Q77" i="4" s="1"/>
  <c r="M71" i="4"/>
  <c r="Q71" i="4" s="1"/>
  <c r="M65" i="4"/>
  <c r="Q65" i="4" s="1"/>
  <c r="M59" i="4"/>
  <c r="M53" i="4"/>
  <c r="Q53" i="4" s="1"/>
  <c r="M47" i="4"/>
  <c r="M41" i="4"/>
  <c r="M35" i="4"/>
  <c r="Q35" i="4" s="1"/>
  <c r="M29" i="4"/>
  <c r="Q29" i="4" s="1"/>
  <c r="M23" i="4"/>
  <c r="Q23" i="4" s="1"/>
  <c r="M17" i="4"/>
  <c r="Q17" i="4" s="1"/>
  <c r="M11" i="4"/>
  <c r="Q11" i="4" s="1"/>
  <c r="M122" i="4"/>
  <c r="Q122" i="4" s="1"/>
  <c r="M116" i="4"/>
  <c r="M110" i="4"/>
  <c r="Q110" i="4" s="1"/>
  <c r="M104" i="4"/>
  <c r="M98" i="4"/>
  <c r="M92" i="4"/>
  <c r="Q92" i="4" s="1"/>
  <c r="M86" i="4"/>
  <c r="M80" i="4"/>
  <c r="Q80" i="4" s="1"/>
  <c r="M74" i="4"/>
  <c r="M68" i="4"/>
  <c r="M62" i="4"/>
  <c r="Q62" i="4" s="1"/>
  <c r="M56" i="4"/>
  <c r="Q56" i="4" s="1"/>
  <c r="M50" i="4"/>
  <c r="Q50" i="4" s="1"/>
  <c r="M44" i="4"/>
  <c r="M38" i="4"/>
  <c r="Q38" i="4" s="1"/>
  <c r="M32" i="4"/>
  <c r="Q32" i="4" s="1"/>
  <c r="M26" i="4"/>
  <c r="Q26" i="4" s="1"/>
  <c r="M20" i="4"/>
  <c r="Q20" i="4" s="1"/>
  <c r="M118" i="4"/>
  <c r="Q118" i="4" s="1"/>
  <c r="M112" i="4"/>
  <c r="Q112" i="4" s="1"/>
  <c r="M106" i="4"/>
  <c r="Q106" i="4" s="1"/>
  <c r="M100" i="4"/>
  <c r="Q100" i="4" s="1"/>
  <c r="M94" i="4"/>
  <c r="Q94" i="4" s="1"/>
  <c r="M88" i="4"/>
  <c r="Q88" i="4" s="1"/>
  <c r="M82" i="4"/>
  <c r="Q82" i="4" s="1"/>
  <c r="M40" i="4"/>
  <c r="Q40" i="4" s="1"/>
  <c r="M70" i="4"/>
  <c r="Q70" i="4" s="1"/>
  <c r="M10" i="4"/>
  <c r="M58" i="4"/>
  <c r="Q58" i="4" s="1"/>
  <c r="M16" i="4"/>
  <c r="Q16" i="4" s="1"/>
  <c r="M46" i="4"/>
  <c r="Q46" i="4" s="1"/>
  <c r="M22" i="4"/>
  <c r="Q22" i="4" s="1"/>
  <c r="M76" i="4"/>
  <c r="Q76" i="4" s="1"/>
  <c r="M28" i="4"/>
  <c r="Q28" i="4" s="1"/>
  <c r="M64" i="4"/>
  <c r="Q64" i="4" s="1"/>
  <c r="M34" i="4"/>
  <c r="Q34" i="4" s="1"/>
  <c r="M52" i="4"/>
  <c r="Q52" i="4" s="1"/>
  <c r="Q52" i="1"/>
  <c r="M102" i="4"/>
  <c r="Q102" i="4" s="1"/>
  <c r="K70" i="3"/>
  <c r="M61" i="4"/>
  <c r="P9" i="4"/>
  <c r="M42" i="4"/>
  <c r="K103" i="3"/>
  <c r="M75" i="4"/>
  <c r="M45" i="4"/>
  <c r="Q45" i="4" s="1"/>
  <c r="M70" i="1"/>
  <c r="Q70" i="1" s="1"/>
  <c r="M72" i="1"/>
  <c r="Q72" i="1" s="1"/>
  <c r="M36" i="18"/>
  <c r="D36" i="18"/>
  <c r="C35" i="17"/>
  <c r="D35" i="17" s="1"/>
  <c r="C35" i="15"/>
  <c r="D35" i="15" s="1"/>
  <c r="C35" i="16"/>
  <c r="M35" i="16" s="1"/>
  <c r="C35" i="14"/>
  <c r="C35" i="10"/>
  <c r="D35" i="10" s="1"/>
  <c r="C35" i="12"/>
  <c r="C35" i="11"/>
  <c r="D35" i="11" s="1"/>
  <c r="C36" i="9"/>
  <c r="D36" i="9" s="1"/>
  <c r="C36" i="8"/>
  <c r="D36" i="7"/>
  <c r="M30" i="18"/>
  <c r="C29" i="17"/>
  <c r="D29" i="17" s="1"/>
  <c r="D30" i="18"/>
  <c r="C29" i="16"/>
  <c r="M29" i="16" s="1"/>
  <c r="C29" i="14"/>
  <c r="D29" i="14" s="1"/>
  <c r="C29" i="15"/>
  <c r="D29" i="15" s="1"/>
  <c r="C29" i="10"/>
  <c r="D29" i="10" s="1"/>
  <c r="C29" i="11"/>
  <c r="D29" i="11" s="1"/>
  <c r="C30" i="9"/>
  <c r="D30" i="9" s="1"/>
  <c r="C29" i="12"/>
  <c r="C30" i="8"/>
  <c r="D30" i="7"/>
  <c r="I57" i="24"/>
  <c r="J57" i="24" s="1"/>
  <c r="I18" i="24"/>
  <c r="J18" i="24" s="1"/>
  <c r="K18" i="24" s="1"/>
  <c r="N18" i="24" s="1"/>
  <c r="I56" i="24"/>
  <c r="J56" i="24" s="1"/>
  <c r="I19" i="24"/>
  <c r="J19" i="24" s="1"/>
  <c r="K19" i="24" s="1"/>
  <c r="N19" i="24" s="1"/>
  <c r="I26" i="24"/>
  <c r="J26" i="24" s="1"/>
  <c r="K126" i="24"/>
  <c r="N126" i="24" s="1"/>
  <c r="I129" i="23"/>
  <c r="I15" i="23"/>
  <c r="H129" i="23"/>
  <c r="H15" i="23"/>
  <c r="Q59" i="4"/>
  <c r="M124" i="18"/>
  <c r="D124" i="18"/>
  <c r="C123" i="17"/>
  <c r="D123" i="17" s="1"/>
  <c r="C123" i="15"/>
  <c r="D123" i="15" s="1"/>
  <c r="C123" i="14"/>
  <c r="D123" i="14" s="1"/>
  <c r="C123" i="12"/>
  <c r="C123" i="10"/>
  <c r="D123" i="10" s="1"/>
  <c r="C124" i="9"/>
  <c r="D124" i="9" s="1"/>
  <c r="C124" i="8"/>
  <c r="D124" i="7"/>
  <c r="C123" i="16"/>
  <c r="M123" i="16" s="1"/>
  <c r="C123" i="11"/>
  <c r="D123" i="11" s="1"/>
  <c r="M100" i="18"/>
  <c r="D100" i="18"/>
  <c r="C99" i="17"/>
  <c r="D99" i="17" s="1"/>
  <c r="C99" i="15"/>
  <c r="D99" i="15" s="1"/>
  <c r="C99" i="14"/>
  <c r="C99" i="12"/>
  <c r="C99" i="16"/>
  <c r="M99" i="16" s="1"/>
  <c r="C100" i="9"/>
  <c r="D100" i="9" s="1"/>
  <c r="C99" i="11"/>
  <c r="D99" i="11" s="1"/>
  <c r="C100" i="8"/>
  <c r="C99" i="10"/>
  <c r="D99" i="10" s="1"/>
  <c r="D100" i="7"/>
  <c r="M76" i="18"/>
  <c r="N76" i="18" s="1"/>
  <c r="D76" i="18"/>
  <c r="C75" i="17"/>
  <c r="D75" i="17" s="1"/>
  <c r="C75" i="15"/>
  <c r="D75" i="15" s="1"/>
  <c r="C75" i="14"/>
  <c r="D75" i="14" s="1"/>
  <c r="C75" i="16"/>
  <c r="M75" i="16" s="1"/>
  <c r="C75" i="12"/>
  <c r="C75" i="11"/>
  <c r="D75" i="11" s="1"/>
  <c r="C76" i="9"/>
  <c r="D76" i="9" s="1"/>
  <c r="C76" i="8"/>
  <c r="C75" i="10"/>
  <c r="D75" i="10" s="1"/>
  <c r="D76" i="7"/>
  <c r="M52" i="18"/>
  <c r="N52" i="18" s="1"/>
  <c r="D52" i="18"/>
  <c r="C51" i="17"/>
  <c r="D51" i="17" s="1"/>
  <c r="C51" i="15"/>
  <c r="D51" i="15" s="1"/>
  <c r="C51" i="14"/>
  <c r="C51" i="16"/>
  <c r="M51" i="16" s="1"/>
  <c r="C51" i="12"/>
  <c r="C51" i="11"/>
  <c r="D51" i="11" s="1"/>
  <c r="C51" i="10"/>
  <c r="D51" i="10" s="1"/>
  <c r="C52" i="9"/>
  <c r="D52" i="9" s="1"/>
  <c r="C52" i="8"/>
  <c r="D52" i="7"/>
  <c r="M28" i="18"/>
  <c r="D28" i="18"/>
  <c r="C27" i="17"/>
  <c r="D27" i="17" s="1"/>
  <c r="C27" i="16"/>
  <c r="M27" i="16" s="1"/>
  <c r="C27" i="15"/>
  <c r="D27" i="15" s="1"/>
  <c r="C27" i="14"/>
  <c r="D27" i="14" s="1"/>
  <c r="C27" i="12"/>
  <c r="C27" i="11"/>
  <c r="D27" i="11" s="1"/>
  <c r="C28" i="8"/>
  <c r="C28" i="9"/>
  <c r="C27" i="10"/>
  <c r="D27" i="10" s="1"/>
  <c r="D28" i="7"/>
  <c r="Q73" i="4"/>
  <c r="M118" i="18"/>
  <c r="N118" i="18" s="1"/>
  <c r="D118" i="18"/>
  <c r="C117" i="17"/>
  <c r="C117" i="16"/>
  <c r="M117" i="16" s="1"/>
  <c r="C117" i="15"/>
  <c r="D117" i="15" s="1"/>
  <c r="C117" i="14"/>
  <c r="C117" i="12"/>
  <c r="C117" i="11"/>
  <c r="D117" i="11" s="1"/>
  <c r="C117" i="10"/>
  <c r="D117" i="10" s="1"/>
  <c r="C118" i="8"/>
  <c r="C118" i="9"/>
  <c r="D118" i="9" s="1"/>
  <c r="D118" i="7"/>
  <c r="M94" i="18"/>
  <c r="N94" i="18" s="1"/>
  <c r="D94" i="18"/>
  <c r="C93" i="17"/>
  <c r="D93" i="17" s="1"/>
  <c r="C93" i="16"/>
  <c r="M93" i="16" s="1"/>
  <c r="C93" i="15"/>
  <c r="D93" i="15" s="1"/>
  <c r="C93" i="14"/>
  <c r="C93" i="12"/>
  <c r="C93" i="11"/>
  <c r="D93" i="11" s="1"/>
  <c r="C93" i="10"/>
  <c r="D93" i="10" s="1"/>
  <c r="C94" i="9"/>
  <c r="D94" i="7"/>
  <c r="C94" i="8"/>
  <c r="M70" i="18"/>
  <c r="N70" i="18" s="1"/>
  <c r="D70" i="18"/>
  <c r="C69" i="17"/>
  <c r="C69" i="16"/>
  <c r="M69" i="16" s="1"/>
  <c r="C69" i="15"/>
  <c r="D69" i="15" s="1"/>
  <c r="C69" i="14"/>
  <c r="D69" i="14" s="1"/>
  <c r="C69" i="11"/>
  <c r="D69" i="11" s="1"/>
  <c r="C69" i="12"/>
  <c r="C69" i="10"/>
  <c r="D69" i="10" s="1"/>
  <c r="C70" i="9"/>
  <c r="D70" i="9" s="1"/>
  <c r="C70" i="8"/>
  <c r="D70" i="7"/>
  <c r="M46" i="18"/>
  <c r="N46" i="18" s="1"/>
  <c r="C45" i="17"/>
  <c r="D45" i="17" s="1"/>
  <c r="D46" i="18"/>
  <c r="C45" i="16"/>
  <c r="M45" i="16" s="1"/>
  <c r="C45" i="14"/>
  <c r="D45" i="14" s="1"/>
  <c r="C45" i="12"/>
  <c r="C45" i="15"/>
  <c r="D45" i="15" s="1"/>
  <c r="C45" i="11"/>
  <c r="D45" i="11" s="1"/>
  <c r="C46" i="9"/>
  <c r="C45" i="10"/>
  <c r="D45" i="10" s="1"/>
  <c r="C46" i="8"/>
  <c r="D46" i="7"/>
  <c r="M22" i="18"/>
  <c r="N22" i="18" s="1"/>
  <c r="C21" i="17"/>
  <c r="D21" i="17" s="1"/>
  <c r="C21" i="14"/>
  <c r="D22" i="18"/>
  <c r="C21" i="15"/>
  <c r="D21" i="15" s="1"/>
  <c r="C21" i="12"/>
  <c r="C21" i="16"/>
  <c r="M21" i="16" s="1"/>
  <c r="C22" i="9"/>
  <c r="D22" i="9" s="1"/>
  <c r="C21" i="10"/>
  <c r="D21" i="10" s="1"/>
  <c r="C22" i="8"/>
  <c r="C21" i="11"/>
  <c r="D21" i="11" s="1"/>
  <c r="D22" i="7"/>
  <c r="K63" i="3"/>
  <c r="J6" i="5"/>
  <c r="K6" i="5" s="1"/>
  <c r="L6" i="5" s="1"/>
  <c r="J29" i="5"/>
  <c r="K8" i="5"/>
  <c r="L8" i="5" s="1"/>
  <c r="K114" i="3"/>
  <c r="K79" i="3"/>
  <c r="M58" i="1"/>
  <c r="M40" i="1"/>
  <c r="M92" i="1"/>
  <c r="Q92" i="1" s="1"/>
  <c r="M50" i="1"/>
  <c r="Q50" i="1" s="1"/>
  <c r="K92" i="24"/>
  <c r="N92" i="24" s="1"/>
  <c r="M125" i="18"/>
  <c r="N125" i="18" s="1"/>
  <c r="D125" i="18"/>
  <c r="C124" i="17"/>
  <c r="D124" i="17" s="1"/>
  <c r="C124" i="16"/>
  <c r="M124" i="16" s="1"/>
  <c r="C124" i="14"/>
  <c r="C124" i="12"/>
  <c r="C124" i="15"/>
  <c r="D124" i="15" s="1"/>
  <c r="C124" i="11"/>
  <c r="D124" i="11" s="1"/>
  <c r="C124" i="10"/>
  <c r="D124" i="10" s="1"/>
  <c r="C125" i="9"/>
  <c r="D125" i="9" s="1"/>
  <c r="C125" i="8"/>
  <c r="D125" i="7"/>
  <c r="M101" i="18"/>
  <c r="N101" i="18" s="1"/>
  <c r="D101" i="18"/>
  <c r="C100" i="17"/>
  <c r="D100" i="17" s="1"/>
  <c r="C100" i="16"/>
  <c r="M100" i="16" s="1"/>
  <c r="C100" i="14"/>
  <c r="D100" i="14" s="1"/>
  <c r="C100" i="12"/>
  <c r="C100" i="11"/>
  <c r="D100" i="11" s="1"/>
  <c r="C100" i="10"/>
  <c r="D100" i="10" s="1"/>
  <c r="C101" i="9"/>
  <c r="D101" i="9" s="1"/>
  <c r="C100" i="15"/>
  <c r="D100" i="15" s="1"/>
  <c r="D101" i="7"/>
  <c r="C101" i="8"/>
  <c r="Q116" i="4"/>
  <c r="Q44" i="4"/>
  <c r="Q75" i="4"/>
  <c r="K106" i="3"/>
  <c r="Q122" i="1"/>
  <c r="K46" i="3"/>
  <c r="K69" i="3"/>
  <c r="M48" i="1"/>
  <c r="Q48" i="1" s="1"/>
  <c r="M86" i="1"/>
  <c r="Q86" i="1" s="1"/>
  <c r="M115" i="1"/>
  <c r="Q115" i="1" s="1"/>
  <c r="M46" i="1"/>
  <c r="Q46" i="1" s="1"/>
  <c r="M77" i="18"/>
  <c r="D77" i="18"/>
  <c r="C76" i="17"/>
  <c r="D76" i="17" s="1"/>
  <c r="C76" i="16"/>
  <c r="M76" i="16" s="1"/>
  <c r="C76" i="14"/>
  <c r="D76" i="14" s="1"/>
  <c r="C76" i="15"/>
  <c r="D76" i="15" s="1"/>
  <c r="C76" i="11"/>
  <c r="D76" i="11" s="1"/>
  <c r="C76" i="10"/>
  <c r="D76" i="10" s="1"/>
  <c r="C76" i="12"/>
  <c r="C77" i="9"/>
  <c r="D77" i="9" s="1"/>
  <c r="C77" i="8"/>
  <c r="D77" i="7"/>
  <c r="I59" i="24"/>
  <c r="J59" i="24" s="1"/>
  <c r="I117" i="24"/>
  <c r="J117" i="24" s="1"/>
  <c r="K117" i="24" s="1"/>
  <c r="N117" i="24" s="1"/>
  <c r="I78" i="24"/>
  <c r="J78" i="24" s="1"/>
  <c r="K78" i="24" s="1"/>
  <c r="N78" i="24" s="1"/>
  <c r="I39" i="24"/>
  <c r="J39" i="24" s="1"/>
  <c r="K39" i="24" s="1"/>
  <c r="N39" i="24" s="1"/>
  <c r="I24" i="24"/>
  <c r="J24" i="24" s="1"/>
  <c r="K24" i="24" s="1"/>
  <c r="N24" i="24" s="1"/>
  <c r="P129" i="23"/>
  <c r="P15" i="23"/>
  <c r="M120" i="18"/>
  <c r="N120" i="18" s="1"/>
  <c r="D120" i="18"/>
  <c r="C119" i="17"/>
  <c r="D119" i="17" s="1"/>
  <c r="C119" i="16"/>
  <c r="M119" i="16" s="1"/>
  <c r="C119" i="14"/>
  <c r="D119" i="14" s="1"/>
  <c r="C119" i="15"/>
  <c r="D119" i="15" s="1"/>
  <c r="C119" i="11"/>
  <c r="D119" i="11" s="1"/>
  <c r="C120" i="9"/>
  <c r="D120" i="9" s="1"/>
  <c r="C119" i="10"/>
  <c r="D119" i="10" s="1"/>
  <c r="C120" i="8"/>
  <c r="C119" i="12"/>
  <c r="D120" i="7"/>
  <c r="M96" i="18"/>
  <c r="N96" i="18" s="1"/>
  <c r="D96" i="18"/>
  <c r="C95" i="17"/>
  <c r="D95" i="17" s="1"/>
  <c r="C95" i="16"/>
  <c r="M95" i="16" s="1"/>
  <c r="C95" i="14"/>
  <c r="C95" i="12"/>
  <c r="C95" i="11"/>
  <c r="D95" i="11" s="1"/>
  <c r="C95" i="15"/>
  <c r="D95" i="15" s="1"/>
  <c r="C95" i="10"/>
  <c r="D95" i="10" s="1"/>
  <c r="C96" i="8"/>
  <c r="D96" i="7"/>
  <c r="C96" i="9"/>
  <c r="D96" i="9" s="1"/>
  <c r="M72" i="18"/>
  <c r="N72" i="18" s="1"/>
  <c r="D72" i="18"/>
  <c r="C71" i="17"/>
  <c r="D71" i="17" s="1"/>
  <c r="C71" i="16"/>
  <c r="M71" i="16" s="1"/>
  <c r="C71" i="15"/>
  <c r="D71" i="15" s="1"/>
  <c r="C71" i="14"/>
  <c r="D71" i="14" s="1"/>
  <c r="C71" i="12"/>
  <c r="C71" i="11"/>
  <c r="D71" i="11" s="1"/>
  <c r="C71" i="10"/>
  <c r="D71" i="10" s="1"/>
  <c r="C72" i="9"/>
  <c r="D72" i="9" s="1"/>
  <c r="C72" i="8"/>
  <c r="D72" i="7"/>
  <c r="M48" i="18"/>
  <c r="N48" i="18" s="1"/>
  <c r="D48" i="18"/>
  <c r="C47" i="17"/>
  <c r="D47" i="17" s="1"/>
  <c r="C47" i="16"/>
  <c r="M47" i="16" s="1"/>
  <c r="C47" i="15"/>
  <c r="D47" i="15" s="1"/>
  <c r="C47" i="14"/>
  <c r="D47" i="14" s="1"/>
  <c r="C47" i="11"/>
  <c r="D47" i="11" s="1"/>
  <c r="C48" i="9"/>
  <c r="D48" i="9" s="1"/>
  <c r="C47" i="10"/>
  <c r="D47" i="10" s="1"/>
  <c r="C48" i="8"/>
  <c r="D48" i="7"/>
  <c r="C47" i="12"/>
  <c r="M24" i="18"/>
  <c r="N24" i="18" s="1"/>
  <c r="D24" i="18"/>
  <c r="C23" i="17"/>
  <c r="D23" i="17" s="1"/>
  <c r="C23" i="15"/>
  <c r="D23" i="15" s="1"/>
  <c r="C23" i="14"/>
  <c r="D23" i="14" s="1"/>
  <c r="C23" i="11"/>
  <c r="D23" i="11" s="1"/>
  <c r="C23" i="12"/>
  <c r="C24" i="8"/>
  <c r="C23" i="10"/>
  <c r="D23" i="10" s="1"/>
  <c r="C24" i="9"/>
  <c r="D24" i="9" s="1"/>
  <c r="D24" i="7"/>
  <c r="C23" i="16"/>
  <c r="M23" i="16" s="1"/>
  <c r="Q90" i="4"/>
  <c r="Q103" i="4"/>
  <c r="Q67" i="4"/>
  <c r="Q31" i="4"/>
  <c r="D127" i="17"/>
  <c r="D118" i="17"/>
  <c r="D70" i="17"/>
  <c r="D22" i="17"/>
  <c r="D126" i="17"/>
  <c r="D117" i="17"/>
  <c r="D114" i="17"/>
  <c r="D102" i="17"/>
  <c r="D69" i="17"/>
  <c r="D66" i="17"/>
  <c r="D54" i="17"/>
  <c r="D42" i="17"/>
  <c r="D30" i="17"/>
  <c r="D122" i="17"/>
  <c r="D110" i="17"/>
  <c r="D104" i="17"/>
  <c r="D98" i="17"/>
  <c r="D86" i="17"/>
  <c r="D74" i="17"/>
  <c r="D62" i="17"/>
  <c r="D38" i="17"/>
  <c r="D26" i="17"/>
  <c r="M114" i="18"/>
  <c r="N114" i="18" s="1"/>
  <c r="D114" i="18"/>
  <c r="C113" i="17"/>
  <c r="D113" i="17" s="1"/>
  <c r="C113" i="16"/>
  <c r="M113" i="16" s="1"/>
  <c r="C113" i="15"/>
  <c r="D113" i="15" s="1"/>
  <c r="C113" i="14"/>
  <c r="D113" i="14" s="1"/>
  <c r="C113" i="12"/>
  <c r="C113" i="10"/>
  <c r="D113" i="10" s="1"/>
  <c r="C113" i="11"/>
  <c r="D113" i="11" s="1"/>
  <c r="C114" i="9"/>
  <c r="D114" i="9" s="1"/>
  <c r="D114" i="7"/>
  <c r="C114" i="8"/>
  <c r="M90" i="18"/>
  <c r="N90" i="18" s="1"/>
  <c r="D90" i="18"/>
  <c r="C89" i="17"/>
  <c r="D89" i="17" s="1"/>
  <c r="C89" i="16"/>
  <c r="M89" i="16" s="1"/>
  <c r="C89" i="15"/>
  <c r="D89" i="15" s="1"/>
  <c r="C89" i="14"/>
  <c r="D89" i="14" s="1"/>
  <c r="C89" i="12"/>
  <c r="C89" i="10"/>
  <c r="D89" i="10" s="1"/>
  <c r="C90" i="9"/>
  <c r="D90" i="9" s="1"/>
  <c r="C89" i="11"/>
  <c r="D89" i="11" s="1"/>
  <c r="C90" i="8"/>
  <c r="D90" i="7"/>
  <c r="M66" i="18"/>
  <c r="N66" i="18" s="1"/>
  <c r="D66" i="18"/>
  <c r="C65" i="17"/>
  <c r="D65" i="17" s="1"/>
  <c r="C65" i="16"/>
  <c r="M65" i="16" s="1"/>
  <c r="C65" i="14"/>
  <c r="D65" i="14" s="1"/>
  <c r="C65" i="10"/>
  <c r="D65" i="10" s="1"/>
  <c r="C65" i="11"/>
  <c r="D65" i="11" s="1"/>
  <c r="C65" i="12"/>
  <c r="C66" i="9"/>
  <c r="D66" i="9" s="1"/>
  <c r="C65" i="15"/>
  <c r="D65" i="15" s="1"/>
  <c r="C66" i="8"/>
  <c r="D66" i="7"/>
  <c r="M42" i="18"/>
  <c r="N42" i="18" s="1"/>
  <c r="C41" i="17"/>
  <c r="D41" i="17" s="1"/>
  <c r="C41" i="14"/>
  <c r="D41" i="14" s="1"/>
  <c r="D42" i="18"/>
  <c r="C41" i="15"/>
  <c r="D41" i="15" s="1"/>
  <c r="C41" i="16"/>
  <c r="M41" i="16" s="1"/>
  <c r="C41" i="12"/>
  <c r="C41" i="10"/>
  <c r="D41" i="10" s="1"/>
  <c r="C42" i="9"/>
  <c r="D42" i="9" s="1"/>
  <c r="C41" i="11"/>
  <c r="D41" i="11" s="1"/>
  <c r="C42" i="8"/>
  <c r="D42" i="7"/>
  <c r="C17" i="17"/>
  <c r="D17" i="17" s="1"/>
  <c r="M18" i="18"/>
  <c r="N18" i="18" s="1"/>
  <c r="D18" i="18"/>
  <c r="C17" i="14"/>
  <c r="D17" i="14" s="1"/>
  <c r="C17" i="16"/>
  <c r="M17" i="16" s="1"/>
  <c r="C17" i="15"/>
  <c r="D17" i="15" s="1"/>
  <c r="C17" i="12"/>
  <c r="C17" i="10"/>
  <c r="D17" i="10" s="1"/>
  <c r="C17" i="11"/>
  <c r="D17" i="11" s="1"/>
  <c r="C18" i="9"/>
  <c r="D18" i="9" s="1"/>
  <c r="C18" i="8"/>
  <c r="D18" i="7"/>
  <c r="M99" i="4"/>
  <c r="Q99" i="4" s="1"/>
  <c r="K86" i="3"/>
  <c r="N15" i="1"/>
  <c r="N129" i="1"/>
  <c r="K115" i="3"/>
  <c r="Q126" i="1"/>
  <c r="M69" i="4"/>
  <c r="Q69" i="4" s="1"/>
  <c r="K42" i="3"/>
  <c r="M25" i="4"/>
  <c r="Q25" i="4" s="1"/>
  <c r="K113" i="3"/>
  <c r="M15" i="4"/>
  <c r="Q15" i="4" s="1"/>
  <c r="M109" i="4"/>
  <c r="Q109" i="4" s="1"/>
  <c r="K55" i="3"/>
  <c r="K107" i="3"/>
  <c r="M21" i="4"/>
  <c r="M87" i="4"/>
  <c r="Q87" i="4" s="1"/>
  <c r="M36" i="1"/>
  <c r="Q36" i="1" s="1"/>
  <c r="M66" i="1"/>
  <c r="Q66" i="1" s="1"/>
  <c r="M22" i="1"/>
  <c r="Q22" i="1" s="1"/>
  <c r="P15" i="1"/>
  <c r="M106" i="1"/>
  <c r="Q106" i="1" s="1"/>
  <c r="M68" i="1"/>
  <c r="Q68" i="1" s="1"/>
  <c r="M28" i="1"/>
  <c r="Q28" i="1" s="1"/>
  <c r="G129" i="23"/>
  <c r="G15" i="23"/>
  <c r="K76" i="24"/>
  <c r="N76" i="24" s="1"/>
  <c r="I44" i="24"/>
  <c r="J44" i="24" s="1"/>
  <c r="I68" i="24"/>
  <c r="J68" i="24" s="1"/>
  <c r="K68" i="24" s="1"/>
  <c r="N68" i="24" s="1"/>
  <c r="I32" i="24"/>
  <c r="J32" i="24" s="1"/>
  <c r="K32" i="24" s="1"/>
  <c r="N32" i="24" s="1"/>
  <c r="I21" i="24"/>
  <c r="J21" i="24" s="1"/>
  <c r="N130" i="23"/>
  <c r="K129" i="23"/>
  <c r="K15" i="23"/>
  <c r="Q30" i="20"/>
  <c r="M121" i="18"/>
  <c r="N121" i="18" s="1"/>
  <c r="D121" i="18"/>
  <c r="C120" i="17"/>
  <c r="D120" i="17" s="1"/>
  <c r="C120" i="16"/>
  <c r="M120" i="16" s="1"/>
  <c r="C120" i="14"/>
  <c r="D120" i="14" s="1"/>
  <c r="C120" i="15"/>
  <c r="D120" i="15" s="1"/>
  <c r="C120" i="11"/>
  <c r="D120" i="11" s="1"/>
  <c r="C120" i="10"/>
  <c r="D120" i="10" s="1"/>
  <c r="C120" i="12"/>
  <c r="D121" i="7"/>
  <c r="C121" i="9"/>
  <c r="D121" i="9" s="1"/>
  <c r="C121" i="8"/>
  <c r="M97" i="18"/>
  <c r="N97" i="18" s="1"/>
  <c r="D97" i="18"/>
  <c r="C96" i="17"/>
  <c r="D96" i="17" s="1"/>
  <c r="C96" i="16"/>
  <c r="M96" i="16" s="1"/>
  <c r="C96" i="14"/>
  <c r="D96" i="14" s="1"/>
  <c r="C96" i="15"/>
  <c r="D96" i="15" s="1"/>
  <c r="C96" i="11"/>
  <c r="D96" i="11" s="1"/>
  <c r="C96" i="10"/>
  <c r="D96" i="10" s="1"/>
  <c r="C96" i="12"/>
  <c r="D97" i="7"/>
  <c r="C97" i="9"/>
  <c r="D97" i="9" s="1"/>
  <c r="C97" i="8"/>
  <c r="M73" i="18"/>
  <c r="N73" i="18" s="1"/>
  <c r="D73" i="18"/>
  <c r="C72" i="17"/>
  <c r="D72" i="17" s="1"/>
  <c r="C72" i="16"/>
  <c r="M72" i="16" s="1"/>
  <c r="C72" i="14"/>
  <c r="D72" i="14" s="1"/>
  <c r="C72" i="12"/>
  <c r="C72" i="11"/>
  <c r="D72" i="11" s="1"/>
  <c r="C72" i="15"/>
  <c r="D72" i="15" s="1"/>
  <c r="C72" i="10"/>
  <c r="D72" i="10" s="1"/>
  <c r="C73" i="9"/>
  <c r="D73" i="9" s="1"/>
  <c r="D73" i="7"/>
  <c r="C73" i="8"/>
  <c r="M49" i="18"/>
  <c r="N49" i="18" s="1"/>
  <c r="D49" i="18"/>
  <c r="C48" i="17"/>
  <c r="D48" i="17" s="1"/>
  <c r="C48" i="16"/>
  <c r="M48" i="16" s="1"/>
  <c r="C48" i="14"/>
  <c r="D48" i="14" s="1"/>
  <c r="C48" i="15"/>
  <c r="D48" i="15" s="1"/>
  <c r="C48" i="11"/>
  <c r="D48" i="11" s="1"/>
  <c r="C48" i="10"/>
  <c r="D48" i="10" s="1"/>
  <c r="C48" i="12"/>
  <c r="C49" i="9"/>
  <c r="D49" i="9" s="1"/>
  <c r="C49" i="8"/>
  <c r="D49" i="7"/>
  <c r="M25" i="18"/>
  <c r="N25" i="18" s="1"/>
  <c r="D25" i="18"/>
  <c r="C24" i="17"/>
  <c r="D24" i="17" s="1"/>
  <c r="C24" i="16"/>
  <c r="M24" i="16" s="1"/>
  <c r="C24" i="14"/>
  <c r="D24" i="14" s="1"/>
  <c r="C24" i="11"/>
  <c r="D24" i="11" s="1"/>
  <c r="C24" i="15"/>
  <c r="D24" i="15" s="1"/>
  <c r="C24" i="10"/>
  <c r="D24" i="10" s="1"/>
  <c r="C24" i="12"/>
  <c r="C25" i="9"/>
  <c r="D25" i="9" s="1"/>
  <c r="D25" i="7"/>
  <c r="C25" i="8"/>
  <c r="Q74" i="4"/>
  <c r="Q105" i="4"/>
  <c r="Q33" i="4"/>
  <c r="K82" i="3"/>
  <c r="K105" i="3"/>
  <c r="K90" i="3"/>
  <c r="Q20" i="1"/>
  <c r="Q105" i="1"/>
  <c r="M39" i="4"/>
  <c r="Q39" i="4" s="1"/>
  <c r="M125" i="1"/>
  <c r="Q125" i="1" s="1"/>
  <c r="M54" i="4"/>
  <c r="Q54" i="4" s="1"/>
  <c r="K38" i="3"/>
  <c r="M12" i="4"/>
  <c r="Q12" i="4" s="1"/>
  <c r="K99" i="3"/>
  <c r="K83" i="3"/>
  <c r="M60" i="4"/>
  <c r="Q60" i="4" s="1"/>
  <c r="M64" i="1"/>
  <c r="Q64" i="1" s="1"/>
  <c r="K43" i="3"/>
  <c r="M100" i="1"/>
  <c r="Q100" i="1" s="1"/>
  <c r="M24" i="1"/>
  <c r="Q24" i="1" s="1"/>
  <c r="Q107" i="4"/>
  <c r="M129" i="23"/>
  <c r="M15" i="23"/>
  <c r="M29" i="18"/>
  <c r="N29" i="18" s="1"/>
  <c r="D29" i="18"/>
  <c r="C28" i="17"/>
  <c r="D28" i="17" s="1"/>
  <c r="C28" i="16"/>
  <c r="M28" i="16" s="1"/>
  <c r="C28" i="15"/>
  <c r="D28" i="15" s="1"/>
  <c r="C28" i="11"/>
  <c r="D28" i="11" s="1"/>
  <c r="C28" i="10"/>
  <c r="D28" i="10" s="1"/>
  <c r="C28" i="12"/>
  <c r="C28" i="14"/>
  <c r="D28" i="14" s="1"/>
  <c r="C29" i="8"/>
  <c r="D29" i="7"/>
  <c r="C29" i="9"/>
  <c r="D29" i="9" s="1"/>
  <c r="Q83" i="4"/>
  <c r="Q47" i="4"/>
  <c r="M116" i="18"/>
  <c r="N116" i="18" s="1"/>
  <c r="D116" i="18"/>
  <c r="C115" i="17"/>
  <c r="D115" i="17" s="1"/>
  <c r="C115" i="16"/>
  <c r="M115" i="16" s="1"/>
  <c r="C115" i="14"/>
  <c r="D115" i="14" s="1"/>
  <c r="C115" i="12"/>
  <c r="C115" i="11"/>
  <c r="D115" i="11" s="1"/>
  <c r="C115" i="10"/>
  <c r="D115" i="10" s="1"/>
  <c r="C115" i="15"/>
  <c r="D115" i="15" s="1"/>
  <c r="C116" i="9"/>
  <c r="D116" i="9" s="1"/>
  <c r="C116" i="8"/>
  <c r="D116" i="7"/>
  <c r="M92" i="18"/>
  <c r="N92" i="18" s="1"/>
  <c r="D92" i="18"/>
  <c r="C91" i="17"/>
  <c r="D91" i="17" s="1"/>
  <c r="C91" i="15"/>
  <c r="D91" i="15" s="1"/>
  <c r="C91" i="16"/>
  <c r="M91" i="16" s="1"/>
  <c r="C91" i="14"/>
  <c r="C91" i="12"/>
  <c r="C91" i="11"/>
  <c r="D91" i="11" s="1"/>
  <c r="C92" i="9"/>
  <c r="D92" i="9" s="1"/>
  <c r="C91" i="10"/>
  <c r="D91" i="10" s="1"/>
  <c r="C92" i="8"/>
  <c r="D92" i="7"/>
  <c r="M68" i="18"/>
  <c r="N68" i="18" s="1"/>
  <c r="D68" i="18"/>
  <c r="C67" i="17"/>
  <c r="D67" i="17" s="1"/>
  <c r="C67" i="15"/>
  <c r="D67" i="15" s="1"/>
  <c r="C67" i="16"/>
  <c r="M67" i="16" s="1"/>
  <c r="C67" i="14"/>
  <c r="D67" i="14" s="1"/>
  <c r="C67" i="11"/>
  <c r="D67" i="11" s="1"/>
  <c r="C67" i="12"/>
  <c r="C67" i="10"/>
  <c r="D67" i="10" s="1"/>
  <c r="C68" i="8"/>
  <c r="D68" i="7"/>
  <c r="C68" i="9"/>
  <c r="D68" i="9" s="1"/>
  <c r="M44" i="18"/>
  <c r="N44" i="18" s="1"/>
  <c r="D44" i="18"/>
  <c r="C43" i="17"/>
  <c r="D43" i="17" s="1"/>
  <c r="C43" i="15"/>
  <c r="D43" i="15" s="1"/>
  <c r="C43" i="16"/>
  <c r="M43" i="16" s="1"/>
  <c r="C43" i="14"/>
  <c r="D43" i="14" s="1"/>
  <c r="C43" i="12"/>
  <c r="C43" i="11"/>
  <c r="D43" i="11" s="1"/>
  <c r="C43" i="10"/>
  <c r="D43" i="10" s="1"/>
  <c r="C44" i="8"/>
  <c r="D44" i="7"/>
  <c r="C44" i="9"/>
  <c r="D44" i="9" s="1"/>
  <c r="M20" i="18"/>
  <c r="D20" i="18"/>
  <c r="C19" i="17"/>
  <c r="D19" i="17" s="1"/>
  <c r="C19" i="16"/>
  <c r="M19" i="16" s="1"/>
  <c r="C19" i="15"/>
  <c r="D19" i="15" s="1"/>
  <c r="C19" i="14"/>
  <c r="D19" i="14" s="1"/>
  <c r="C19" i="10"/>
  <c r="D19" i="10" s="1"/>
  <c r="C19" i="11"/>
  <c r="D19" i="11" s="1"/>
  <c r="C19" i="12"/>
  <c r="C20" i="8"/>
  <c r="D20" i="7"/>
  <c r="C20" i="9"/>
  <c r="Q84" i="4"/>
  <c r="L9" i="4"/>
  <c r="Q61" i="4"/>
  <c r="M110" i="18"/>
  <c r="N110" i="18" s="1"/>
  <c r="D110" i="18"/>
  <c r="C109" i="17"/>
  <c r="D109" i="17" s="1"/>
  <c r="C109" i="16"/>
  <c r="M109" i="16" s="1"/>
  <c r="C109" i="15"/>
  <c r="D109" i="15" s="1"/>
  <c r="C109" i="14"/>
  <c r="D109" i="14" s="1"/>
  <c r="C109" i="12"/>
  <c r="C109" i="10"/>
  <c r="D109" i="10" s="1"/>
  <c r="C110" i="9"/>
  <c r="D110" i="9" s="1"/>
  <c r="C109" i="11"/>
  <c r="D109" i="11" s="1"/>
  <c r="C110" i="8"/>
  <c r="D110" i="7"/>
  <c r="M86" i="18"/>
  <c r="D86" i="18"/>
  <c r="C85" i="17"/>
  <c r="D85" i="17" s="1"/>
  <c r="C85" i="16"/>
  <c r="M85" i="16" s="1"/>
  <c r="C85" i="15"/>
  <c r="D85" i="15" s="1"/>
  <c r="C85" i="14"/>
  <c r="D85" i="14" s="1"/>
  <c r="C85" i="12"/>
  <c r="C85" i="10"/>
  <c r="D85" i="10" s="1"/>
  <c r="C86" i="9"/>
  <c r="D86" i="9" s="1"/>
  <c r="C85" i="11"/>
  <c r="D85" i="11" s="1"/>
  <c r="C86" i="8"/>
  <c r="D86" i="7"/>
  <c r="M62" i="18"/>
  <c r="N62" i="18" s="1"/>
  <c r="D62" i="18"/>
  <c r="C61" i="17"/>
  <c r="D61" i="17" s="1"/>
  <c r="C61" i="16"/>
  <c r="M61" i="16" s="1"/>
  <c r="C61" i="14"/>
  <c r="D61" i="14" s="1"/>
  <c r="C61" i="15"/>
  <c r="D61" i="15" s="1"/>
  <c r="C61" i="12"/>
  <c r="C62" i="9"/>
  <c r="D62" i="9" s="1"/>
  <c r="C61" i="10"/>
  <c r="D61" i="10" s="1"/>
  <c r="C61" i="11"/>
  <c r="D61" i="11" s="1"/>
  <c r="D62" i="7"/>
  <c r="C62" i="8"/>
  <c r="M38" i="18"/>
  <c r="N38" i="18" s="1"/>
  <c r="C37" i="17"/>
  <c r="D37" i="17" s="1"/>
  <c r="D38" i="18"/>
  <c r="C37" i="14"/>
  <c r="D37" i="14" s="1"/>
  <c r="C37" i="16"/>
  <c r="M37" i="16" s="1"/>
  <c r="C37" i="12"/>
  <c r="C37" i="15"/>
  <c r="D37" i="15" s="1"/>
  <c r="C37" i="11"/>
  <c r="D37" i="11" s="1"/>
  <c r="C38" i="9"/>
  <c r="D38" i="9" s="1"/>
  <c r="C37" i="10"/>
  <c r="D37" i="10" s="1"/>
  <c r="C38" i="8"/>
  <c r="D38" i="7"/>
  <c r="K91" i="3"/>
  <c r="M81" i="4"/>
  <c r="Q81" i="4" s="1"/>
  <c r="Q89" i="1"/>
  <c r="L129" i="1"/>
  <c r="Q16" i="1"/>
  <c r="L15" i="1"/>
  <c r="Q109" i="1"/>
  <c r="M19" i="4"/>
  <c r="Q19" i="4" s="1"/>
  <c r="K34" i="3"/>
  <c r="K75" i="3"/>
  <c r="K98" i="3"/>
  <c r="M113" i="1"/>
  <c r="Q113" i="1" s="1"/>
  <c r="Q88" i="1"/>
  <c r="Q62" i="1"/>
  <c r="M24" i="4"/>
  <c r="Q24" i="4" s="1"/>
  <c r="K39" i="3"/>
  <c r="M44" i="1"/>
  <c r="Q44" i="1" s="1"/>
  <c r="M101" i="1"/>
  <c r="Q101" i="1" s="1"/>
  <c r="K31" i="3"/>
  <c r="M93" i="1"/>
  <c r="Q93" i="1" s="1"/>
  <c r="M42" i="1"/>
  <c r="Q42" i="1" s="1"/>
  <c r="M127" i="1"/>
  <c r="Q127" i="1" s="1"/>
  <c r="M90" i="1"/>
  <c r="Q90" i="1" s="1"/>
  <c r="K123" i="24"/>
  <c r="N123" i="24" s="1"/>
  <c r="M53" i="18"/>
  <c r="N53" i="18" s="1"/>
  <c r="D53" i="18"/>
  <c r="C52" i="17"/>
  <c r="D52" i="17" s="1"/>
  <c r="C52" i="16"/>
  <c r="M52" i="16" s="1"/>
  <c r="C52" i="14"/>
  <c r="D52" i="14" s="1"/>
  <c r="C52" i="11"/>
  <c r="D52" i="11" s="1"/>
  <c r="C52" i="10"/>
  <c r="D52" i="10" s="1"/>
  <c r="C52" i="15"/>
  <c r="D52" i="15" s="1"/>
  <c r="C52" i="12"/>
  <c r="C53" i="9"/>
  <c r="D53" i="9" s="1"/>
  <c r="D53" i="7"/>
  <c r="C53" i="8"/>
  <c r="D15" i="24"/>
  <c r="I20" i="24"/>
  <c r="J20" i="24" s="1"/>
  <c r="I93" i="24"/>
  <c r="J93" i="24" s="1"/>
  <c r="I111" i="24"/>
  <c r="J111" i="24" s="1"/>
  <c r="K127" i="24"/>
  <c r="N127" i="24" s="1"/>
  <c r="Q22" i="20"/>
  <c r="M117" i="18"/>
  <c r="N117" i="18" s="1"/>
  <c r="D117" i="18"/>
  <c r="C116" i="17"/>
  <c r="D116" i="17" s="1"/>
  <c r="C116" i="16"/>
  <c r="M116" i="16" s="1"/>
  <c r="C116" i="14"/>
  <c r="D116" i="14" s="1"/>
  <c r="C116" i="12"/>
  <c r="C116" i="11"/>
  <c r="D116" i="11" s="1"/>
  <c r="C116" i="10"/>
  <c r="D116" i="10" s="1"/>
  <c r="C116" i="15"/>
  <c r="D116" i="15" s="1"/>
  <c r="C117" i="9"/>
  <c r="D117" i="9" s="1"/>
  <c r="D117" i="7"/>
  <c r="C117" i="8"/>
  <c r="M93" i="18"/>
  <c r="D93" i="18"/>
  <c r="C92" i="17"/>
  <c r="D92" i="17" s="1"/>
  <c r="C92" i="16"/>
  <c r="M92" i="16" s="1"/>
  <c r="C92" i="15"/>
  <c r="D92" i="15" s="1"/>
  <c r="C92" i="14"/>
  <c r="D92" i="14" s="1"/>
  <c r="C92" i="11"/>
  <c r="D92" i="11" s="1"/>
  <c r="C92" i="12"/>
  <c r="C92" i="10"/>
  <c r="D92" i="10" s="1"/>
  <c r="C93" i="9"/>
  <c r="D93" i="9" s="1"/>
  <c r="D93" i="7"/>
  <c r="C93" i="8"/>
  <c r="M69" i="18"/>
  <c r="N69" i="18" s="1"/>
  <c r="D69" i="18"/>
  <c r="C68" i="17"/>
  <c r="D68" i="17" s="1"/>
  <c r="C68" i="16"/>
  <c r="M68" i="16" s="1"/>
  <c r="C68" i="14"/>
  <c r="D68" i="14" s="1"/>
  <c r="C68" i="11"/>
  <c r="D68" i="11" s="1"/>
  <c r="C68" i="10"/>
  <c r="D68" i="10" s="1"/>
  <c r="C68" i="15"/>
  <c r="D68" i="15" s="1"/>
  <c r="C68" i="12"/>
  <c r="C69" i="9"/>
  <c r="D69" i="9" s="1"/>
  <c r="C69" i="8"/>
  <c r="D69" i="7"/>
  <c r="M45" i="18"/>
  <c r="N45" i="18" s="1"/>
  <c r="D45" i="18"/>
  <c r="C44" i="17"/>
  <c r="D44" i="17" s="1"/>
  <c r="C44" i="16"/>
  <c r="M44" i="16" s="1"/>
  <c r="C44" i="11"/>
  <c r="D44" i="11" s="1"/>
  <c r="C44" i="12"/>
  <c r="C44" i="14"/>
  <c r="D44" i="14" s="1"/>
  <c r="C44" i="10"/>
  <c r="D44" i="10" s="1"/>
  <c r="C45" i="9"/>
  <c r="D45" i="9" s="1"/>
  <c r="D45" i="7"/>
  <c r="C44" i="15"/>
  <c r="D44" i="15" s="1"/>
  <c r="C45" i="8"/>
  <c r="D21" i="18"/>
  <c r="M21" i="18"/>
  <c r="N21" i="18" s="1"/>
  <c r="C20" i="17"/>
  <c r="D20" i="17" s="1"/>
  <c r="C20" i="16"/>
  <c r="M20" i="16" s="1"/>
  <c r="C20" i="14"/>
  <c r="D20" i="14" s="1"/>
  <c r="C20" i="11"/>
  <c r="D20" i="11" s="1"/>
  <c r="C20" i="10"/>
  <c r="D20" i="10" s="1"/>
  <c r="C20" i="12"/>
  <c r="C20" i="15"/>
  <c r="D20" i="15" s="1"/>
  <c r="C21" i="9"/>
  <c r="D21" i="9" s="1"/>
  <c r="C21" i="8"/>
  <c r="D21" i="7"/>
  <c r="N128" i="18"/>
  <c r="N124" i="18"/>
  <c r="N108" i="18"/>
  <c r="N104" i="18"/>
  <c r="N100" i="18"/>
  <c r="N84" i="18"/>
  <c r="N80" i="18"/>
  <c r="N60" i="18"/>
  <c r="N56" i="18"/>
  <c r="N36" i="18"/>
  <c r="N32" i="18"/>
  <c r="N28" i="18"/>
  <c r="N20" i="18"/>
  <c r="N105" i="18"/>
  <c r="N93" i="18"/>
  <c r="N81" i="18"/>
  <c r="N77" i="18"/>
  <c r="N57" i="18"/>
  <c r="N33" i="18"/>
  <c r="N126" i="18"/>
  <c r="N102" i="18"/>
  <c r="N86" i="18"/>
  <c r="N78" i="18"/>
  <c r="N30" i="18"/>
  <c r="Q30" i="18" s="1"/>
  <c r="N127" i="18"/>
  <c r="N123" i="18"/>
  <c r="N119" i="18"/>
  <c r="N115" i="18"/>
  <c r="N111" i="18"/>
  <c r="N107" i="18"/>
  <c r="N103" i="18"/>
  <c r="N99" i="18"/>
  <c r="N95" i="18"/>
  <c r="N91" i="18"/>
  <c r="N87" i="18"/>
  <c r="N83" i="18"/>
  <c r="N79" i="18"/>
  <c r="N75" i="18"/>
  <c r="N71" i="18"/>
  <c r="N67" i="18"/>
  <c r="N63" i="18"/>
  <c r="N59" i="18"/>
  <c r="N55" i="18"/>
  <c r="N51" i="18"/>
  <c r="N47" i="18"/>
  <c r="Q47" i="18" s="1"/>
  <c r="N43" i="18"/>
  <c r="N39" i="18"/>
  <c r="N31" i="18"/>
  <c r="N27" i="18"/>
  <c r="N23" i="18"/>
  <c r="N19" i="18"/>
  <c r="D126" i="14"/>
  <c r="D117" i="14"/>
  <c r="D114" i="14"/>
  <c r="D108" i="14"/>
  <c r="D102" i="14"/>
  <c r="D99" i="14"/>
  <c r="D93" i="14"/>
  <c r="D90" i="14"/>
  <c r="D84" i="14"/>
  <c r="D107" i="14"/>
  <c r="D101" i="14"/>
  <c r="D95" i="14"/>
  <c r="D127" i="14"/>
  <c r="D124" i="14"/>
  <c r="D121" i="14"/>
  <c r="D118" i="14"/>
  <c r="D91" i="14"/>
  <c r="D70" i="14"/>
  <c r="D58" i="14"/>
  <c r="D55" i="14"/>
  <c r="D49" i="14"/>
  <c r="D46" i="14"/>
  <c r="D34" i="14"/>
  <c r="D25" i="14"/>
  <c r="D22" i="14"/>
  <c r="D106" i="14"/>
  <c r="D94" i="14"/>
  <c r="D86" i="14"/>
  <c r="D66" i="14"/>
  <c r="D60" i="14"/>
  <c r="D54" i="14"/>
  <c r="D51" i="14"/>
  <c r="D42" i="14"/>
  <c r="D36" i="14"/>
  <c r="D21" i="14"/>
  <c r="D18" i="14"/>
  <c r="D82" i="14"/>
  <c r="D74" i="14"/>
  <c r="D62" i="14"/>
  <c r="D50" i="14"/>
  <c r="D38" i="14"/>
  <c r="D35" i="14"/>
  <c r="D26" i="14"/>
  <c r="Q104" i="4"/>
  <c r="Q68" i="4"/>
  <c r="Q63" i="4"/>
  <c r="Q27" i="4"/>
  <c r="K58" i="3"/>
  <c r="M48" i="4"/>
  <c r="Q48" i="4" s="1"/>
  <c r="K62" i="3"/>
  <c r="K81" i="3"/>
  <c r="M66" i="4"/>
  <c r="Q66" i="4" s="1"/>
  <c r="Q40" i="1"/>
  <c r="K119" i="3"/>
  <c r="M118" i="1"/>
  <c r="Q118" i="1" s="1"/>
  <c r="K30" i="3"/>
  <c r="K65" i="3"/>
  <c r="M72" i="4"/>
  <c r="Q72" i="4" s="1"/>
  <c r="I8" i="6"/>
  <c r="J8" i="6" s="1"/>
  <c r="K102" i="3"/>
  <c r="K97" i="3"/>
  <c r="K27" i="3"/>
  <c r="M95" i="1"/>
  <c r="K19" i="3"/>
  <c r="M82" i="1"/>
  <c r="M111" i="1"/>
  <c r="Q111" i="1" s="1"/>
  <c r="M80" i="1"/>
  <c r="Q80" i="1" s="1"/>
  <c r="K69" i="24"/>
  <c r="N69" i="24" s="1"/>
  <c r="M54" i="18"/>
  <c r="N54" i="18" s="1"/>
  <c r="C53" i="17"/>
  <c r="D53" i="17" s="1"/>
  <c r="C53" i="16"/>
  <c r="M53" i="16" s="1"/>
  <c r="D54" i="18"/>
  <c r="C53" i="14"/>
  <c r="D53" i="14" s="1"/>
  <c r="C53" i="15"/>
  <c r="D53" i="15" s="1"/>
  <c r="C53" i="12"/>
  <c r="C53" i="10"/>
  <c r="D53" i="10" s="1"/>
  <c r="C54" i="9"/>
  <c r="D54" i="9" s="1"/>
  <c r="C53" i="11"/>
  <c r="D53" i="11" s="1"/>
  <c r="D54" i="7"/>
  <c r="C54" i="8"/>
  <c r="K103" i="24"/>
  <c r="N103" i="24" s="1"/>
  <c r="I105" i="24"/>
  <c r="J105" i="24" s="1"/>
  <c r="K105" i="24" s="1"/>
  <c r="N105" i="24" s="1"/>
  <c r="I87" i="24"/>
  <c r="J87" i="24" s="1"/>
  <c r="I122" i="24"/>
  <c r="J122" i="24" s="1"/>
  <c r="J129" i="23"/>
  <c r="J15" i="23"/>
  <c r="J130" i="23" s="1"/>
  <c r="Q113" i="4"/>
  <c r="Q41" i="4"/>
  <c r="M112" i="18"/>
  <c r="N112" i="18" s="1"/>
  <c r="D112" i="18"/>
  <c r="C111" i="17"/>
  <c r="D111" i="17" s="1"/>
  <c r="C111" i="15"/>
  <c r="D111" i="15" s="1"/>
  <c r="C111" i="14"/>
  <c r="D111" i="14" s="1"/>
  <c r="C111" i="16"/>
  <c r="M111" i="16" s="1"/>
  <c r="C111" i="11"/>
  <c r="D111" i="11" s="1"/>
  <c r="C112" i="9"/>
  <c r="D112" i="9" s="1"/>
  <c r="C111" i="12"/>
  <c r="C112" i="8"/>
  <c r="D112" i="7"/>
  <c r="C111" i="10"/>
  <c r="D111" i="10" s="1"/>
  <c r="M88" i="18"/>
  <c r="N88" i="18" s="1"/>
  <c r="D88" i="18"/>
  <c r="C87" i="17"/>
  <c r="D87" i="17" s="1"/>
  <c r="C87" i="14"/>
  <c r="D87" i="14" s="1"/>
  <c r="C87" i="16"/>
  <c r="M87" i="16" s="1"/>
  <c r="C87" i="15"/>
  <c r="D87" i="15" s="1"/>
  <c r="C87" i="12"/>
  <c r="C87" i="11"/>
  <c r="D87" i="11" s="1"/>
  <c r="C88" i="8"/>
  <c r="C87" i="10"/>
  <c r="D87" i="10" s="1"/>
  <c r="D88" i="7"/>
  <c r="C88" i="9"/>
  <c r="D88" i="9" s="1"/>
  <c r="M64" i="18"/>
  <c r="N64" i="18" s="1"/>
  <c r="D64" i="18"/>
  <c r="C63" i="17"/>
  <c r="D63" i="17" s="1"/>
  <c r="C63" i="15"/>
  <c r="D63" i="15" s="1"/>
  <c r="C63" i="14"/>
  <c r="D63" i="14" s="1"/>
  <c r="C63" i="16"/>
  <c r="M63" i="16" s="1"/>
  <c r="C63" i="12"/>
  <c r="C63" i="10"/>
  <c r="D63" i="10" s="1"/>
  <c r="C63" i="11"/>
  <c r="D63" i="11" s="1"/>
  <c r="C64" i="9"/>
  <c r="D64" i="9" s="1"/>
  <c r="C64" i="8"/>
  <c r="D64" i="7"/>
  <c r="M40" i="18"/>
  <c r="N40" i="18" s="1"/>
  <c r="D40" i="18"/>
  <c r="C39" i="17"/>
  <c r="D39" i="17" s="1"/>
  <c r="C39" i="15"/>
  <c r="D39" i="15" s="1"/>
  <c r="C39" i="14"/>
  <c r="D39" i="14" s="1"/>
  <c r="C39" i="12"/>
  <c r="C39" i="16"/>
  <c r="M39" i="16" s="1"/>
  <c r="C39" i="11"/>
  <c r="D39" i="11" s="1"/>
  <c r="C39" i="10"/>
  <c r="D39" i="10" s="1"/>
  <c r="C40" i="9"/>
  <c r="D40" i="9" s="1"/>
  <c r="C40" i="8"/>
  <c r="D40" i="7"/>
  <c r="M16" i="18"/>
  <c r="N16" i="18" s="1"/>
  <c r="D16" i="18"/>
  <c r="C15" i="17"/>
  <c r="D15" i="17" s="1"/>
  <c r="C15" i="15"/>
  <c r="D15" i="15" s="1"/>
  <c r="C15" i="14"/>
  <c r="D15" i="14" s="1"/>
  <c r="C15" i="16"/>
  <c r="C15" i="12"/>
  <c r="C15" i="10"/>
  <c r="D15" i="10" s="1"/>
  <c r="C15" i="11"/>
  <c r="D15" i="11" s="1"/>
  <c r="C16" i="9"/>
  <c r="C16" i="8"/>
  <c r="D16" i="7"/>
  <c r="I7" i="3"/>
  <c r="Q42" i="4"/>
  <c r="P125" i="18"/>
  <c r="P121" i="18"/>
  <c r="P117" i="18"/>
  <c r="P113" i="18"/>
  <c r="P109" i="18"/>
  <c r="P105" i="18"/>
  <c r="P101" i="18"/>
  <c r="P97" i="18"/>
  <c r="P93" i="18"/>
  <c r="P89" i="18"/>
  <c r="P85" i="18"/>
  <c r="P81" i="18"/>
  <c r="P77" i="18"/>
  <c r="P73" i="18"/>
  <c r="P69" i="18"/>
  <c r="P65" i="18"/>
  <c r="P61" i="18"/>
  <c r="P57" i="18"/>
  <c r="P53" i="18"/>
  <c r="P49" i="18"/>
  <c r="P45" i="18"/>
  <c r="P41" i="18"/>
  <c r="P37" i="18"/>
  <c r="P33" i="18"/>
  <c r="P29" i="18"/>
  <c r="P25" i="18"/>
  <c r="P21" i="18"/>
  <c r="P17" i="18"/>
  <c r="P126" i="18"/>
  <c r="P122" i="18"/>
  <c r="P118" i="18"/>
  <c r="P114" i="18"/>
  <c r="P110" i="18"/>
  <c r="P106" i="18"/>
  <c r="P102" i="18"/>
  <c r="P98" i="18"/>
  <c r="P94" i="18"/>
  <c r="P90" i="18"/>
  <c r="P86" i="18"/>
  <c r="P82" i="18"/>
  <c r="P78" i="18"/>
  <c r="P74" i="18"/>
  <c r="P70" i="18"/>
  <c r="P66" i="18"/>
  <c r="P62" i="18"/>
  <c r="P58" i="18"/>
  <c r="P54" i="18"/>
  <c r="P50" i="18"/>
  <c r="P46" i="18"/>
  <c r="P42" i="18"/>
  <c r="P38" i="18"/>
  <c r="P34" i="18"/>
  <c r="P30" i="18"/>
  <c r="P26" i="18"/>
  <c r="P22" i="18"/>
  <c r="P18" i="18"/>
  <c r="P127" i="18"/>
  <c r="P123" i="18"/>
  <c r="P119" i="18"/>
  <c r="P115" i="18"/>
  <c r="P111" i="18"/>
  <c r="P107" i="18"/>
  <c r="P103" i="18"/>
  <c r="P99" i="18"/>
  <c r="P95" i="18"/>
  <c r="P91" i="18"/>
  <c r="P87" i="18"/>
  <c r="P83" i="18"/>
  <c r="P79" i="18"/>
  <c r="P75" i="18"/>
  <c r="P71" i="18"/>
  <c r="P67" i="18"/>
  <c r="P63" i="18"/>
  <c r="P59" i="18"/>
  <c r="P55" i="18"/>
  <c r="P51" i="18"/>
  <c r="P47" i="18"/>
  <c r="P43" i="18"/>
  <c r="P39" i="18"/>
  <c r="P35" i="18"/>
  <c r="P31" i="18"/>
  <c r="P27" i="18"/>
  <c r="P23" i="18"/>
  <c r="P19" i="18"/>
  <c r="P104" i="18"/>
  <c r="P56" i="18"/>
  <c r="P100" i="18"/>
  <c r="P52" i="18"/>
  <c r="P96" i="18"/>
  <c r="P48" i="18"/>
  <c r="P92" i="18"/>
  <c r="P44" i="18"/>
  <c r="P88" i="18"/>
  <c r="P40" i="18"/>
  <c r="P84" i="18"/>
  <c r="P36" i="18"/>
  <c r="P128" i="18"/>
  <c r="P80" i="18"/>
  <c r="P32" i="18"/>
  <c r="P124" i="18"/>
  <c r="P76" i="18"/>
  <c r="P28" i="18"/>
  <c r="P120" i="18"/>
  <c r="P72" i="18"/>
  <c r="P24" i="18"/>
  <c r="P116" i="18"/>
  <c r="P68" i="18"/>
  <c r="P20" i="18"/>
  <c r="P112" i="18"/>
  <c r="P64" i="18"/>
  <c r="P16" i="18"/>
  <c r="P108" i="18"/>
  <c r="P60" i="18"/>
  <c r="Q91" i="4"/>
  <c r="Q55" i="4"/>
  <c r="M106" i="18"/>
  <c r="N106" i="18" s="1"/>
  <c r="D106" i="18"/>
  <c r="C105" i="17"/>
  <c r="D105" i="17" s="1"/>
  <c r="C105" i="16"/>
  <c r="M105" i="16" s="1"/>
  <c r="C105" i="15"/>
  <c r="D105" i="15" s="1"/>
  <c r="C105" i="14"/>
  <c r="D105" i="14" s="1"/>
  <c r="C105" i="12"/>
  <c r="C105" i="10"/>
  <c r="D105" i="10" s="1"/>
  <c r="C105" i="11"/>
  <c r="D105" i="11" s="1"/>
  <c r="C106" i="9"/>
  <c r="D106" i="9" s="1"/>
  <c r="C106" i="8"/>
  <c r="D106" i="7"/>
  <c r="M82" i="18"/>
  <c r="N82" i="18" s="1"/>
  <c r="D82" i="18"/>
  <c r="C81" i="17"/>
  <c r="D81" i="17" s="1"/>
  <c r="C81" i="16"/>
  <c r="M81" i="16" s="1"/>
  <c r="C81" i="15"/>
  <c r="D81" i="15" s="1"/>
  <c r="C81" i="14"/>
  <c r="D81" i="14" s="1"/>
  <c r="C81" i="11"/>
  <c r="D81" i="11" s="1"/>
  <c r="C81" i="10"/>
  <c r="D81" i="10" s="1"/>
  <c r="C82" i="9"/>
  <c r="D82" i="9" s="1"/>
  <c r="C81" i="12"/>
  <c r="D82" i="7"/>
  <c r="C82" i="8"/>
  <c r="M58" i="18"/>
  <c r="N58" i="18" s="1"/>
  <c r="C57" i="17"/>
  <c r="D57" i="17" s="1"/>
  <c r="C57" i="16"/>
  <c r="M57" i="16" s="1"/>
  <c r="D58" i="18"/>
  <c r="C57" i="14"/>
  <c r="D57" i="14" s="1"/>
  <c r="C57" i="12"/>
  <c r="C57" i="11"/>
  <c r="D57" i="11" s="1"/>
  <c r="C58" i="9"/>
  <c r="D58" i="9" s="1"/>
  <c r="C57" i="10"/>
  <c r="D57" i="10" s="1"/>
  <c r="C57" i="15"/>
  <c r="D57" i="15" s="1"/>
  <c r="C58" i="8"/>
  <c r="D58" i="7"/>
  <c r="M34" i="18"/>
  <c r="N34" i="18" s="1"/>
  <c r="C33" i="17"/>
  <c r="D33" i="17" s="1"/>
  <c r="D34" i="18"/>
  <c r="C33" i="14"/>
  <c r="D33" i="14" s="1"/>
  <c r="C33" i="16"/>
  <c r="M33" i="16" s="1"/>
  <c r="C33" i="15"/>
  <c r="D33" i="15" s="1"/>
  <c r="C33" i="11"/>
  <c r="D33" i="11" s="1"/>
  <c r="C34" i="9"/>
  <c r="D34" i="9" s="1"/>
  <c r="C33" i="10"/>
  <c r="D33" i="10" s="1"/>
  <c r="C33" i="12"/>
  <c r="D34" i="7"/>
  <c r="C34" i="8"/>
  <c r="O7" i="18"/>
  <c r="K67" i="3"/>
  <c r="K66" i="3"/>
  <c r="Q91" i="1"/>
  <c r="K109" i="3"/>
  <c r="K26" i="3"/>
  <c r="K51" i="3"/>
  <c r="K74" i="3"/>
  <c r="M117" i="1"/>
  <c r="Q117" i="1" s="1"/>
  <c r="H6" i="6"/>
  <c r="Q82" i="1"/>
  <c r="Q58" i="1"/>
  <c r="Q34" i="1"/>
  <c r="K73" i="3"/>
  <c r="K15" i="3"/>
  <c r="M18" i="1"/>
  <c r="Q18" i="1" s="1"/>
  <c r="M87" i="1"/>
  <c r="Q87" i="1" s="1"/>
  <c r="M78" i="1"/>
  <c r="Q78" i="1" s="1"/>
  <c r="I119" i="24"/>
  <c r="J119" i="24" s="1"/>
  <c r="I63" i="24"/>
  <c r="J63" i="24" s="1"/>
  <c r="I128" i="24"/>
  <c r="J128" i="24" s="1"/>
  <c r="I110" i="24"/>
  <c r="J110" i="24" s="1"/>
  <c r="L129" i="23"/>
  <c r="L15" i="23"/>
  <c r="R124" i="22"/>
  <c r="D124" i="22" s="1"/>
  <c r="E124" i="22" s="1"/>
  <c r="R120" i="22"/>
  <c r="D120" i="22" s="1"/>
  <c r="E120" i="22" s="1"/>
  <c r="R116" i="22"/>
  <c r="D116" i="22" s="1"/>
  <c r="E116" i="22" s="1"/>
  <c r="R112" i="22"/>
  <c r="D112" i="22" s="1"/>
  <c r="E112" i="22" s="1"/>
  <c r="R108" i="22"/>
  <c r="D108" i="22" s="1"/>
  <c r="E108" i="22" s="1"/>
  <c r="R104" i="22"/>
  <c r="D104" i="22" s="1"/>
  <c r="E104" i="22" s="1"/>
  <c r="R100" i="22"/>
  <c r="D100" i="22" s="1"/>
  <c r="E100" i="22" s="1"/>
  <c r="R96" i="22"/>
  <c r="D96" i="22" s="1"/>
  <c r="E96" i="22" s="1"/>
  <c r="R92" i="22"/>
  <c r="D92" i="22" s="1"/>
  <c r="E92" i="22" s="1"/>
  <c r="R88" i="22"/>
  <c r="D88" i="22" s="1"/>
  <c r="E88" i="22" s="1"/>
  <c r="R84" i="22"/>
  <c r="D84" i="22" s="1"/>
  <c r="E84" i="22" s="1"/>
  <c r="R80" i="22"/>
  <c r="D80" i="22" s="1"/>
  <c r="E80" i="22" s="1"/>
  <c r="R76" i="22"/>
  <c r="D76" i="22" s="1"/>
  <c r="E76" i="22" s="1"/>
  <c r="R72" i="22"/>
  <c r="D72" i="22" s="1"/>
  <c r="E72" i="22" s="1"/>
  <c r="R68" i="22"/>
  <c r="D68" i="22" s="1"/>
  <c r="E68" i="22" s="1"/>
  <c r="R64" i="22"/>
  <c r="D64" i="22" s="1"/>
  <c r="E64" i="22" s="1"/>
  <c r="R60" i="22"/>
  <c r="D60" i="22" s="1"/>
  <c r="E60" i="22" s="1"/>
  <c r="R56" i="22"/>
  <c r="D56" i="22" s="1"/>
  <c r="E56" i="22" s="1"/>
  <c r="R118" i="22"/>
  <c r="D118" i="22" s="1"/>
  <c r="E118" i="22" s="1"/>
  <c r="R114" i="22"/>
  <c r="D114" i="22" s="1"/>
  <c r="E114" i="22" s="1"/>
  <c r="R110" i="22"/>
  <c r="D110" i="22" s="1"/>
  <c r="E110" i="22" s="1"/>
  <c r="R106" i="22"/>
  <c r="D106" i="22" s="1"/>
  <c r="E106" i="22" s="1"/>
  <c r="R102" i="22"/>
  <c r="D102" i="22" s="1"/>
  <c r="E102" i="22" s="1"/>
  <c r="R98" i="22"/>
  <c r="D98" i="22" s="1"/>
  <c r="E98" i="22" s="1"/>
  <c r="R94" i="22"/>
  <c r="D94" i="22" s="1"/>
  <c r="E94" i="22" s="1"/>
  <c r="R90" i="22"/>
  <c r="D90" i="22" s="1"/>
  <c r="E90" i="22" s="1"/>
  <c r="R86" i="22"/>
  <c r="D86" i="22" s="1"/>
  <c r="E86" i="22" s="1"/>
  <c r="R82" i="22"/>
  <c r="D82" i="22" s="1"/>
  <c r="E82" i="22" s="1"/>
  <c r="R78" i="22"/>
  <c r="D78" i="22" s="1"/>
  <c r="E78" i="22" s="1"/>
  <c r="R74" i="22"/>
  <c r="D74" i="22" s="1"/>
  <c r="E74" i="22" s="1"/>
  <c r="R70" i="22"/>
  <c r="D70" i="22" s="1"/>
  <c r="E70" i="22" s="1"/>
  <c r="R66" i="22"/>
  <c r="D66" i="22" s="1"/>
  <c r="E66" i="22" s="1"/>
  <c r="R62" i="22"/>
  <c r="D62" i="22" s="1"/>
  <c r="E62" i="22" s="1"/>
  <c r="R58" i="22"/>
  <c r="D58" i="22" s="1"/>
  <c r="E58" i="22" s="1"/>
  <c r="R115" i="22"/>
  <c r="D115" i="22" s="1"/>
  <c r="E115" i="22" s="1"/>
  <c r="R107" i="22"/>
  <c r="D107" i="22" s="1"/>
  <c r="E107" i="22" s="1"/>
  <c r="R91" i="22"/>
  <c r="D91" i="22" s="1"/>
  <c r="E91" i="22" s="1"/>
  <c r="R75" i="22"/>
  <c r="D75" i="22" s="1"/>
  <c r="E75" i="22" s="1"/>
  <c r="R59" i="22"/>
  <c r="D59" i="22" s="1"/>
  <c r="E59" i="22" s="1"/>
  <c r="R117" i="22"/>
  <c r="D117" i="22" s="1"/>
  <c r="E117" i="22" s="1"/>
  <c r="R111" i="22"/>
  <c r="D111" i="22" s="1"/>
  <c r="E111" i="22" s="1"/>
  <c r="R97" i="22"/>
  <c r="D97" i="22" s="1"/>
  <c r="E97" i="22" s="1"/>
  <c r="R81" i="22"/>
  <c r="D81" i="22" s="1"/>
  <c r="E81" i="22" s="1"/>
  <c r="R65" i="22"/>
  <c r="D65" i="22" s="1"/>
  <c r="E65" i="22" s="1"/>
  <c r="R103" i="22"/>
  <c r="D103" i="22" s="1"/>
  <c r="E103" i="22" s="1"/>
  <c r="R87" i="22"/>
  <c r="D87" i="22" s="1"/>
  <c r="E87" i="22" s="1"/>
  <c r="R71" i="22"/>
  <c r="D71" i="22" s="1"/>
  <c r="E71" i="22" s="1"/>
  <c r="R105" i="22"/>
  <c r="D105" i="22" s="1"/>
  <c r="E105" i="22" s="1"/>
  <c r="R89" i="22"/>
  <c r="D89" i="22" s="1"/>
  <c r="E89" i="22" s="1"/>
  <c r="R73" i="22"/>
  <c r="D73" i="22" s="1"/>
  <c r="E73" i="22" s="1"/>
  <c r="R57" i="22"/>
  <c r="D57" i="22" s="1"/>
  <c r="E57" i="22" s="1"/>
  <c r="R55" i="22"/>
  <c r="D55" i="22" s="1"/>
  <c r="E55" i="22" s="1"/>
  <c r="R93" i="22"/>
  <c r="D93" i="22" s="1"/>
  <c r="E93" i="22" s="1"/>
  <c r="R79" i="22"/>
  <c r="D79" i="22" s="1"/>
  <c r="E79" i="22" s="1"/>
  <c r="R122" i="22"/>
  <c r="D122" i="22" s="1"/>
  <c r="E122" i="22" s="1"/>
  <c r="R99" i="22"/>
  <c r="D99" i="22" s="1"/>
  <c r="E99" i="22" s="1"/>
  <c r="R29" i="22"/>
  <c r="D29" i="22" s="1"/>
  <c r="E29" i="22" s="1"/>
  <c r="R28" i="22"/>
  <c r="D28" i="22" s="1"/>
  <c r="E28" i="22" s="1"/>
  <c r="R21" i="22"/>
  <c r="D21" i="22" s="1"/>
  <c r="E21" i="22" s="1"/>
  <c r="R17" i="22"/>
  <c r="D17" i="22" s="1"/>
  <c r="E17" i="22" s="1"/>
  <c r="R13" i="22"/>
  <c r="D13" i="22" s="1"/>
  <c r="E13" i="22" s="1"/>
  <c r="R85" i="22"/>
  <c r="D85" i="22" s="1"/>
  <c r="E85" i="22" s="1"/>
  <c r="R52" i="22"/>
  <c r="D52" i="22" s="1"/>
  <c r="E52" i="22" s="1"/>
  <c r="R51" i="22"/>
  <c r="D51" i="22" s="1"/>
  <c r="E51" i="22" s="1"/>
  <c r="R50" i="22"/>
  <c r="D50" i="22" s="1"/>
  <c r="E50" i="22" s="1"/>
  <c r="R27" i="22"/>
  <c r="D27" i="22" s="1"/>
  <c r="E27" i="22" s="1"/>
  <c r="R26" i="22"/>
  <c r="D26" i="22" s="1"/>
  <c r="E26" i="22" s="1"/>
  <c r="R77" i="22"/>
  <c r="D77" i="22" s="1"/>
  <c r="E77" i="22" s="1"/>
  <c r="R54" i="22"/>
  <c r="D54" i="22" s="1"/>
  <c r="E54" i="22" s="1"/>
  <c r="R53" i="22"/>
  <c r="D53" i="22" s="1"/>
  <c r="E53" i="22" s="1"/>
  <c r="R113" i="22"/>
  <c r="D113" i="22" s="1"/>
  <c r="E113" i="22" s="1"/>
  <c r="R63" i="22"/>
  <c r="D63" i="22" s="1"/>
  <c r="E63" i="22" s="1"/>
  <c r="R83" i="22"/>
  <c r="D83" i="22" s="1"/>
  <c r="E83" i="22" s="1"/>
  <c r="R45" i="22"/>
  <c r="D45" i="22" s="1"/>
  <c r="E45" i="22" s="1"/>
  <c r="R44" i="22"/>
  <c r="D44" i="22" s="1"/>
  <c r="E44" i="22" s="1"/>
  <c r="R69" i="22"/>
  <c r="D69" i="22" s="1"/>
  <c r="E69" i="22" s="1"/>
  <c r="R123" i="22"/>
  <c r="D123" i="22" s="1"/>
  <c r="E123" i="22" s="1"/>
  <c r="R109" i="22"/>
  <c r="D109" i="22" s="1"/>
  <c r="E109" i="22" s="1"/>
  <c r="R61" i="22"/>
  <c r="D61" i="22" s="1"/>
  <c r="E61" i="22" s="1"/>
  <c r="R41" i="22"/>
  <c r="D41" i="22" s="1"/>
  <c r="E41" i="22" s="1"/>
  <c r="R40" i="22"/>
  <c r="D40" i="22" s="1"/>
  <c r="E40" i="22" s="1"/>
  <c r="R23" i="22"/>
  <c r="D23" i="22" s="1"/>
  <c r="E23" i="22" s="1"/>
  <c r="R19" i="22"/>
  <c r="D19" i="22" s="1"/>
  <c r="E19" i="22" s="1"/>
  <c r="R15" i="22"/>
  <c r="D15" i="22" s="1"/>
  <c r="E15" i="22" s="1"/>
  <c r="R121" i="22"/>
  <c r="D121" i="22" s="1"/>
  <c r="E121" i="22" s="1"/>
  <c r="R95" i="22"/>
  <c r="D95" i="22" s="1"/>
  <c r="E95" i="22" s="1"/>
  <c r="R39" i="22"/>
  <c r="D39" i="22" s="1"/>
  <c r="E39" i="22" s="1"/>
  <c r="R38" i="22"/>
  <c r="D38" i="22" s="1"/>
  <c r="E38" i="22" s="1"/>
  <c r="R67" i="22"/>
  <c r="D67" i="22" s="1"/>
  <c r="E67" i="22" s="1"/>
  <c r="R48" i="22"/>
  <c r="D48" i="22" s="1"/>
  <c r="E48" i="22" s="1"/>
  <c r="R34" i="22"/>
  <c r="D34" i="22" s="1"/>
  <c r="E34" i="22" s="1"/>
  <c r="R12" i="22"/>
  <c r="D12" i="22" s="1"/>
  <c r="R119" i="22"/>
  <c r="D119" i="22" s="1"/>
  <c r="E119" i="22" s="1"/>
  <c r="R42" i="22"/>
  <c r="D42" i="22" s="1"/>
  <c r="E42" i="22" s="1"/>
  <c r="R32" i="22"/>
  <c r="D32" i="22" s="1"/>
  <c r="E32" i="22" s="1"/>
  <c r="R47" i="22"/>
  <c r="D47" i="22" s="1"/>
  <c r="E47" i="22" s="1"/>
  <c r="R37" i="22"/>
  <c r="D37" i="22" s="1"/>
  <c r="E37" i="22" s="1"/>
  <c r="R35" i="22"/>
  <c r="D35" i="22" s="1"/>
  <c r="E35" i="22" s="1"/>
  <c r="R24" i="22"/>
  <c r="D24" i="22" s="1"/>
  <c r="E24" i="22" s="1"/>
  <c r="R30" i="22"/>
  <c r="D30" i="22" s="1"/>
  <c r="E30" i="22" s="1"/>
  <c r="R101" i="22"/>
  <c r="D101" i="22" s="1"/>
  <c r="E101" i="22" s="1"/>
  <c r="R49" i="22"/>
  <c r="D49" i="22" s="1"/>
  <c r="E49" i="22" s="1"/>
  <c r="R43" i="22"/>
  <c r="D43" i="22" s="1"/>
  <c r="E43" i="22" s="1"/>
  <c r="R25" i="22"/>
  <c r="D25" i="22" s="1"/>
  <c r="E25" i="22" s="1"/>
  <c r="R16" i="22"/>
  <c r="D16" i="22" s="1"/>
  <c r="E16" i="22" s="1"/>
  <c r="R18" i="22"/>
  <c r="D18" i="22" s="1"/>
  <c r="E18" i="22" s="1"/>
  <c r="R33" i="22"/>
  <c r="D33" i="22" s="1"/>
  <c r="E33" i="22" s="1"/>
  <c r="R20" i="22"/>
  <c r="D20" i="22" s="1"/>
  <c r="E20" i="22" s="1"/>
  <c r="R36" i="22"/>
  <c r="D36" i="22" s="1"/>
  <c r="E36" i="22" s="1"/>
  <c r="R14" i="22"/>
  <c r="D14" i="22" s="1"/>
  <c r="E14" i="22" s="1"/>
  <c r="R31" i="22"/>
  <c r="D31" i="22" s="1"/>
  <c r="E31" i="22" s="1"/>
  <c r="R22" i="22"/>
  <c r="D22" i="22" s="1"/>
  <c r="E22" i="22" s="1"/>
  <c r="R46" i="22"/>
  <c r="D46" i="22" s="1"/>
  <c r="E46" i="22" s="1"/>
  <c r="M113" i="18"/>
  <c r="N113" i="18" s="1"/>
  <c r="D113" i="18"/>
  <c r="C112" i="17"/>
  <c r="D112" i="17" s="1"/>
  <c r="C112" i="16"/>
  <c r="M112" i="16" s="1"/>
  <c r="C112" i="15"/>
  <c r="D112" i="15" s="1"/>
  <c r="C112" i="14"/>
  <c r="D112" i="14" s="1"/>
  <c r="C112" i="12"/>
  <c r="C112" i="11"/>
  <c r="D112" i="11" s="1"/>
  <c r="C112" i="10"/>
  <c r="D112" i="10" s="1"/>
  <c r="D113" i="7"/>
  <c r="C113" i="9"/>
  <c r="D113" i="9" s="1"/>
  <c r="C113" i="8"/>
  <c r="M89" i="18"/>
  <c r="N89" i="18" s="1"/>
  <c r="D89" i="18"/>
  <c r="C88" i="17"/>
  <c r="D88" i="17" s="1"/>
  <c r="C88" i="16"/>
  <c r="M88" i="16" s="1"/>
  <c r="C88" i="14"/>
  <c r="D88" i="14" s="1"/>
  <c r="C88" i="11"/>
  <c r="D88" i="11" s="1"/>
  <c r="C88" i="15"/>
  <c r="D88" i="15" s="1"/>
  <c r="C88" i="10"/>
  <c r="D88" i="10" s="1"/>
  <c r="C88" i="12"/>
  <c r="C89" i="9"/>
  <c r="D89" i="9" s="1"/>
  <c r="D89" i="7"/>
  <c r="C89" i="8"/>
  <c r="M65" i="18"/>
  <c r="N65" i="18" s="1"/>
  <c r="D65" i="18"/>
  <c r="C64" i="17"/>
  <c r="D64" i="17" s="1"/>
  <c r="C64" i="16"/>
  <c r="M64" i="16" s="1"/>
  <c r="C64" i="14"/>
  <c r="D64" i="14" s="1"/>
  <c r="C64" i="15"/>
  <c r="D64" i="15" s="1"/>
  <c r="C64" i="11"/>
  <c r="D64" i="11" s="1"/>
  <c r="C64" i="12"/>
  <c r="C64" i="10"/>
  <c r="D64" i="10" s="1"/>
  <c r="C65" i="9"/>
  <c r="D65" i="9" s="1"/>
  <c r="C65" i="8"/>
  <c r="D65" i="7"/>
  <c r="M41" i="18"/>
  <c r="N41" i="18" s="1"/>
  <c r="D41" i="18"/>
  <c r="C40" i="17"/>
  <c r="D40" i="17" s="1"/>
  <c r="C40" i="16"/>
  <c r="M40" i="16" s="1"/>
  <c r="C40" i="15"/>
  <c r="D40" i="15" s="1"/>
  <c r="C40" i="11"/>
  <c r="D40" i="11" s="1"/>
  <c r="C40" i="10"/>
  <c r="D40" i="10" s="1"/>
  <c r="C40" i="12"/>
  <c r="C41" i="9"/>
  <c r="D41" i="9" s="1"/>
  <c r="C40" i="14"/>
  <c r="D40" i="14" s="1"/>
  <c r="C41" i="8"/>
  <c r="D41" i="7"/>
  <c r="C16" i="17"/>
  <c r="D16" i="17" s="1"/>
  <c r="C16" i="16"/>
  <c r="M16" i="16" s="1"/>
  <c r="C16" i="15"/>
  <c r="D16" i="15" s="1"/>
  <c r="D17" i="18"/>
  <c r="C16" i="11"/>
  <c r="D16" i="11" s="1"/>
  <c r="M17" i="18"/>
  <c r="N17" i="18" s="1"/>
  <c r="C16" i="10"/>
  <c r="D16" i="10" s="1"/>
  <c r="C16" i="12"/>
  <c r="C17" i="9"/>
  <c r="D17" i="9" s="1"/>
  <c r="C17" i="8"/>
  <c r="C16" i="14"/>
  <c r="D16" i="14" s="1"/>
  <c r="D17" i="7"/>
  <c r="Q98" i="4"/>
  <c r="Q93" i="4"/>
  <c r="Q57" i="4"/>
  <c r="Q21" i="4"/>
  <c r="M111" i="4"/>
  <c r="Q111" i="4" s="1"/>
  <c r="M116" i="1"/>
  <c r="Q116" i="1" s="1"/>
  <c r="M103" i="1"/>
  <c r="Q103" i="1" s="1"/>
  <c r="M96" i="1"/>
  <c r="Q96" i="1" s="1"/>
  <c r="M83" i="1"/>
  <c r="Q83" i="1" s="1"/>
  <c r="M79" i="1"/>
  <c r="Q79" i="1" s="1"/>
  <c r="M75" i="1"/>
  <c r="Q75" i="1" s="1"/>
  <c r="M71" i="1"/>
  <c r="Q71" i="1" s="1"/>
  <c r="M67" i="1"/>
  <c r="Q67" i="1" s="1"/>
  <c r="M63" i="1"/>
  <c r="Q63" i="1" s="1"/>
  <c r="M59" i="1"/>
  <c r="Q59" i="1" s="1"/>
  <c r="M55" i="1"/>
  <c r="Q55" i="1" s="1"/>
  <c r="M51" i="1"/>
  <c r="Q51" i="1" s="1"/>
  <c r="M47" i="1"/>
  <c r="Q47" i="1" s="1"/>
  <c r="M43" i="1"/>
  <c r="Q43" i="1" s="1"/>
  <c r="M39" i="1"/>
  <c r="Q39" i="1" s="1"/>
  <c r="M35" i="1"/>
  <c r="Q35" i="1" s="1"/>
  <c r="M31" i="1"/>
  <c r="Q31" i="1" s="1"/>
  <c r="M27" i="1"/>
  <c r="Q27" i="1" s="1"/>
  <c r="M23" i="1"/>
  <c r="Q23" i="1" s="1"/>
  <c r="M19" i="1"/>
  <c r="Q19" i="1" s="1"/>
  <c r="M119" i="1"/>
  <c r="Q119" i="1" s="1"/>
  <c r="M112" i="1"/>
  <c r="Q112" i="1" s="1"/>
  <c r="M98" i="1"/>
  <c r="M77" i="1"/>
  <c r="Q77" i="1" s="1"/>
  <c r="M49" i="1"/>
  <c r="Q49" i="1" s="1"/>
  <c r="M73" i="1"/>
  <c r="Q73" i="1" s="1"/>
  <c r="M69" i="1"/>
  <c r="Q69" i="1" s="1"/>
  <c r="M65" i="1"/>
  <c r="Q65" i="1" s="1"/>
  <c r="M45" i="1"/>
  <c r="Q45" i="1" s="1"/>
  <c r="M41" i="1"/>
  <c r="Q41" i="1" s="1"/>
  <c r="M33" i="1"/>
  <c r="Q33" i="1" s="1"/>
  <c r="M25" i="1"/>
  <c r="Q25" i="1" s="1"/>
  <c r="M17" i="1"/>
  <c r="Q17" i="1" s="1"/>
  <c r="M108" i="1"/>
  <c r="Q108" i="1" s="1"/>
  <c r="M85" i="1"/>
  <c r="Q85" i="1" s="1"/>
  <c r="M29" i="1"/>
  <c r="Q29" i="1" s="1"/>
  <c r="M57" i="1"/>
  <c r="Q57" i="1" s="1"/>
  <c r="M53" i="1"/>
  <c r="Q53" i="1" s="1"/>
  <c r="M21" i="1"/>
  <c r="Q21" i="1" s="1"/>
  <c r="M128" i="1"/>
  <c r="Q128" i="1" s="1"/>
  <c r="M81" i="1"/>
  <c r="Q81" i="1" s="1"/>
  <c r="M61" i="1"/>
  <c r="Q61" i="1" s="1"/>
  <c r="M37" i="1"/>
  <c r="Q37" i="1" s="1"/>
  <c r="M97" i="1"/>
  <c r="Q97" i="1" s="1"/>
  <c r="M94" i="1"/>
  <c r="Q94" i="1" s="1"/>
  <c r="M124" i="1"/>
  <c r="Q124" i="1" s="1"/>
  <c r="M107" i="1"/>
  <c r="Q107" i="1" s="1"/>
  <c r="M104" i="1"/>
  <c r="Q104" i="1" s="1"/>
  <c r="M99" i="1"/>
  <c r="Q99" i="1" s="1"/>
  <c r="M123" i="1"/>
  <c r="Q123" i="1" s="1"/>
  <c r="M120" i="1"/>
  <c r="Q120" i="1" s="1"/>
  <c r="M43" i="4"/>
  <c r="Q43" i="4" s="1"/>
  <c r="Q84" i="1"/>
  <c r="Q95" i="1"/>
  <c r="Q98" i="1"/>
  <c r="Q121" i="1"/>
  <c r="K95" i="3"/>
  <c r="K118" i="3"/>
  <c r="K22" i="3"/>
  <c r="M97" i="4"/>
  <c r="Q97" i="4" s="1"/>
  <c r="M49" i="4"/>
  <c r="Q49" i="4" s="1"/>
  <c r="K78" i="3"/>
  <c r="K59" i="3"/>
  <c r="M102" i="1"/>
  <c r="Q102" i="1" s="1"/>
  <c r="M38" i="1"/>
  <c r="Q38" i="1" s="1"/>
  <c r="M74" i="1"/>
  <c r="Q74" i="1" s="1"/>
  <c r="M60" i="1"/>
  <c r="Q60" i="1" s="1"/>
  <c r="K35" i="3"/>
  <c r="M32" i="1"/>
  <c r="Q32" i="1" s="1"/>
  <c r="K62" i="24" l="1"/>
  <c r="N62" i="24" s="1"/>
  <c r="D27" i="9"/>
  <c r="D20" i="9"/>
  <c r="K109" i="24"/>
  <c r="N109" i="24" s="1"/>
  <c r="K71" i="24"/>
  <c r="N71" i="24" s="1"/>
  <c r="K118" i="24"/>
  <c r="N118" i="24" s="1"/>
  <c r="K38" i="24"/>
  <c r="N38" i="24" s="1"/>
  <c r="I15" i="9"/>
  <c r="K45" i="24"/>
  <c r="N45" i="24" s="1"/>
  <c r="K67" i="24"/>
  <c r="N67" i="24" s="1"/>
  <c r="K23" i="24"/>
  <c r="N23" i="24" s="1"/>
  <c r="K41" i="24"/>
  <c r="N41" i="24" s="1"/>
  <c r="K28" i="24"/>
  <c r="N28" i="24" s="1"/>
  <c r="D59" i="9"/>
  <c r="D63" i="9"/>
  <c r="C1503" i="20"/>
  <c r="J1503" i="20" s="1"/>
  <c r="D109" i="9"/>
  <c r="D23" i="9"/>
  <c r="D87" i="9"/>
  <c r="D75" i="9"/>
  <c r="K26" i="24"/>
  <c r="N26" i="24" s="1"/>
  <c r="D19" i="9"/>
  <c r="D39" i="9"/>
  <c r="I129" i="9"/>
  <c r="D43" i="9"/>
  <c r="D51" i="9"/>
  <c r="D99" i="9"/>
  <c r="D60" i="9"/>
  <c r="D67" i="9"/>
  <c r="D95" i="9"/>
  <c r="D127" i="9"/>
  <c r="D122" i="9"/>
  <c r="D31" i="9"/>
  <c r="D56" i="9"/>
  <c r="D83" i="9"/>
  <c r="D115" i="9"/>
  <c r="D128" i="9"/>
  <c r="D37" i="9"/>
  <c r="D111" i="9"/>
  <c r="D119" i="9"/>
  <c r="D85" i="9"/>
  <c r="D107" i="9"/>
  <c r="D78" i="9"/>
  <c r="D91" i="9"/>
  <c r="D123" i="9"/>
  <c r="D94" i="9"/>
  <c r="D47" i="9"/>
  <c r="D103" i="9"/>
  <c r="D46" i="9"/>
  <c r="D28" i="9"/>
  <c r="O74" i="3"/>
  <c r="O50" i="3"/>
  <c r="O62" i="3"/>
  <c r="Q44" i="18"/>
  <c r="Q92" i="18"/>
  <c r="Q64" i="18"/>
  <c r="C618" i="20"/>
  <c r="C1488" i="20"/>
  <c r="C783" i="20"/>
  <c r="K783" i="20" s="1"/>
  <c r="K120" i="24"/>
  <c r="N120" i="24" s="1"/>
  <c r="K44" i="24"/>
  <c r="N44" i="24" s="1"/>
  <c r="K59" i="24"/>
  <c r="N59" i="24" s="1"/>
  <c r="K34" i="24"/>
  <c r="N34" i="24" s="1"/>
  <c r="K79" i="24"/>
  <c r="N79" i="24" s="1"/>
  <c r="K48" i="24"/>
  <c r="N48" i="24" s="1"/>
  <c r="K93" i="24"/>
  <c r="N93" i="24" s="1"/>
  <c r="K128" i="24"/>
  <c r="N128" i="24" s="1"/>
  <c r="K115" i="24"/>
  <c r="N115" i="24" s="1"/>
  <c r="K64" i="24"/>
  <c r="N64" i="24" s="1"/>
  <c r="K40" i="24"/>
  <c r="N40" i="24" s="1"/>
  <c r="K63" i="24"/>
  <c r="N63" i="24" s="1"/>
  <c r="K66" i="24"/>
  <c r="N66" i="24" s="1"/>
  <c r="K119" i="24"/>
  <c r="N119" i="24" s="1"/>
  <c r="K122" i="24"/>
  <c r="N122" i="24" s="1"/>
  <c r="K42" i="24"/>
  <c r="N42" i="24" s="1"/>
  <c r="K110" i="24"/>
  <c r="N110" i="24" s="1"/>
  <c r="K52" i="24"/>
  <c r="N52" i="24" s="1"/>
  <c r="C1128" i="20"/>
  <c r="I1128" i="20" s="1"/>
  <c r="W77" i="27"/>
  <c r="K73" i="24"/>
  <c r="N73" i="24" s="1"/>
  <c r="K30" i="24"/>
  <c r="N30" i="24" s="1"/>
  <c r="K83" i="24"/>
  <c r="N83" i="24" s="1"/>
  <c r="K21" i="24"/>
  <c r="N21" i="24" s="1"/>
  <c r="K94" i="24"/>
  <c r="N94" i="24" s="1"/>
  <c r="K33" i="24"/>
  <c r="N33" i="24" s="1"/>
  <c r="K17" i="24"/>
  <c r="N17" i="24" s="1"/>
  <c r="K111" i="24"/>
  <c r="N111" i="24" s="1"/>
  <c r="K20" i="24"/>
  <c r="N20" i="24" s="1"/>
  <c r="K49" i="24"/>
  <c r="N49" i="24" s="1"/>
  <c r="K102" i="24"/>
  <c r="N102" i="24" s="1"/>
  <c r="K96" i="24"/>
  <c r="N96" i="24" s="1"/>
  <c r="K61" i="24"/>
  <c r="N61" i="24" s="1"/>
  <c r="K112" i="24"/>
  <c r="N112" i="24" s="1"/>
  <c r="K91" i="24"/>
  <c r="N91" i="24" s="1"/>
  <c r="K82" i="24"/>
  <c r="N82" i="24" s="1"/>
  <c r="K124" i="24"/>
  <c r="N124" i="24" s="1"/>
  <c r="K80" i="24"/>
  <c r="N80" i="24" s="1"/>
  <c r="K87" i="24"/>
  <c r="N87" i="24" s="1"/>
  <c r="K116" i="24"/>
  <c r="N116" i="24" s="1"/>
  <c r="K114" i="24"/>
  <c r="N114" i="24" s="1"/>
  <c r="K27" i="24"/>
  <c r="N27" i="24" s="1"/>
  <c r="K47" i="24"/>
  <c r="N47" i="24" s="1"/>
  <c r="K99" i="24"/>
  <c r="N99" i="24" s="1"/>
  <c r="O55" i="3"/>
  <c r="O10" i="3"/>
  <c r="O86" i="3"/>
  <c r="O114" i="3"/>
  <c r="O111" i="3"/>
  <c r="O35" i="3"/>
  <c r="O93" i="3"/>
  <c r="O21" i="3"/>
  <c r="O28" i="3"/>
  <c r="O23" i="3"/>
  <c r="O15" i="3"/>
  <c r="O73" i="3"/>
  <c r="O99" i="3"/>
  <c r="O41" i="3"/>
  <c r="O34" i="3"/>
  <c r="O83" i="3"/>
  <c r="O11" i="3"/>
  <c r="O89" i="3"/>
  <c r="O90" i="3"/>
  <c r="O110" i="3"/>
  <c r="O26" i="3"/>
  <c r="O78" i="3"/>
  <c r="O91" i="3"/>
  <c r="O104" i="3"/>
  <c r="O94" i="3"/>
  <c r="O105" i="3"/>
  <c r="O59" i="3"/>
  <c r="O17" i="3"/>
  <c r="O67" i="3"/>
  <c r="O12" i="3"/>
  <c r="O97" i="3"/>
  <c r="O18" i="3"/>
  <c r="O45" i="3"/>
  <c r="O68" i="3"/>
  <c r="O29" i="3"/>
  <c r="O63" i="3"/>
  <c r="O107" i="3"/>
  <c r="O47" i="3"/>
  <c r="O42" i="3"/>
  <c r="O115" i="3"/>
  <c r="O82" i="3"/>
  <c r="O85" i="3"/>
  <c r="O31" i="3"/>
  <c r="O72" i="3"/>
  <c r="O87" i="3"/>
  <c r="O19" i="3"/>
  <c r="O39" i="3"/>
  <c r="L7" i="3"/>
  <c r="O106" i="3"/>
  <c r="O52" i="3"/>
  <c r="O27" i="3"/>
  <c r="O77" i="3"/>
  <c r="O76" i="3"/>
  <c r="O33" i="3"/>
  <c r="O102" i="3"/>
  <c r="O48" i="3"/>
  <c r="O49" i="3"/>
  <c r="O120" i="3"/>
  <c r="O61" i="3"/>
  <c r="O79" i="3"/>
  <c r="O8" i="3"/>
  <c r="O98" i="3"/>
  <c r="O119" i="3"/>
  <c r="O75" i="3"/>
  <c r="O43" i="3"/>
  <c r="O103" i="3"/>
  <c r="O70" i="3"/>
  <c r="O32" i="3"/>
  <c r="O118" i="3"/>
  <c r="O58" i="3"/>
  <c r="O38" i="3"/>
  <c r="O64" i="3"/>
  <c r="O40" i="3"/>
  <c r="O113" i="3"/>
  <c r="O117" i="3"/>
  <c r="O95" i="3"/>
  <c r="O66" i="3"/>
  <c r="O54" i="3"/>
  <c r="O69" i="3"/>
  <c r="O60" i="3"/>
  <c r="O13" i="3"/>
  <c r="K100" i="24"/>
  <c r="N100" i="24" s="1"/>
  <c r="Q58" i="18"/>
  <c r="Q106" i="18"/>
  <c r="C257" i="20"/>
  <c r="H257" i="20" s="1"/>
  <c r="Y17" i="27"/>
  <c r="C1098" i="20"/>
  <c r="F1098" i="20" s="1"/>
  <c r="W73" i="27"/>
  <c r="K74" i="24"/>
  <c r="N74" i="24" s="1"/>
  <c r="C678" i="20"/>
  <c r="M678" i="20" s="1"/>
  <c r="W45" i="27"/>
  <c r="O56" i="3"/>
  <c r="K75" i="24"/>
  <c r="N75" i="24" s="1"/>
  <c r="C512" i="20"/>
  <c r="D512" i="20" s="1"/>
  <c r="Y34" i="27"/>
  <c r="W99" i="27"/>
  <c r="Q118" i="18"/>
  <c r="K57" i="24"/>
  <c r="N57" i="24" s="1"/>
  <c r="Q61" i="18"/>
  <c r="Q109" i="18"/>
  <c r="K43" i="24"/>
  <c r="N43" i="24" s="1"/>
  <c r="C767" i="20"/>
  <c r="D767" i="20" s="1"/>
  <c r="Y51" i="27"/>
  <c r="C903" i="20"/>
  <c r="H903" i="20" s="1"/>
  <c r="W60" i="27"/>
  <c r="K90" i="24"/>
  <c r="N90" i="24" s="1"/>
  <c r="O57" i="3"/>
  <c r="K53" i="24"/>
  <c r="N53" i="24" s="1"/>
  <c r="Q41" i="18"/>
  <c r="Q89" i="18"/>
  <c r="Q95" i="18"/>
  <c r="K77" i="24"/>
  <c r="N77" i="24" s="1"/>
  <c r="K54" i="24"/>
  <c r="N54" i="24" s="1"/>
  <c r="D130" i="23"/>
  <c r="K29" i="24"/>
  <c r="N29" i="24" s="1"/>
  <c r="K95" i="24"/>
  <c r="N95" i="24" s="1"/>
  <c r="O16" i="3"/>
  <c r="K107" i="24"/>
  <c r="N107" i="24" s="1"/>
  <c r="C467" i="20"/>
  <c r="F467" i="20" s="1"/>
  <c r="Y31" i="27"/>
  <c r="C1187" i="20"/>
  <c r="L1187" i="20" s="1"/>
  <c r="Y79" i="27"/>
  <c r="O24" i="3"/>
  <c r="C408" i="20"/>
  <c r="F408" i="20" s="1"/>
  <c r="W27" i="27"/>
  <c r="C948" i="20"/>
  <c r="E948" i="20" s="1"/>
  <c r="W63" i="27"/>
  <c r="K36" i="24"/>
  <c r="N36" i="24" s="1"/>
  <c r="K104" i="24"/>
  <c r="N104" i="24" s="1"/>
  <c r="K88" i="24"/>
  <c r="N88" i="24" s="1"/>
  <c r="E15" i="24"/>
  <c r="O101" i="3"/>
  <c r="O80" i="3"/>
  <c r="O20" i="3"/>
  <c r="O37" i="3"/>
  <c r="O30" i="3"/>
  <c r="M7" i="3"/>
  <c r="O65" i="3"/>
  <c r="O46" i="3"/>
  <c r="O44" i="3"/>
  <c r="O53" i="3"/>
  <c r="O22" i="3"/>
  <c r="O14" i="3"/>
  <c r="O112" i="3"/>
  <c r="O84" i="3"/>
  <c r="O51" i="3"/>
  <c r="O88" i="3"/>
  <c r="O96" i="3"/>
  <c r="O9" i="3"/>
  <c r="O108" i="3"/>
  <c r="O109" i="3"/>
  <c r="O81" i="3"/>
  <c r="O25" i="3"/>
  <c r="O92" i="3"/>
  <c r="O116" i="3"/>
  <c r="O100" i="3"/>
  <c r="O36" i="3"/>
  <c r="Q40" i="18"/>
  <c r="Q88" i="18"/>
  <c r="Q108" i="18"/>
  <c r="Q25" i="18"/>
  <c r="Q49" i="18"/>
  <c r="Q73" i="18"/>
  <c r="Q97" i="18"/>
  <c r="Q121" i="18"/>
  <c r="K25" i="24"/>
  <c r="N25" i="24" s="1"/>
  <c r="Q19" i="18"/>
  <c r="Q67" i="18"/>
  <c r="Q115" i="18"/>
  <c r="Q70" i="18"/>
  <c r="Q33" i="18"/>
  <c r="Q60" i="18"/>
  <c r="K60" i="24"/>
  <c r="N60" i="24" s="1"/>
  <c r="Q26" i="18"/>
  <c r="Q50" i="18"/>
  <c r="Q74" i="18"/>
  <c r="Q98" i="18"/>
  <c r="Q122" i="18"/>
  <c r="Q34" i="18"/>
  <c r="Q82" i="18"/>
  <c r="Q78" i="18"/>
  <c r="K85" i="24"/>
  <c r="N85" i="24" s="1"/>
  <c r="Q65" i="18"/>
  <c r="Q113" i="18"/>
  <c r="G130" i="23"/>
  <c r="K108" i="24"/>
  <c r="N108" i="24" s="1"/>
  <c r="K106" i="24"/>
  <c r="N106" i="24" s="1"/>
  <c r="K55" i="24"/>
  <c r="N55" i="24" s="1"/>
  <c r="Q53" i="18"/>
  <c r="K130" i="23"/>
  <c r="O130" i="23"/>
  <c r="Q39" i="18"/>
  <c r="Q87" i="18"/>
  <c r="Q22" i="18"/>
  <c r="K56" i="24"/>
  <c r="N56" i="24" s="1"/>
  <c r="K86" i="24"/>
  <c r="N86" i="24" s="1"/>
  <c r="K101" i="24"/>
  <c r="N101" i="24" s="1"/>
  <c r="K72" i="24"/>
  <c r="N72" i="24" s="1"/>
  <c r="Q81" i="18"/>
  <c r="Q101" i="18"/>
  <c r="Q125" i="18"/>
  <c r="Q17" i="18"/>
  <c r="Q54" i="18"/>
  <c r="Q126" i="18"/>
  <c r="D14" i="10"/>
  <c r="D128" i="10"/>
  <c r="D14" i="11"/>
  <c r="D128" i="11"/>
  <c r="D128" i="15"/>
  <c r="D14" i="15"/>
  <c r="D128" i="17"/>
  <c r="D14" i="17"/>
  <c r="J1098" i="20"/>
  <c r="N903" i="20"/>
  <c r="M903" i="20"/>
  <c r="L903" i="20"/>
  <c r="J903" i="20"/>
  <c r="I903" i="20"/>
  <c r="O678" i="20"/>
  <c r="G678" i="20"/>
  <c r="E678" i="20"/>
  <c r="W3" i="27"/>
  <c r="M54" i="22"/>
  <c r="H54" i="22"/>
  <c r="G54" i="22"/>
  <c r="I54" i="22"/>
  <c r="F54" i="22"/>
  <c r="O54" i="22"/>
  <c r="N54" i="22"/>
  <c r="L54" i="22"/>
  <c r="K54" i="22"/>
  <c r="J54" i="22"/>
  <c r="G1187" i="20"/>
  <c r="F1187" i="20"/>
  <c r="O1187" i="20"/>
  <c r="N1187" i="20"/>
  <c r="J1187" i="20"/>
  <c r="I1187" i="20"/>
  <c r="H1187" i="20"/>
  <c r="E1187" i="20"/>
  <c r="J948" i="20"/>
  <c r="J25" i="22"/>
  <c r="F25" i="22"/>
  <c r="O25" i="22"/>
  <c r="M25" i="22"/>
  <c r="L25" i="22"/>
  <c r="N25" i="22"/>
  <c r="G25" i="22"/>
  <c r="K25" i="22"/>
  <c r="I25" i="22"/>
  <c r="H25" i="22"/>
  <c r="E12" i="22"/>
  <c r="D11" i="22"/>
  <c r="J41" i="22"/>
  <c r="M41" i="22"/>
  <c r="L41" i="22"/>
  <c r="K41" i="22"/>
  <c r="I41" i="22"/>
  <c r="F41" i="22"/>
  <c r="O41" i="22"/>
  <c r="G41" i="22"/>
  <c r="N41" i="22"/>
  <c r="H41" i="22"/>
  <c r="O77" i="22"/>
  <c r="J77" i="22"/>
  <c r="I77" i="22"/>
  <c r="N77" i="22"/>
  <c r="G77" i="22"/>
  <c r="F77" i="22"/>
  <c r="M77" i="22"/>
  <c r="L77" i="22"/>
  <c r="K77" i="22"/>
  <c r="H77" i="22"/>
  <c r="I99" i="22"/>
  <c r="O99" i="22"/>
  <c r="J99" i="22"/>
  <c r="M99" i="22"/>
  <c r="L99" i="22"/>
  <c r="N99" i="22"/>
  <c r="K99" i="22"/>
  <c r="H99" i="22"/>
  <c r="G99" i="22"/>
  <c r="F99" i="22"/>
  <c r="O65" i="22"/>
  <c r="J65" i="22"/>
  <c r="I65" i="22"/>
  <c r="G65" i="22"/>
  <c r="L65" i="22"/>
  <c r="K65" i="22"/>
  <c r="N65" i="22"/>
  <c r="M65" i="22"/>
  <c r="H65" i="22"/>
  <c r="F65" i="22"/>
  <c r="L66" i="22"/>
  <c r="G66" i="22"/>
  <c r="F66" i="22"/>
  <c r="I66" i="22"/>
  <c r="M66" i="22"/>
  <c r="K66" i="22"/>
  <c r="O66" i="22"/>
  <c r="N66" i="22"/>
  <c r="J66" i="22"/>
  <c r="H66" i="22"/>
  <c r="L114" i="22"/>
  <c r="J114" i="22"/>
  <c r="G114" i="22"/>
  <c r="F114" i="22"/>
  <c r="O114" i="22"/>
  <c r="I114" i="22"/>
  <c r="M114" i="22"/>
  <c r="K114" i="22"/>
  <c r="H114" i="22"/>
  <c r="N114" i="22"/>
  <c r="F96" i="22"/>
  <c r="M96" i="22"/>
  <c r="L96" i="22"/>
  <c r="G96" i="22"/>
  <c r="J96" i="22"/>
  <c r="I96" i="22"/>
  <c r="O96" i="22"/>
  <c r="N96" i="22"/>
  <c r="K96" i="22"/>
  <c r="H96" i="22"/>
  <c r="M15" i="18"/>
  <c r="Q51" i="18"/>
  <c r="Q99" i="18"/>
  <c r="Q48" i="18"/>
  <c r="Q96" i="18"/>
  <c r="I16" i="22"/>
  <c r="H16" i="22"/>
  <c r="O16" i="22"/>
  <c r="N16" i="22"/>
  <c r="J16" i="22"/>
  <c r="F16" i="22"/>
  <c r="M16" i="22"/>
  <c r="G16" i="22"/>
  <c r="L16" i="22"/>
  <c r="K16" i="22"/>
  <c r="F92" i="22"/>
  <c r="M92" i="22"/>
  <c r="L92" i="22"/>
  <c r="N92" i="22"/>
  <c r="G92" i="22"/>
  <c r="J92" i="22"/>
  <c r="I92" i="22"/>
  <c r="H92" i="22"/>
  <c r="O92" i="22"/>
  <c r="K92" i="22"/>
  <c r="O467" i="20"/>
  <c r="M467" i="20"/>
  <c r="L467" i="20"/>
  <c r="K467" i="20"/>
  <c r="J467" i="20"/>
  <c r="I467" i="20"/>
  <c r="H467" i="20"/>
  <c r="N467" i="20"/>
  <c r="G467" i="20"/>
  <c r="E467" i="20"/>
  <c r="J43" i="22"/>
  <c r="L43" i="22"/>
  <c r="K43" i="22"/>
  <c r="I43" i="22"/>
  <c r="H43" i="22"/>
  <c r="O43" i="22"/>
  <c r="N43" i="22"/>
  <c r="M43" i="22"/>
  <c r="G43" i="22"/>
  <c r="F43" i="22"/>
  <c r="M34" i="22"/>
  <c r="G34" i="22"/>
  <c r="O34" i="22"/>
  <c r="N34" i="22"/>
  <c r="J34" i="22"/>
  <c r="H34" i="22"/>
  <c r="F34" i="22"/>
  <c r="L34" i="22"/>
  <c r="K34" i="22"/>
  <c r="I34" i="22"/>
  <c r="O61" i="22"/>
  <c r="J61" i="22"/>
  <c r="I61" i="22"/>
  <c r="N61" i="22"/>
  <c r="G61" i="22"/>
  <c r="F61" i="22"/>
  <c r="L61" i="22"/>
  <c r="K61" i="22"/>
  <c r="H61" i="22"/>
  <c r="M61" i="22"/>
  <c r="M26" i="22"/>
  <c r="G26" i="22"/>
  <c r="O26" i="22"/>
  <c r="L26" i="22"/>
  <c r="K26" i="22"/>
  <c r="N26" i="22"/>
  <c r="J26" i="22"/>
  <c r="I26" i="22"/>
  <c r="F26" i="22"/>
  <c r="H26" i="22"/>
  <c r="L122" i="22"/>
  <c r="N122" i="22"/>
  <c r="K122" i="22"/>
  <c r="H122" i="22"/>
  <c r="G122" i="22"/>
  <c r="I122" i="22"/>
  <c r="F122" i="22"/>
  <c r="O122" i="22"/>
  <c r="M122" i="22"/>
  <c r="J122" i="22"/>
  <c r="O81" i="22"/>
  <c r="J81" i="22"/>
  <c r="I81" i="22"/>
  <c r="G81" i="22"/>
  <c r="L81" i="22"/>
  <c r="K81" i="22"/>
  <c r="M81" i="22"/>
  <c r="H81" i="22"/>
  <c r="F81" i="22"/>
  <c r="N81" i="22"/>
  <c r="L70" i="22"/>
  <c r="G70" i="22"/>
  <c r="F70" i="22"/>
  <c r="M70" i="22"/>
  <c r="H70" i="22"/>
  <c r="O70" i="22"/>
  <c r="N70" i="22"/>
  <c r="K70" i="22"/>
  <c r="J70" i="22"/>
  <c r="I70" i="22"/>
  <c r="L118" i="22"/>
  <c r="J118" i="22"/>
  <c r="G118" i="22"/>
  <c r="F118" i="22"/>
  <c r="I118" i="22"/>
  <c r="N118" i="22"/>
  <c r="M118" i="22"/>
  <c r="O118" i="22"/>
  <c r="K118" i="22"/>
  <c r="H118" i="22"/>
  <c r="F100" i="22"/>
  <c r="M100" i="22"/>
  <c r="L100" i="22"/>
  <c r="J100" i="22"/>
  <c r="O100" i="22"/>
  <c r="N100" i="22"/>
  <c r="G100" i="22"/>
  <c r="K100" i="22"/>
  <c r="I100" i="22"/>
  <c r="H100" i="22"/>
  <c r="M129" i="1"/>
  <c r="D129" i="7"/>
  <c r="Q55" i="18"/>
  <c r="Q103" i="18"/>
  <c r="Q38" i="18"/>
  <c r="Q86" i="18"/>
  <c r="Q21" i="18"/>
  <c r="Q69" i="18"/>
  <c r="Q117" i="18"/>
  <c r="Q52" i="18"/>
  <c r="Q100" i="18"/>
  <c r="P130" i="23"/>
  <c r="G40" i="22"/>
  <c r="M40" i="22"/>
  <c r="N40" i="22"/>
  <c r="L40" i="22"/>
  <c r="K40" i="22"/>
  <c r="J40" i="22"/>
  <c r="F40" i="22"/>
  <c r="O40" i="22"/>
  <c r="I40" i="22"/>
  <c r="H40" i="22"/>
  <c r="N257" i="20"/>
  <c r="M257" i="20"/>
  <c r="L257" i="20"/>
  <c r="J49" i="22"/>
  <c r="H49" i="22"/>
  <c r="G49" i="22"/>
  <c r="F49" i="22"/>
  <c r="O49" i="22"/>
  <c r="N49" i="22"/>
  <c r="M49" i="22"/>
  <c r="L49" i="22"/>
  <c r="K49" i="22"/>
  <c r="I49" i="22"/>
  <c r="G48" i="22"/>
  <c r="M48" i="22"/>
  <c r="I48" i="22"/>
  <c r="H48" i="22"/>
  <c r="F48" i="22"/>
  <c r="O48" i="22"/>
  <c r="N48" i="22"/>
  <c r="L48" i="22"/>
  <c r="K48" i="22"/>
  <c r="J48" i="22"/>
  <c r="O109" i="22"/>
  <c r="J109" i="22"/>
  <c r="I109" i="22"/>
  <c r="N109" i="22"/>
  <c r="G109" i="22"/>
  <c r="F109" i="22"/>
  <c r="L109" i="22"/>
  <c r="K109" i="22"/>
  <c r="H109" i="22"/>
  <c r="M109" i="22"/>
  <c r="J27" i="22"/>
  <c r="N27" i="22"/>
  <c r="L27" i="22"/>
  <c r="K27" i="22"/>
  <c r="H27" i="22"/>
  <c r="O27" i="22"/>
  <c r="M27" i="22"/>
  <c r="I27" i="22"/>
  <c r="G27" i="22"/>
  <c r="F27" i="22"/>
  <c r="I79" i="22"/>
  <c r="O79" i="22"/>
  <c r="F79" i="22"/>
  <c r="J79" i="22"/>
  <c r="H79" i="22"/>
  <c r="N79" i="22"/>
  <c r="M79" i="22"/>
  <c r="L79" i="22"/>
  <c r="K79" i="22"/>
  <c r="G79" i="22"/>
  <c r="O97" i="22"/>
  <c r="J97" i="22"/>
  <c r="I97" i="22"/>
  <c r="G97" i="22"/>
  <c r="L97" i="22"/>
  <c r="K97" i="22"/>
  <c r="N97" i="22"/>
  <c r="M97" i="22"/>
  <c r="H97" i="22"/>
  <c r="F97" i="22"/>
  <c r="L74" i="22"/>
  <c r="G74" i="22"/>
  <c r="F74" i="22"/>
  <c r="K74" i="22"/>
  <c r="O74" i="22"/>
  <c r="N74" i="22"/>
  <c r="M74" i="22"/>
  <c r="J74" i="22"/>
  <c r="I74" i="22"/>
  <c r="H74" i="22"/>
  <c r="F56" i="22"/>
  <c r="M56" i="22"/>
  <c r="O56" i="22"/>
  <c r="J56" i="22"/>
  <c r="N56" i="22"/>
  <c r="L56" i="22"/>
  <c r="K56" i="22"/>
  <c r="I56" i="22"/>
  <c r="H56" i="22"/>
  <c r="G56" i="22"/>
  <c r="F104" i="22"/>
  <c r="M104" i="22"/>
  <c r="L104" i="22"/>
  <c r="O104" i="22"/>
  <c r="I104" i="22"/>
  <c r="N104" i="22"/>
  <c r="K104" i="22"/>
  <c r="J104" i="22"/>
  <c r="H104" i="22"/>
  <c r="G104" i="22"/>
  <c r="M15" i="1"/>
  <c r="P15" i="18"/>
  <c r="C129" i="8"/>
  <c r="Q59" i="18"/>
  <c r="Q107" i="18"/>
  <c r="Q42" i="18"/>
  <c r="Q90" i="18"/>
  <c r="Q56" i="18"/>
  <c r="Q104" i="18"/>
  <c r="K7" i="3"/>
  <c r="L110" i="22"/>
  <c r="G110" i="22"/>
  <c r="F110" i="22"/>
  <c r="O110" i="22"/>
  <c r="I110" i="22"/>
  <c r="H110" i="22"/>
  <c r="N110" i="22"/>
  <c r="M110" i="22"/>
  <c r="K110" i="22"/>
  <c r="J110" i="22"/>
  <c r="M46" i="22"/>
  <c r="G46" i="22"/>
  <c r="J46" i="22"/>
  <c r="I46" i="22"/>
  <c r="H46" i="22"/>
  <c r="F46" i="22"/>
  <c r="O46" i="22"/>
  <c r="N46" i="22"/>
  <c r="L46" i="22"/>
  <c r="K46" i="22"/>
  <c r="O101" i="22"/>
  <c r="J101" i="22"/>
  <c r="I101" i="22"/>
  <c r="L101" i="22"/>
  <c r="F101" i="22"/>
  <c r="N101" i="22"/>
  <c r="M101" i="22"/>
  <c r="K101" i="22"/>
  <c r="H101" i="22"/>
  <c r="G101" i="22"/>
  <c r="I67" i="22"/>
  <c r="O67" i="22"/>
  <c r="J67" i="22"/>
  <c r="M67" i="22"/>
  <c r="L67" i="22"/>
  <c r="N67" i="22"/>
  <c r="K67" i="22"/>
  <c r="H67" i="22"/>
  <c r="G67" i="22"/>
  <c r="F67" i="22"/>
  <c r="I123" i="22"/>
  <c r="N123" i="22"/>
  <c r="L123" i="22"/>
  <c r="J123" i="22"/>
  <c r="F123" i="22"/>
  <c r="H123" i="22"/>
  <c r="O123" i="22"/>
  <c r="M123" i="22"/>
  <c r="G123" i="22"/>
  <c r="K123" i="22"/>
  <c r="M50" i="22"/>
  <c r="G50" i="22"/>
  <c r="H50" i="22"/>
  <c r="F50" i="22"/>
  <c r="O50" i="22"/>
  <c r="N50" i="22"/>
  <c r="L50" i="22"/>
  <c r="K50" i="22"/>
  <c r="J50" i="22"/>
  <c r="I50" i="22"/>
  <c r="O93" i="22"/>
  <c r="J93" i="22"/>
  <c r="I93" i="22"/>
  <c r="N93" i="22"/>
  <c r="G93" i="22"/>
  <c r="F93" i="22"/>
  <c r="M93" i="22"/>
  <c r="L93" i="22"/>
  <c r="K93" i="22"/>
  <c r="H93" i="22"/>
  <c r="I111" i="22"/>
  <c r="G111" i="22"/>
  <c r="O111" i="22"/>
  <c r="F111" i="22"/>
  <c r="K111" i="22"/>
  <c r="J111" i="22"/>
  <c r="N111" i="22"/>
  <c r="M111" i="22"/>
  <c r="L111" i="22"/>
  <c r="H111" i="22"/>
  <c r="L78" i="22"/>
  <c r="G78" i="22"/>
  <c r="F78" i="22"/>
  <c r="O78" i="22"/>
  <c r="I78" i="22"/>
  <c r="H78" i="22"/>
  <c r="M78" i="22"/>
  <c r="K78" i="22"/>
  <c r="J78" i="22"/>
  <c r="N78" i="22"/>
  <c r="F60" i="22"/>
  <c r="M60" i="22"/>
  <c r="L60" i="22"/>
  <c r="N60" i="22"/>
  <c r="G60" i="22"/>
  <c r="O60" i="22"/>
  <c r="K60" i="22"/>
  <c r="J60" i="22"/>
  <c r="I60" i="22"/>
  <c r="H60" i="22"/>
  <c r="F108" i="22"/>
  <c r="M108" i="22"/>
  <c r="L108" i="22"/>
  <c r="N108" i="22"/>
  <c r="G108" i="22"/>
  <c r="O108" i="22"/>
  <c r="K108" i="22"/>
  <c r="J108" i="22"/>
  <c r="I108" i="22"/>
  <c r="H108" i="22"/>
  <c r="J6" i="6"/>
  <c r="C129" i="9"/>
  <c r="D16" i="9"/>
  <c r="Q63" i="18"/>
  <c r="Q111" i="18"/>
  <c r="Q46" i="18"/>
  <c r="Q94" i="18"/>
  <c r="Q29" i="18"/>
  <c r="Q77" i="18"/>
  <c r="R129" i="23"/>
  <c r="R15" i="23"/>
  <c r="R130" i="23" s="1"/>
  <c r="S16" i="23"/>
  <c r="S15" i="23" s="1"/>
  <c r="D127" i="8"/>
  <c r="D124" i="8"/>
  <c r="D121" i="8"/>
  <c r="D118" i="8"/>
  <c r="D115" i="8"/>
  <c r="D112" i="8"/>
  <c r="D109" i="8"/>
  <c r="D106" i="8"/>
  <c r="D103" i="8"/>
  <c r="D100" i="8"/>
  <c r="D97" i="8"/>
  <c r="D94" i="8"/>
  <c r="D91" i="8"/>
  <c r="D88" i="8"/>
  <c r="D85" i="8"/>
  <c r="D82" i="8"/>
  <c r="D79" i="8"/>
  <c r="D76" i="8"/>
  <c r="D73" i="8"/>
  <c r="D70" i="8"/>
  <c r="D67" i="8"/>
  <c r="D64" i="8"/>
  <c r="D61" i="8"/>
  <c r="D58" i="8"/>
  <c r="D55" i="8"/>
  <c r="D52" i="8"/>
  <c r="D49" i="8"/>
  <c r="D46" i="8"/>
  <c r="D43" i="8"/>
  <c r="D40" i="8"/>
  <c r="D37" i="8"/>
  <c r="D34" i="8"/>
  <c r="D31" i="8"/>
  <c r="D28" i="8"/>
  <c r="D25" i="8"/>
  <c r="D22" i="8"/>
  <c r="D19" i="8"/>
  <c r="D16" i="8"/>
  <c r="D125" i="8"/>
  <c r="D116" i="8"/>
  <c r="D107" i="8"/>
  <c r="D98" i="8"/>
  <c r="D89" i="8"/>
  <c r="D80" i="8"/>
  <c r="D71" i="8"/>
  <c r="D62" i="8"/>
  <c r="D53" i="8"/>
  <c r="D44" i="8"/>
  <c r="D35" i="8"/>
  <c r="D26" i="8"/>
  <c r="D17" i="8"/>
  <c r="D123" i="8"/>
  <c r="D114" i="8"/>
  <c r="D105" i="8"/>
  <c r="D96" i="8"/>
  <c r="D87" i="8"/>
  <c r="D78" i="8"/>
  <c r="D69" i="8"/>
  <c r="D60" i="8"/>
  <c r="D51" i="8"/>
  <c r="D42" i="8"/>
  <c r="D33" i="8"/>
  <c r="D24" i="8"/>
  <c r="D122" i="8"/>
  <c r="D113" i="8"/>
  <c r="D104" i="8"/>
  <c r="D95" i="8"/>
  <c r="D86" i="8"/>
  <c r="D77" i="8"/>
  <c r="D68" i="8"/>
  <c r="D59" i="8"/>
  <c r="D50" i="8"/>
  <c r="D41" i="8"/>
  <c r="D32" i="8"/>
  <c r="D23" i="8"/>
  <c r="D120" i="8"/>
  <c r="D111" i="8"/>
  <c r="D102" i="8"/>
  <c r="D93" i="8"/>
  <c r="D84" i="8"/>
  <c r="D75" i="8"/>
  <c r="D66" i="8"/>
  <c r="D57" i="8"/>
  <c r="D48" i="8"/>
  <c r="D39" i="8"/>
  <c r="D30" i="8"/>
  <c r="D21" i="8"/>
  <c r="D128" i="8"/>
  <c r="D119" i="8"/>
  <c r="D110" i="8"/>
  <c r="D101" i="8"/>
  <c r="D92" i="8"/>
  <c r="D83" i="8"/>
  <c r="D74" i="8"/>
  <c r="D65" i="8"/>
  <c r="D56" i="8"/>
  <c r="D47" i="8"/>
  <c r="D38" i="8"/>
  <c r="D29" i="8"/>
  <c r="D20" i="8"/>
  <c r="D126" i="8"/>
  <c r="D117" i="8"/>
  <c r="D108" i="8"/>
  <c r="D99" i="8"/>
  <c r="D90" i="8"/>
  <c r="D81" i="8"/>
  <c r="D72" i="8"/>
  <c r="D63" i="8"/>
  <c r="D54" i="8"/>
  <c r="D45" i="8"/>
  <c r="D36" i="8"/>
  <c r="D27" i="8"/>
  <c r="D18" i="8"/>
  <c r="J51" i="22"/>
  <c r="G51" i="22"/>
  <c r="F51" i="22"/>
  <c r="N51" i="22"/>
  <c r="M51" i="22"/>
  <c r="L51" i="22"/>
  <c r="K51" i="22"/>
  <c r="I51" i="22"/>
  <c r="O51" i="22"/>
  <c r="H51" i="22"/>
  <c r="Q112" i="18"/>
  <c r="F130" i="23"/>
  <c r="Q130" i="23"/>
  <c r="D36" i="6"/>
  <c r="E128" i="7"/>
  <c r="E125" i="7"/>
  <c r="E122" i="7"/>
  <c r="E119" i="7"/>
  <c r="E116" i="7"/>
  <c r="E113" i="7"/>
  <c r="E110" i="7"/>
  <c r="E107" i="7"/>
  <c r="E104" i="7"/>
  <c r="E101" i="7"/>
  <c r="E98" i="7"/>
  <c r="E95" i="7"/>
  <c r="E92" i="7"/>
  <c r="E89" i="7"/>
  <c r="E86" i="7"/>
  <c r="E83" i="7"/>
  <c r="E80" i="7"/>
  <c r="E126" i="7"/>
  <c r="E123" i="7"/>
  <c r="E120" i="7"/>
  <c r="E117" i="7"/>
  <c r="E114" i="7"/>
  <c r="E111" i="7"/>
  <c r="E108" i="7"/>
  <c r="E127" i="7"/>
  <c r="E124" i="7"/>
  <c r="E121" i="7"/>
  <c r="E118" i="7"/>
  <c r="E115" i="7"/>
  <c r="E112" i="7"/>
  <c r="E109" i="7"/>
  <c r="E106" i="7"/>
  <c r="E103" i="7"/>
  <c r="E100" i="7"/>
  <c r="E97" i="7"/>
  <c r="E94" i="7"/>
  <c r="E91" i="7"/>
  <c r="E88" i="7"/>
  <c r="E85" i="7"/>
  <c r="E82" i="7"/>
  <c r="E79" i="7"/>
  <c r="E76" i="7"/>
  <c r="E73" i="7"/>
  <c r="E90" i="7"/>
  <c r="E70" i="7"/>
  <c r="E68" i="7"/>
  <c r="E61" i="7"/>
  <c r="E59" i="7"/>
  <c r="E52" i="7"/>
  <c r="E50" i="7"/>
  <c r="E43" i="7"/>
  <c r="E41" i="7"/>
  <c r="E38" i="7"/>
  <c r="E35" i="7"/>
  <c r="E32" i="7"/>
  <c r="E29" i="7"/>
  <c r="E26" i="7"/>
  <c r="E23" i="7"/>
  <c r="E20" i="7"/>
  <c r="E17" i="7"/>
  <c r="E87" i="7"/>
  <c r="E66" i="7"/>
  <c r="E57" i="7"/>
  <c r="E48" i="7"/>
  <c r="E77" i="7"/>
  <c r="E84" i="7"/>
  <c r="E75" i="7"/>
  <c r="E71" i="7"/>
  <c r="E64" i="7"/>
  <c r="E62" i="7"/>
  <c r="E55" i="7"/>
  <c r="E53" i="7"/>
  <c r="E46" i="7"/>
  <c r="E44" i="7"/>
  <c r="E39" i="7"/>
  <c r="E36" i="7"/>
  <c r="E33" i="7"/>
  <c r="E30" i="7"/>
  <c r="E27" i="7"/>
  <c r="E24" i="7"/>
  <c r="E21" i="7"/>
  <c r="E18" i="7"/>
  <c r="E81" i="7"/>
  <c r="E69" i="7"/>
  <c r="E60" i="7"/>
  <c r="E51" i="7"/>
  <c r="E42" i="7"/>
  <c r="E67" i="7"/>
  <c r="E65" i="7"/>
  <c r="E58" i="7"/>
  <c r="E56" i="7"/>
  <c r="E49" i="7"/>
  <c r="E47" i="7"/>
  <c r="E74" i="7"/>
  <c r="E40" i="7"/>
  <c r="E37" i="7"/>
  <c r="E34" i="7"/>
  <c r="E31" i="7"/>
  <c r="E28" i="7"/>
  <c r="E25" i="7"/>
  <c r="E22" i="7"/>
  <c r="E19" i="7"/>
  <c r="E16" i="7"/>
  <c r="E105" i="7"/>
  <c r="E102" i="7"/>
  <c r="E99" i="7"/>
  <c r="E96" i="7"/>
  <c r="E93" i="7"/>
  <c r="E78" i="7"/>
  <c r="E72" i="7"/>
  <c r="E63" i="7"/>
  <c r="E54" i="7"/>
  <c r="E45" i="7"/>
  <c r="J29" i="22"/>
  <c r="M29" i="22"/>
  <c r="K29" i="22"/>
  <c r="I29" i="22"/>
  <c r="O29" i="22"/>
  <c r="N29" i="22"/>
  <c r="L29" i="22"/>
  <c r="G29" i="22"/>
  <c r="F29" i="22"/>
  <c r="H29" i="22"/>
  <c r="O22" i="22"/>
  <c r="N22" i="22"/>
  <c r="K22" i="22"/>
  <c r="I22" i="22"/>
  <c r="H22" i="22"/>
  <c r="M22" i="22"/>
  <c r="L22" i="22"/>
  <c r="J22" i="22"/>
  <c r="G22" i="22"/>
  <c r="F22" i="22"/>
  <c r="O69" i="22"/>
  <c r="J69" i="22"/>
  <c r="I69" i="22"/>
  <c r="L69" i="22"/>
  <c r="F69" i="22"/>
  <c r="N69" i="22"/>
  <c r="G69" i="22"/>
  <c r="M69" i="22"/>
  <c r="K69" i="22"/>
  <c r="H69" i="22"/>
  <c r="F112" i="22"/>
  <c r="M112" i="22"/>
  <c r="L112" i="22"/>
  <c r="I112" i="22"/>
  <c r="N112" i="22"/>
  <c r="K112" i="22"/>
  <c r="O112" i="22"/>
  <c r="J112" i="22"/>
  <c r="H112" i="22"/>
  <c r="G112" i="22"/>
  <c r="J31" i="22"/>
  <c r="O31" i="22"/>
  <c r="L31" i="22"/>
  <c r="I31" i="22"/>
  <c r="H31" i="22"/>
  <c r="K31" i="22"/>
  <c r="G31" i="22"/>
  <c r="F31" i="22"/>
  <c r="M31" i="22"/>
  <c r="N31" i="22"/>
  <c r="I24" i="22"/>
  <c r="H24" i="22"/>
  <c r="O24" i="22"/>
  <c r="N24" i="22"/>
  <c r="J24" i="22"/>
  <c r="M24" i="22"/>
  <c r="L24" i="22"/>
  <c r="K24" i="22"/>
  <c r="G24" i="22"/>
  <c r="F24" i="22"/>
  <c r="J39" i="22"/>
  <c r="N39" i="22"/>
  <c r="M39" i="22"/>
  <c r="L39" i="22"/>
  <c r="K39" i="22"/>
  <c r="G39" i="22"/>
  <c r="F39" i="22"/>
  <c r="O39" i="22"/>
  <c r="I39" i="22"/>
  <c r="H39" i="22"/>
  <c r="G44" i="22"/>
  <c r="M44" i="22"/>
  <c r="K44" i="22"/>
  <c r="J44" i="22"/>
  <c r="I44" i="22"/>
  <c r="H44" i="22"/>
  <c r="O44" i="22"/>
  <c r="N44" i="22"/>
  <c r="L44" i="22"/>
  <c r="F44" i="22"/>
  <c r="G52" i="22"/>
  <c r="N52" i="22"/>
  <c r="M52" i="22"/>
  <c r="F52" i="22"/>
  <c r="O52" i="22"/>
  <c r="L52" i="22"/>
  <c r="K52" i="22"/>
  <c r="J52" i="22"/>
  <c r="I52" i="22"/>
  <c r="H52" i="22"/>
  <c r="O57" i="22"/>
  <c r="J57" i="22"/>
  <c r="I57" i="22"/>
  <c r="K57" i="22"/>
  <c r="N57" i="22"/>
  <c r="M57" i="22"/>
  <c r="L57" i="22"/>
  <c r="H57" i="22"/>
  <c r="G57" i="22"/>
  <c r="F57" i="22"/>
  <c r="I59" i="22"/>
  <c r="O59" i="22"/>
  <c r="L59" i="22"/>
  <c r="F59" i="22"/>
  <c r="N59" i="22"/>
  <c r="M59" i="22"/>
  <c r="K59" i="22"/>
  <c r="J59" i="22"/>
  <c r="H59" i="22"/>
  <c r="G59" i="22"/>
  <c r="L86" i="22"/>
  <c r="G86" i="22"/>
  <c r="F86" i="22"/>
  <c r="M86" i="22"/>
  <c r="H86" i="22"/>
  <c r="O86" i="22"/>
  <c r="I86" i="22"/>
  <c r="N86" i="22"/>
  <c r="K86" i="22"/>
  <c r="J86" i="22"/>
  <c r="F68" i="22"/>
  <c r="M68" i="22"/>
  <c r="L68" i="22"/>
  <c r="J68" i="22"/>
  <c r="O68" i="22"/>
  <c r="N68" i="22"/>
  <c r="K68" i="22"/>
  <c r="I68" i="22"/>
  <c r="H68" i="22"/>
  <c r="G68" i="22"/>
  <c r="F116" i="22"/>
  <c r="M116" i="22"/>
  <c r="L116" i="22"/>
  <c r="O116" i="22"/>
  <c r="H116" i="22"/>
  <c r="G116" i="22"/>
  <c r="I116" i="22"/>
  <c r="N116" i="22"/>
  <c r="K116" i="22"/>
  <c r="J116" i="22"/>
  <c r="C128" i="10"/>
  <c r="Q23" i="18"/>
  <c r="Q71" i="18"/>
  <c r="Q119" i="18"/>
  <c r="Q102" i="18"/>
  <c r="Q37" i="18"/>
  <c r="Q85" i="18"/>
  <c r="Q20" i="18"/>
  <c r="Q68" i="18"/>
  <c r="Q116" i="18"/>
  <c r="H130" i="23"/>
  <c r="D37" i="6"/>
  <c r="I119" i="22"/>
  <c r="G119" i="22"/>
  <c r="O119" i="22"/>
  <c r="L119" i="22"/>
  <c r="F119" i="22"/>
  <c r="N119" i="22"/>
  <c r="M119" i="22"/>
  <c r="K119" i="22"/>
  <c r="J119" i="22"/>
  <c r="H119" i="22"/>
  <c r="O117" i="22"/>
  <c r="M117" i="22"/>
  <c r="J117" i="22"/>
  <c r="I117" i="22"/>
  <c r="F117" i="22"/>
  <c r="K117" i="22"/>
  <c r="H117" i="22"/>
  <c r="N117" i="22"/>
  <c r="L117" i="22"/>
  <c r="G117" i="22"/>
  <c r="Q16" i="18"/>
  <c r="Y3" i="27" s="1"/>
  <c r="N15" i="18"/>
  <c r="O14" i="22"/>
  <c r="N14" i="22"/>
  <c r="K14" i="22"/>
  <c r="I14" i="22"/>
  <c r="H14" i="22"/>
  <c r="F14" i="22"/>
  <c r="L14" i="22"/>
  <c r="J14" i="22"/>
  <c r="M14" i="22"/>
  <c r="G14" i="22"/>
  <c r="J35" i="22"/>
  <c r="O35" i="22"/>
  <c r="N35" i="22"/>
  <c r="M35" i="22"/>
  <c r="I35" i="22"/>
  <c r="G35" i="22"/>
  <c r="F35" i="22"/>
  <c r="K35" i="22"/>
  <c r="H35" i="22"/>
  <c r="L35" i="22"/>
  <c r="I95" i="22"/>
  <c r="O95" i="22"/>
  <c r="F95" i="22"/>
  <c r="J95" i="22"/>
  <c r="H95" i="22"/>
  <c r="M95" i="22"/>
  <c r="L95" i="22"/>
  <c r="K95" i="22"/>
  <c r="G95" i="22"/>
  <c r="N95" i="22"/>
  <c r="J45" i="22"/>
  <c r="K45" i="22"/>
  <c r="I45" i="22"/>
  <c r="H45" i="22"/>
  <c r="G45" i="22"/>
  <c r="O45" i="22"/>
  <c r="N45" i="22"/>
  <c r="M45" i="22"/>
  <c r="L45" i="22"/>
  <c r="F45" i="22"/>
  <c r="O85" i="22"/>
  <c r="J85" i="22"/>
  <c r="I85" i="22"/>
  <c r="L85" i="22"/>
  <c r="F85" i="22"/>
  <c r="N85" i="22"/>
  <c r="M85" i="22"/>
  <c r="K85" i="22"/>
  <c r="H85" i="22"/>
  <c r="G85" i="22"/>
  <c r="O73" i="22"/>
  <c r="J73" i="22"/>
  <c r="I73" i="22"/>
  <c r="K73" i="22"/>
  <c r="N73" i="22"/>
  <c r="M73" i="22"/>
  <c r="L73" i="22"/>
  <c r="H73" i="22"/>
  <c r="G73" i="22"/>
  <c r="F73" i="22"/>
  <c r="I75" i="22"/>
  <c r="O75" i="22"/>
  <c r="L75" i="22"/>
  <c r="F75" i="22"/>
  <c r="J75" i="22"/>
  <c r="H75" i="22"/>
  <c r="G75" i="22"/>
  <c r="N75" i="22"/>
  <c r="M75" i="22"/>
  <c r="K75" i="22"/>
  <c r="L90" i="22"/>
  <c r="G90" i="22"/>
  <c r="F90" i="22"/>
  <c r="K90" i="22"/>
  <c r="O90" i="22"/>
  <c r="N90" i="22"/>
  <c r="M90" i="22"/>
  <c r="J90" i="22"/>
  <c r="I90" i="22"/>
  <c r="H90" i="22"/>
  <c r="F72" i="22"/>
  <c r="M72" i="22"/>
  <c r="L72" i="22"/>
  <c r="O72" i="22"/>
  <c r="I72" i="22"/>
  <c r="H72" i="22"/>
  <c r="G72" i="22"/>
  <c r="N72" i="22"/>
  <c r="K72" i="22"/>
  <c r="J72" i="22"/>
  <c r="F120" i="22"/>
  <c r="M120" i="22"/>
  <c r="L120" i="22"/>
  <c r="O120" i="22"/>
  <c r="I120" i="22"/>
  <c r="N120" i="22"/>
  <c r="K120" i="22"/>
  <c r="J120" i="22"/>
  <c r="H120" i="22"/>
  <c r="G120" i="22"/>
  <c r="C128" i="12"/>
  <c r="Q27" i="18"/>
  <c r="Q75" i="18"/>
  <c r="Q123" i="18"/>
  <c r="Q24" i="18"/>
  <c r="Q72" i="18"/>
  <c r="Q120" i="18"/>
  <c r="D38" i="6"/>
  <c r="L62" i="22"/>
  <c r="G62" i="22"/>
  <c r="F62" i="22"/>
  <c r="O62" i="22"/>
  <c r="I62" i="22"/>
  <c r="H62" i="22"/>
  <c r="N62" i="22"/>
  <c r="M62" i="22"/>
  <c r="K62" i="22"/>
  <c r="J62" i="22"/>
  <c r="D128" i="14"/>
  <c r="D14" i="14"/>
  <c r="J512" i="20"/>
  <c r="I512" i="20"/>
  <c r="H512" i="20"/>
  <c r="G512" i="20"/>
  <c r="G36" i="22"/>
  <c r="M36" i="22"/>
  <c r="O36" i="22"/>
  <c r="N36" i="22"/>
  <c r="L36" i="22"/>
  <c r="I36" i="22"/>
  <c r="F36" i="22"/>
  <c r="J36" i="22"/>
  <c r="H36" i="22"/>
  <c r="K36" i="22"/>
  <c r="J37" i="22"/>
  <c r="O37" i="22"/>
  <c r="N37" i="22"/>
  <c r="M37" i="22"/>
  <c r="L37" i="22"/>
  <c r="H37" i="22"/>
  <c r="F37" i="22"/>
  <c r="I37" i="22"/>
  <c r="G37" i="22"/>
  <c r="K37" i="22"/>
  <c r="O121" i="22"/>
  <c r="M121" i="22"/>
  <c r="J121" i="22"/>
  <c r="I121" i="22"/>
  <c r="L121" i="22"/>
  <c r="K121" i="22"/>
  <c r="H121" i="22"/>
  <c r="G121" i="22"/>
  <c r="F121" i="22"/>
  <c r="N121" i="22"/>
  <c r="I83" i="22"/>
  <c r="O83" i="22"/>
  <c r="J83" i="22"/>
  <c r="M83" i="22"/>
  <c r="L83" i="22"/>
  <c r="F83" i="22"/>
  <c r="N83" i="22"/>
  <c r="K83" i="22"/>
  <c r="H83" i="22"/>
  <c r="G83" i="22"/>
  <c r="F13" i="22"/>
  <c r="N13" i="22"/>
  <c r="L13" i="22"/>
  <c r="K13" i="22"/>
  <c r="M13" i="22"/>
  <c r="J13" i="22"/>
  <c r="H13" i="22"/>
  <c r="G13" i="22"/>
  <c r="O13" i="22"/>
  <c r="I13" i="22"/>
  <c r="O89" i="22"/>
  <c r="J89" i="22"/>
  <c r="I89" i="22"/>
  <c r="K89" i="22"/>
  <c r="G89" i="22"/>
  <c r="F89" i="22"/>
  <c r="N89" i="22"/>
  <c r="M89" i="22"/>
  <c r="L89" i="22"/>
  <c r="H89" i="22"/>
  <c r="I91" i="22"/>
  <c r="O91" i="22"/>
  <c r="L91" i="22"/>
  <c r="F91" i="22"/>
  <c r="N91" i="22"/>
  <c r="M91" i="22"/>
  <c r="K91" i="22"/>
  <c r="J91" i="22"/>
  <c r="H91" i="22"/>
  <c r="G91" i="22"/>
  <c r="L94" i="22"/>
  <c r="G94" i="22"/>
  <c r="F94" i="22"/>
  <c r="O94" i="22"/>
  <c r="I94" i="22"/>
  <c r="H94" i="22"/>
  <c r="N94" i="22"/>
  <c r="M94" i="22"/>
  <c r="K94" i="22"/>
  <c r="J94" i="22"/>
  <c r="F76" i="22"/>
  <c r="M76" i="22"/>
  <c r="L76" i="22"/>
  <c r="N76" i="22"/>
  <c r="G76" i="22"/>
  <c r="O76" i="22"/>
  <c r="K76" i="22"/>
  <c r="J76" i="22"/>
  <c r="I76" i="22"/>
  <c r="H76" i="22"/>
  <c r="F124" i="22"/>
  <c r="K124" i="22"/>
  <c r="L124" i="22"/>
  <c r="I124" i="22"/>
  <c r="O124" i="22"/>
  <c r="H124" i="22"/>
  <c r="N124" i="22"/>
  <c r="M124" i="22"/>
  <c r="J124" i="22"/>
  <c r="G124" i="22"/>
  <c r="G130" i="18"/>
  <c r="M15" i="16"/>
  <c r="M14" i="16" s="1"/>
  <c r="C14" i="16"/>
  <c r="C128" i="16"/>
  <c r="Q31" i="18"/>
  <c r="Q79" i="18"/>
  <c r="Q127" i="18"/>
  <c r="Q62" i="18"/>
  <c r="Q110" i="18"/>
  <c r="Q45" i="18"/>
  <c r="Q93" i="18"/>
  <c r="Q28" i="18"/>
  <c r="Q76" i="18"/>
  <c r="Q124" i="18"/>
  <c r="I130" i="23"/>
  <c r="M30" i="22"/>
  <c r="G30" i="22"/>
  <c r="L30" i="22"/>
  <c r="J30" i="22"/>
  <c r="I30" i="22"/>
  <c r="H30" i="22"/>
  <c r="O30" i="22"/>
  <c r="N30" i="22"/>
  <c r="K30" i="22"/>
  <c r="F30" i="22"/>
  <c r="I55" i="22"/>
  <c r="O55" i="22"/>
  <c r="K55" i="22"/>
  <c r="J55" i="22"/>
  <c r="H55" i="22"/>
  <c r="G55" i="22"/>
  <c r="F55" i="22"/>
  <c r="N55" i="22"/>
  <c r="M55" i="22"/>
  <c r="L55" i="22"/>
  <c r="C128" i="11"/>
  <c r="O767" i="20"/>
  <c r="L767" i="20"/>
  <c r="I767" i="20"/>
  <c r="H767" i="20"/>
  <c r="G767" i="20"/>
  <c r="F767" i="20"/>
  <c r="M767" i="20"/>
  <c r="E767" i="20"/>
  <c r="I20" i="22"/>
  <c r="H20" i="22"/>
  <c r="O20" i="22"/>
  <c r="N20" i="22"/>
  <c r="L20" i="22"/>
  <c r="F20" i="22"/>
  <c r="J20" i="22"/>
  <c r="M20" i="22"/>
  <c r="K20" i="22"/>
  <c r="G20" i="22"/>
  <c r="J47" i="22"/>
  <c r="I47" i="22"/>
  <c r="H47" i="22"/>
  <c r="G47" i="22"/>
  <c r="F47" i="22"/>
  <c r="O47" i="22"/>
  <c r="N47" i="22"/>
  <c r="M47" i="22"/>
  <c r="L47" i="22"/>
  <c r="K47" i="22"/>
  <c r="L15" i="22"/>
  <c r="K15" i="22"/>
  <c r="H15" i="22"/>
  <c r="F15" i="22"/>
  <c r="M15" i="22"/>
  <c r="O15" i="22"/>
  <c r="G15" i="22"/>
  <c r="N15" i="22"/>
  <c r="J15" i="22"/>
  <c r="I15" i="22"/>
  <c r="I63" i="22"/>
  <c r="O63" i="22"/>
  <c r="F63" i="22"/>
  <c r="J63" i="22"/>
  <c r="H63" i="22"/>
  <c r="N63" i="22"/>
  <c r="M63" i="22"/>
  <c r="L63" i="22"/>
  <c r="K63" i="22"/>
  <c r="G63" i="22"/>
  <c r="F17" i="22"/>
  <c r="N17" i="22"/>
  <c r="L17" i="22"/>
  <c r="K17" i="22"/>
  <c r="M17" i="22"/>
  <c r="I17" i="22"/>
  <c r="H17" i="22"/>
  <c r="G17" i="22"/>
  <c r="O17" i="22"/>
  <c r="J17" i="22"/>
  <c r="O105" i="22"/>
  <c r="J105" i="22"/>
  <c r="I105" i="22"/>
  <c r="K105" i="22"/>
  <c r="N105" i="22"/>
  <c r="M105" i="22"/>
  <c r="L105" i="22"/>
  <c r="H105" i="22"/>
  <c r="G105" i="22"/>
  <c r="F105" i="22"/>
  <c r="I107" i="22"/>
  <c r="O107" i="22"/>
  <c r="L107" i="22"/>
  <c r="F107" i="22"/>
  <c r="N107" i="22"/>
  <c r="M107" i="22"/>
  <c r="K107" i="22"/>
  <c r="J107" i="22"/>
  <c r="H107" i="22"/>
  <c r="G107" i="22"/>
  <c r="L98" i="22"/>
  <c r="G98" i="22"/>
  <c r="F98" i="22"/>
  <c r="I98" i="22"/>
  <c r="M98" i="22"/>
  <c r="K98" i="22"/>
  <c r="N98" i="22"/>
  <c r="J98" i="22"/>
  <c r="H98" i="22"/>
  <c r="O98" i="22"/>
  <c r="F80" i="22"/>
  <c r="M80" i="22"/>
  <c r="L80" i="22"/>
  <c r="G80" i="22"/>
  <c r="J80" i="22"/>
  <c r="I80" i="22"/>
  <c r="O80" i="22"/>
  <c r="N80" i="22"/>
  <c r="K80" i="22"/>
  <c r="H80" i="22"/>
  <c r="L130" i="23"/>
  <c r="C128" i="14"/>
  <c r="Q35" i="18"/>
  <c r="Q83" i="18"/>
  <c r="Q18" i="18"/>
  <c r="Q66" i="18"/>
  <c r="Q114" i="18"/>
  <c r="Q32" i="18"/>
  <c r="Q80" i="18"/>
  <c r="Q128" i="18"/>
  <c r="M130" i="23"/>
  <c r="M9" i="4"/>
  <c r="Q10" i="4"/>
  <c r="D119" i="16"/>
  <c r="D107" i="16"/>
  <c r="D95" i="16"/>
  <c r="D83" i="16"/>
  <c r="D71" i="16"/>
  <c r="D59" i="16"/>
  <c r="D47" i="16"/>
  <c r="D35" i="16"/>
  <c r="D23" i="16"/>
  <c r="D124" i="16"/>
  <c r="D112" i="16"/>
  <c r="D100" i="16"/>
  <c r="D88" i="16"/>
  <c r="D76" i="16"/>
  <c r="D64" i="16"/>
  <c r="D52" i="16"/>
  <c r="D40" i="16"/>
  <c r="D28" i="16"/>
  <c r="D16" i="16"/>
  <c r="D117" i="16"/>
  <c r="D105" i="16"/>
  <c r="D93" i="16"/>
  <c r="D127" i="16"/>
  <c r="D115" i="16"/>
  <c r="D103" i="16"/>
  <c r="D91" i="16"/>
  <c r="D79" i="16"/>
  <c r="D67" i="16"/>
  <c r="D55" i="16"/>
  <c r="D43" i="16"/>
  <c r="D31" i="16"/>
  <c r="D19" i="16"/>
  <c r="D120" i="16"/>
  <c r="D108" i="16"/>
  <c r="D96" i="16"/>
  <c r="D84" i="16"/>
  <c r="D72" i="16"/>
  <c r="D60" i="16"/>
  <c r="D48" i="16"/>
  <c r="D36" i="16"/>
  <c r="D24" i="16"/>
  <c r="D125" i="16"/>
  <c r="D113" i="16"/>
  <c r="D101" i="16"/>
  <c r="D89" i="16"/>
  <c r="D77" i="16"/>
  <c r="D65" i="16"/>
  <c r="D53" i="16"/>
  <c r="D41" i="16"/>
  <c r="D29" i="16"/>
  <c r="D17" i="16"/>
  <c r="D118" i="16"/>
  <c r="D106" i="16"/>
  <c r="D94" i="16"/>
  <c r="D82" i="16"/>
  <c r="D70" i="16"/>
  <c r="D58" i="16"/>
  <c r="D46" i="16"/>
  <c r="D34" i="16"/>
  <c r="D22" i="16"/>
  <c r="D123" i="16"/>
  <c r="D111" i="16"/>
  <c r="D99" i="16"/>
  <c r="D87" i="16"/>
  <c r="D75" i="16"/>
  <c r="D63" i="16"/>
  <c r="D51" i="16"/>
  <c r="D39" i="16"/>
  <c r="D27" i="16"/>
  <c r="D15" i="16"/>
  <c r="D116" i="16"/>
  <c r="D104" i="16"/>
  <c r="D92" i="16"/>
  <c r="D80" i="16"/>
  <c r="D68" i="16"/>
  <c r="D56" i="16"/>
  <c r="D44" i="16"/>
  <c r="D32" i="16"/>
  <c r="D20" i="16"/>
  <c r="D121" i="16"/>
  <c r="D109" i="16"/>
  <c r="D97" i="16"/>
  <c r="D85" i="16"/>
  <c r="D73" i="16"/>
  <c r="D61" i="16"/>
  <c r="D49" i="16"/>
  <c r="D37" i="16"/>
  <c r="D25" i="16"/>
  <c r="D122" i="16"/>
  <c r="D69" i="16"/>
  <c r="D21" i="16"/>
  <c r="D90" i="16"/>
  <c r="D62" i="16"/>
  <c r="D110" i="16"/>
  <c r="D54" i="16"/>
  <c r="D81" i="16"/>
  <c r="D33" i="16"/>
  <c r="D98" i="16"/>
  <c r="D74" i="16"/>
  <c r="D26" i="16"/>
  <c r="D66" i="16"/>
  <c r="D18" i="16"/>
  <c r="D45" i="16"/>
  <c r="D126" i="16"/>
  <c r="D86" i="16"/>
  <c r="D38" i="16"/>
  <c r="D78" i="16"/>
  <c r="D30" i="16"/>
  <c r="D114" i="16"/>
  <c r="D57" i="16"/>
  <c r="D50" i="16"/>
  <c r="D102" i="16"/>
  <c r="D42" i="16"/>
  <c r="I15" i="24"/>
  <c r="J16" i="24"/>
  <c r="I103" i="22"/>
  <c r="O103" i="22"/>
  <c r="M103" i="22"/>
  <c r="H103" i="22"/>
  <c r="J103" i="22"/>
  <c r="G103" i="22"/>
  <c r="F103" i="22"/>
  <c r="N103" i="22"/>
  <c r="L103" i="22"/>
  <c r="K103" i="22"/>
  <c r="D15" i="18"/>
  <c r="D129" i="18"/>
  <c r="L82" i="22"/>
  <c r="G82" i="22"/>
  <c r="F82" i="22"/>
  <c r="I82" i="22"/>
  <c r="M82" i="22"/>
  <c r="K82" i="22"/>
  <c r="O82" i="22"/>
  <c r="N82" i="22"/>
  <c r="J82" i="22"/>
  <c r="H82" i="22"/>
  <c r="J33" i="22"/>
  <c r="O33" i="22"/>
  <c r="N33" i="22"/>
  <c r="K33" i="22"/>
  <c r="H33" i="22"/>
  <c r="G33" i="22"/>
  <c r="I33" i="22"/>
  <c r="M33" i="22"/>
  <c r="L33" i="22"/>
  <c r="F33" i="22"/>
  <c r="G32" i="22"/>
  <c r="M32" i="22"/>
  <c r="O32" i="22"/>
  <c r="K32" i="22"/>
  <c r="I32" i="22"/>
  <c r="H32" i="22"/>
  <c r="N32" i="22"/>
  <c r="L32" i="22"/>
  <c r="J32" i="22"/>
  <c r="F32" i="22"/>
  <c r="L19" i="22"/>
  <c r="K19" i="22"/>
  <c r="H19" i="22"/>
  <c r="F19" i="22"/>
  <c r="I19" i="22"/>
  <c r="N19" i="22"/>
  <c r="M19" i="22"/>
  <c r="J19" i="22"/>
  <c r="G19" i="22"/>
  <c r="O19" i="22"/>
  <c r="O113" i="22"/>
  <c r="M113" i="22"/>
  <c r="J113" i="22"/>
  <c r="I113" i="22"/>
  <c r="L113" i="22"/>
  <c r="F113" i="22"/>
  <c r="N113" i="22"/>
  <c r="K113" i="22"/>
  <c r="H113" i="22"/>
  <c r="G113" i="22"/>
  <c r="F21" i="22"/>
  <c r="N21" i="22"/>
  <c r="L21" i="22"/>
  <c r="K21" i="22"/>
  <c r="I21" i="22"/>
  <c r="H21" i="22"/>
  <c r="G21" i="22"/>
  <c r="J21" i="22"/>
  <c r="O21" i="22"/>
  <c r="M21" i="22"/>
  <c r="I71" i="22"/>
  <c r="O71" i="22"/>
  <c r="M71" i="22"/>
  <c r="H71" i="22"/>
  <c r="N71" i="22"/>
  <c r="L71" i="22"/>
  <c r="K71" i="22"/>
  <c r="J71" i="22"/>
  <c r="G71" i="22"/>
  <c r="F71" i="22"/>
  <c r="I115" i="22"/>
  <c r="G115" i="22"/>
  <c r="O115" i="22"/>
  <c r="L115" i="22"/>
  <c r="N115" i="22"/>
  <c r="M115" i="22"/>
  <c r="K115" i="22"/>
  <c r="J115" i="22"/>
  <c r="H115" i="22"/>
  <c r="F115" i="22"/>
  <c r="L102" i="22"/>
  <c r="G102" i="22"/>
  <c r="F102" i="22"/>
  <c r="M102" i="22"/>
  <c r="H102" i="22"/>
  <c r="O102" i="22"/>
  <c r="N102" i="22"/>
  <c r="K102" i="22"/>
  <c r="J102" i="22"/>
  <c r="I102" i="22"/>
  <c r="F84" i="22"/>
  <c r="M84" i="22"/>
  <c r="L84" i="22"/>
  <c r="J84" i="22"/>
  <c r="O84" i="22"/>
  <c r="N84" i="22"/>
  <c r="K84" i="22"/>
  <c r="I84" i="22"/>
  <c r="H84" i="22"/>
  <c r="G84" i="22"/>
  <c r="C128" i="15"/>
  <c r="Q36" i="18"/>
  <c r="Q84" i="18"/>
  <c r="M38" i="22"/>
  <c r="G38" i="22"/>
  <c r="O38" i="22"/>
  <c r="N38" i="22"/>
  <c r="L38" i="22"/>
  <c r="K38" i="22"/>
  <c r="H38" i="22"/>
  <c r="J38" i="22"/>
  <c r="I38" i="22"/>
  <c r="F38" i="22"/>
  <c r="F64" i="22"/>
  <c r="M64" i="22"/>
  <c r="L64" i="22"/>
  <c r="G64" i="22"/>
  <c r="J64" i="22"/>
  <c r="I64" i="22"/>
  <c r="N64" i="22"/>
  <c r="K64" i="22"/>
  <c r="H64" i="22"/>
  <c r="O64" i="22"/>
  <c r="O18" i="22"/>
  <c r="N18" i="22"/>
  <c r="K18" i="22"/>
  <c r="I18" i="22"/>
  <c r="H18" i="22"/>
  <c r="M18" i="22"/>
  <c r="L18" i="22"/>
  <c r="G18" i="22"/>
  <c r="F18" i="22"/>
  <c r="J18" i="22"/>
  <c r="M42" i="22"/>
  <c r="G42" i="22"/>
  <c r="L42" i="22"/>
  <c r="K42" i="22"/>
  <c r="J42" i="22"/>
  <c r="I42" i="22"/>
  <c r="O42" i="22"/>
  <c r="N42" i="22"/>
  <c r="H42" i="22"/>
  <c r="F42" i="22"/>
  <c r="L23" i="22"/>
  <c r="K23" i="22"/>
  <c r="H23" i="22"/>
  <c r="F23" i="22"/>
  <c r="O23" i="22"/>
  <c r="N23" i="22"/>
  <c r="J23" i="22"/>
  <c r="I23" i="22"/>
  <c r="M23" i="22"/>
  <c r="G23" i="22"/>
  <c r="K53" i="22"/>
  <c r="J53" i="22"/>
  <c r="G53" i="22"/>
  <c r="F53" i="22"/>
  <c r="O53" i="22"/>
  <c r="N53" i="22"/>
  <c r="M53" i="22"/>
  <c r="L53" i="22"/>
  <c r="I53" i="22"/>
  <c r="H53" i="22"/>
  <c r="G28" i="22"/>
  <c r="M28" i="22"/>
  <c r="N28" i="22"/>
  <c r="K28" i="22"/>
  <c r="J28" i="22"/>
  <c r="L28" i="22"/>
  <c r="I28" i="22"/>
  <c r="H28" i="22"/>
  <c r="F28" i="22"/>
  <c r="O28" i="22"/>
  <c r="I87" i="22"/>
  <c r="O87" i="22"/>
  <c r="M87" i="22"/>
  <c r="H87" i="22"/>
  <c r="N87" i="22"/>
  <c r="L87" i="22"/>
  <c r="K87" i="22"/>
  <c r="J87" i="22"/>
  <c r="G87" i="22"/>
  <c r="F87" i="22"/>
  <c r="L58" i="22"/>
  <c r="G58" i="22"/>
  <c r="F58" i="22"/>
  <c r="K58" i="22"/>
  <c r="I58" i="22"/>
  <c r="H58" i="22"/>
  <c r="O58" i="22"/>
  <c r="N58" i="22"/>
  <c r="M58" i="22"/>
  <c r="J58" i="22"/>
  <c r="L106" i="22"/>
  <c r="G106" i="22"/>
  <c r="F106" i="22"/>
  <c r="K106" i="22"/>
  <c r="I106" i="22"/>
  <c r="H106" i="22"/>
  <c r="O106" i="22"/>
  <c r="N106" i="22"/>
  <c r="M106" i="22"/>
  <c r="J106" i="22"/>
  <c r="F88" i="22"/>
  <c r="M88" i="22"/>
  <c r="L88" i="22"/>
  <c r="O88" i="22"/>
  <c r="I88" i="22"/>
  <c r="N88" i="22"/>
  <c r="K88" i="22"/>
  <c r="J88" i="22"/>
  <c r="H88" i="22"/>
  <c r="G88" i="22"/>
  <c r="C128" i="17"/>
  <c r="C14" i="17"/>
  <c r="Q43" i="18"/>
  <c r="Q91" i="18"/>
  <c r="Q57" i="18"/>
  <c r="Q105" i="18"/>
  <c r="Q129" i="1"/>
  <c r="R123" i="1" s="1"/>
  <c r="Q15" i="1"/>
  <c r="D126" i="12"/>
  <c r="D123" i="12"/>
  <c r="D120" i="12"/>
  <c r="D117" i="12"/>
  <c r="D114" i="12"/>
  <c r="D111" i="12"/>
  <c r="D108" i="12"/>
  <c r="D105" i="12"/>
  <c r="D102" i="12"/>
  <c r="D99" i="12"/>
  <c r="D96" i="12"/>
  <c r="D93" i="12"/>
  <c r="D90" i="12"/>
  <c r="D87" i="12"/>
  <c r="D84" i="12"/>
  <c r="D81" i="12"/>
  <c r="D78" i="12"/>
  <c r="D75" i="12"/>
  <c r="D72" i="12"/>
  <c r="D69" i="12"/>
  <c r="D66" i="12"/>
  <c r="D63" i="12"/>
  <c r="D60" i="12"/>
  <c r="D57" i="12"/>
  <c r="D54" i="12"/>
  <c r="D51" i="12"/>
  <c r="D48" i="12"/>
  <c r="D45" i="12"/>
  <c r="D42" i="12"/>
  <c r="D39" i="12"/>
  <c r="D36" i="12"/>
  <c r="D33" i="12"/>
  <c r="D30" i="12"/>
  <c r="D27" i="12"/>
  <c r="D24" i="12"/>
  <c r="D21" i="12"/>
  <c r="D18" i="12"/>
  <c r="D15" i="12"/>
  <c r="D113" i="12"/>
  <c r="D95" i="12"/>
  <c r="D77" i="12"/>
  <c r="D59" i="12"/>
  <c r="D41" i="12"/>
  <c r="D23" i="12"/>
  <c r="D112" i="12"/>
  <c r="D94" i="12"/>
  <c r="D76" i="12"/>
  <c r="D58" i="12"/>
  <c r="D40" i="12"/>
  <c r="D22" i="12"/>
  <c r="D110" i="12"/>
  <c r="D92" i="12"/>
  <c r="D74" i="12"/>
  <c r="D56" i="12"/>
  <c r="D38" i="12"/>
  <c r="D20" i="12"/>
  <c r="D127" i="12"/>
  <c r="D109" i="12"/>
  <c r="D91" i="12"/>
  <c r="D73" i="12"/>
  <c r="D55" i="12"/>
  <c r="D37" i="12"/>
  <c r="D19" i="12"/>
  <c r="D125" i="12"/>
  <c r="D107" i="12"/>
  <c r="D89" i="12"/>
  <c r="D71" i="12"/>
  <c r="D53" i="12"/>
  <c r="D35" i="12"/>
  <c r="D17" i="12"/>
  <c r="D124" i="12"/>
  <c r="D106" i="12"/>
  <c r="D88" i="12"/>
  <c r="D70" i="12"/>
  <c r="D52" i="12"/>
  <c r="D34" i="12"/>
  <c r="D16" i="12"/>
  <c r="D122" i="12"/>
  <c r="D104" i="12"/>
  <c r="D86" i="12"/>
  <c r="D68" i="12"/>
  <c r="D50" i="12"/>
  <c r="D32" i="12"/>
  <c r="D121" i="12"/>
  <c r="D103" i="12"/>
  <c r="D85" i="12"/>
  <c r="D67" i="12"/>
  <c r="D49" i="12"/>
  <c r="D31" i="12"/>
  <c r="D119" i="12"/>
  <c r="D101" i="12"/>
  <c r="D83" i="12"/>
  <c r="D65" i="12"/>
  <c r="D47" i="12"/>
  <c r="D29" i="12"/>
  <c r="D118" i="12"/>
  <c r="D100" i="12"/>
  <c r="D82" i="12"/>
  <c r="D64" i="12"/>
  <c r="D46" i="12"/>
  <c r="D28" i="12"/>
  <c r="D116" i="12"/>
  <c r="D98" i="12"/>
  <c r="D80" i="12"/>
  <c r="D62" i="12"/>
  <c r="D44" i="12"/>
  <c r="D26" i="12"/>
  <c r="D25" i="12"/>
  <c r="D115" i="12"/>
  <c r="D97" i="12"/>
  <c r="D79" i="12"/>
  <c r="D61" i="12"/>
  <c r="D43" i="12"/>
  <c r="L1488" i="20" l="1"/>
  <c r="M1488" i="20"/>
  <c r="N1488" i="20"/>
  <c r="O618" i="20"/>
  <c r="F618" i="20"/>
  <c r="D948" i="20"/>
  <c r="I948" i="20"/>
  <c r="L948" i="20"/>
  <c r="N678" i="20"/>
  <c r="W41" i="27"/>
  <c r="J767" i="20"/>
  <c r="J678" i="20"/>
  <c r="K767" i="20"/>
  <c r="K678" i="20"/>
  <c r="N767" i="20"/>
  <c r="K903" i="20"/>
  <c r="W52" i="27"/>
  <c r="C1158" i="20"/>
  <c r="M1158" i="20" s="1"/>
  <c r="O903" i="20"/>
  <c r="W75" i="27"/>
  <c r="G1098" i="20"/>
  <c r="M1098" i="20"/>
  <c r="W100" i="27"/>
  <c r="D467" i="20"/>
  <c r="L512" i="20"/>
  <c r="M512" i="20"/>
  <c r="E512" i="20"/>
  <c r="K512" i="20"/>
  <c r="N1503" i="20"/>
  <c r="F1503" i="20"/>
  <c r="G1503" i="20"/>
  <c r="I1503" i="20"/>
  <c r="H783" i="20"/>
  <c r="D783" i="20"/>
  <c r="E783" i="20"/>
  <c r="K1128" i="20"/>
  <c r="K1488" i="20"/>
  <c r="O257" i="20"/>
  <c r="I257" i="20"/>
  <c r="F512" i="20"/>
  <c r="J257" i="20"/>
  <c r="G1488" i="20"/>
  <c r="F1128" i="20"/>
  <c r="D1503" i="20"/>
  <c r="K257" i="20"/>
  <c r="J1128" i="20"/>
  <c r="K1503" i="20"/>
  <c r="O1128" i="20"/>
  <c r="O1503" i="20"/>
  <c r="O512" i="20"/>
  <c r="F948" i="20"/>
  <c r="L783" i="20"/>
  <c r="L1503" i="20"/>
  <c r="D1128" i="20"/>
  <c r="N512" i="20"/>
  <c r="E1128" i="20"/>
  <c r="H948" i="20"/>
  <c r="M783" i="20"/>
  <c r="D257" i="20"/>
  <c r="N948" i="20"/>
  <c r="D1488" i="20"/>
  <c r="D618" i="20"/>
  <c r="H1488" i="20"/>
  <c r="E618" i="20"/>
  <c r="L1128" i="20"/>
  <c r="O1488" i="20"/>
  <c r="H618" i="20"/>
  <c r="M1187" i="20"/>
  <c r="E1488" i="20"/>
  <c r="H1098" i="20"/>
  <c r="I618" i="20"/>
  <c r="M1128" i="20"/>
  <c r="N1128" i="20"/>
  <c r="G618" i="20"/>
  <c r="E257" i="20"/>
  <c r="D1187" i="20"/>
  <c r="F1488" i="20"/>
  <c r="I1098" i="20"/>
  <c r="J618" i="20"/>
  <c r="F257" i="20"/>
  <c r="I1488" i="20"/>
  <c r="G257" i="20"/>
  <c r="K1187" i="20"/>
  <c r="J1488" i="20"/>
  <c r="K1098" i="20"/>
  <c r="L1098" i="20"/>
  <c r="C1653" i="20"/>
  <c r="W110" i="27"/>
  <c r="C153" i="20"/>
  <c r="F153" i="20" s="1"/>
  <c r="W10" i="27"/>
  <c r="C93" i="20"/>
  <c r="L93" i="20" s="1"/>
  <c r="W6" i="27"/>
  <c r="C572" i="20"/>
  <c r="K572" i="20" s="1"/>
  <c r="Y38" i="27"/>
  <c r="C378" i="20"/>
  <c r="K378" i="20" s="1"/>
  <c r="W25" i="27"/>
  <c r="C528" i="20"/>
  <c r="D528" i="20" s="1"/>
  <c r="W35" i="27"/>
  <c r="C963" i="20"/>
  <c r="N963" i="20" s="1"/>
  <c r="W64" i="27"/>
  <c r="C707" i="20"/>
  <c r="Y47" i="27"/>
  <c r="C332" i="20"/>
  <c r="H332" i="20" s="1"/>
  <c r="Y22" i="27"/>
  <c r="C1667" i="20"/>
  <c r="K1667" i="20" s="1"/>
  <c r="Y111" i="27"/>
  <c r="C333" i="20"/>
  <c r="F333" i="20" s="1"/>
  <c r="W22" i="27"/>
  <c r="C933" i="20"/>
  <c r="W62" i="27"/>
  <c r="C1367" i="20"/>
  <c r="G1367" i="20" s="1"/>
  <c r="Y91" i="27"/>
  <c r="C1068" i="20"/>
  <c r="F1068" i="20" s="1"/>
  <c r="W71" i="27"/>
  <c r="R99" i="1"/>
  <c r="C1697" i="20"/>
  <c r="Y113" i="27"/>
  <c r="C168" i="20"/>
  <c r="J168" i="20" s="1"/>
  <c r="W11" i="27"/>
  <c r="C78" i="20"/>
  <c r="D78" i="20" s="1"/>
  <c r="W5" i="27"/>
  <c r="C302" i="20"/>
  <c r="Y20" i="27"/>
  <c r="C617" i="20"/>
  <c r="O617" i="20" s="1"/>
  <c r="Y41" i="27"/>
  <c r="C137" i="20"/>
  <c r="Y9" i="27"/>
  <c r="C857" i="20"/>
  <c r="Y57" i="27"/>
  <c r="C228" i="20"/>
  <c r="W15" i="27"/>
  <c r="C227" i="20"/>
  <c r="H227" i="20" s="1"/>
  <c r="Y15" i="27"/>
  <c r="C1547" i="20"/>
  <c r="L1547" i="20" s="1"/>
  <c r="Y103" i="27"/>
  <c r="C1443" i="20"/>
  <c r="G1443" i="20" s="1"/>
  <c r="W96" i="27"/>
  <c r="C1157" i="20"/>
  <c r="G1157" i="20" s="1"/>
  <c r="Y77" i="27"/>
  <c r="C1307" i="20"/>
  <c r="N1307" i="20" s="1"/>
  <c r="Y87" i="27"/>
  <c r="C62" i="20"/>
  <c r="L62" i="20" s="1"/>
  <c r="Y4" i="27"/>
  <c r="C1112" i="20"/>
  <c r="Y74" i="27"/>
  <c r="C1502" i="20"/>
  <c r="M1502" i="20" s="1"/>
  <c r="Y100" i="27"/>
  <c r="C1532" i="20"/>
  <c r="Y102" i="27"/>
  <c r="C708" i="20"/>
  <c r="W47" i="27"/>
  <c r="C437" i="20"/>
  <c r="K437" i="20" s="1"/>
  <c r="Y29" i="27"/>
  <c r="C1682" i="20"/>
  <c r="G1682" i="20" s="1"/>
  <c r="Y112" i="27"/>
  <c r="C392" i="20"/>
  <c r="Y26" i="27"/>
  <c r="C782" i="20"/>
  <c r="G782" i="20" s="1"/>
  <c r="Y52" i="27"/>
  <c r="C812" i="20"/>
  <c r="Y54" i="27"/>
  <c r="C1623" i="20"/>
  <c r="W108" i="27"/>
  <c r="C482" i="20"/>
  <c r="K482" i="20" s="1"/>
  <c r="Y32" i="27"/>
  <c r="C107" i="20"/>
  <c r="J107" i="20" s="1"/>
  <c r="Y7" i="27"/>
  <c r="C993" i="20"/>
  <c r="G993" i="20" s="1"/>
  <c r="W66" i="27"/>
  <c r="C1412" i="20"/>
  <c r="Y94" i="27"/>
  <c r="C1562" i="20"/>
  <c r="K1562" i="20" s="1"/>
  <c r="Y104" i="27"/>
  <c r="C1322" i="20"/>
  <c r="N1322" i="20" s="1"/>
  <c r="Y88" i="27"/>
  <c r="C1383" i="20"/>
  <c r="I1383" i="20" s="1"/>
  <c r="W92" i="27"/>
  <c r="C92" i="20"/>
  <c r="Y6" i="27"/>
  <c r="C1457" i="20"/>
  <c r="J1457" i="20" s="1"/>
  <c r="Y97" i="27"/>
  <c r="C1082" i="20"/>
  <c r="E1082" i="20" s="1"/>
  <c r="Y72" i="27"/>
  <c r="C692" i="20"/>
  <c r="D692" i="20" s="1"/>
  <c r="Y46" i="27"/>
  <c r="C842" i="20"/>
  <c r="H842" i="20" s="1"/>
  <c r="Y56" i="27"/>
  <c r="C1022" i="20"/>
  <c r="N1022" i="20" s="1"/>
  <c r="Y68" i="27"/>
  <c r="C1023" i="20"/>
  <c r="H1023" i="20" s="1"/>
  <c r="W68" i="27"/>
  <c r="C138" i="20"/>
  <c r="W9" i="27"/>
  <c r="C1398" i="20"/>
  <c r="W93" i="27"/>
  <c r="C273" i="20"/>
  <c r="J273" i="20" s="1"/>
  <c r="W18" i="27"/>
  <c r="C363" i="20"/>
  <c r="K363" i="20" s="1"/>
  <c r="W24" i="27"/>
  <c r="C737" i="20"/>
  <c r="K737" i="20" s="1"/>
  <c r="Y49" i="27"/>
  <c r="C362" i="20"/>
  <c r="K362" i="20" s="1"/>
  <c r="Y24" i="27"/>
  <c r="C122" i="20"/>
  <c r="Y8" i="27"/>
  <c r="O948" i="20"/>
  <c r="K618" i="20"/>
  <c r="C663" i="20"/>
  <c r="N663" i="20" s="1"/>
  <c r="W44" i="27"/>
  <c r="C1548" i="20"/>
  <c r="G1548" i="20" s="1"/>
  <c r="W103" i="27"/>
  <c r="C1038" i="20"/>
  <c r="H1038" i="20" s="1"/>
  <c r="W69" i="27"/>
  <c r="C183" i="20"/>
  <c r="W12" i="27"/>
  <c r="C1712" i="20"/>
  <c r="Y114" i="27"/>
  <c r="C1337" i="20"/>
  <c r="N1337" i="20" s="1"/>
  <c r="Y89" i="27"/>
  <c r="C1487" i="20"/>
  <c r="N1487" i="20" s="1"/>
  <c r="Y99" i="27"/>
  <c r="C962" i="20"/>
  <c r="M962" i="20" s="1"/>
  <c r="Y64" i="27"/>
  <c r="C1097" i="20"/>
  <c r="N1097" i="20" s="1"/>
  <c r="Y73" i="27"/>
  <c r="G948" i="20"/>
  <c r="D408" i="20"/>
  <c r="L618" i="20"/>
  <c r="C1683" i="20"/>
  <c r="W112" i="27"/>
  <c r="C303" i="20"/>
  <c r="L303" i="20" s="1"/>
  <c r="W20" i="27"/>
  <c r="C1188" i="20"/>
  <c r="N1188" i="20" s="1"/>
  <c r="W79" i="27"/>
  <c r="C827" i="20"/>
  <c r="Y55" i="27"/>
  <c r="C573" i="20"/>
  <c r="L573" i="20" s="1"/>
  <c r="W38" i="27"/>
  <c r="C1083" i="20"/>
  <c r="G1083" i="20" s="1"/>
  <c r="W72" i="27"/>
  <c r="C1067" i="20"/>
  <c r="Y71" i="27"/>
  <c r="C347" i="20"/>
  <c r="H347" i="20" s="1"/>
  <c r="Y23" i="27"/>
  <c r="C992" i="20"/>
  <c r="M992" i="20" s="1"/>
  <c r="Y66" i="27"/>
  <c r="C1113" i="20"/>
  <c r="I1113" i="20" s="1"/>
  <c r="W74" i="27"/>
  <c r="C1592" i="20"/>
  <c r="G1592" i="20" s="1"/>
  <c r="Y106" i="27"/>
  <c r="C242" i="20"/>
  <c r="G242" i="20" s="1"/>
  <c r="Y16" i="27"/>
  <c r="C377" i="20"/>
  <c r="Y25" i="27"/>
  <c r="K948" i="20"/>
  <c r="E408" i="20"/>
  <c r="C1323" i="20"/>
  <c r="H1323" i="20" s="1"/>
  <c r="W88" i="27"/>
  <c r="C603" i="20"/>
  <c r="O603" i="20" s="1"/>
  <c r="W40" i="27"/>
  <c r="C828" i="20"/>
  <c r="I828" i="20" s="1"/>
  <c r="W55" i="27"/>
  <c r="C1622" i="20"/>
  <c r="Y108" i="27"/>
  <c r="C1052" i="20"/>
  <c r="Y70" i="27"/>
  <c r="C272" i="20"/>
  <c r="Y18" i="27"/>
  <c r="C393" i="20"/>
  <c r="W26" i="27"/>
  <c r="C872" i="20"/>
  <c r="L872" i="20" s="1"/>
  <c r="Y58" i="27"/>
  <c r="C1217" i="20"/>
  <c r="K1217" i="20" s="1"/>
  <c r="Y81" i="27"/>
  <c r="C1352" i="20"/>
  <c r="L1352" i="20" s="1"/>
  <c r="Y90" i="27"/>
  <c r="G408" i="20"/>
  <c r="C468" i="20"/>
  <c r="N468" i="20" s="1"/>
  <c r="W31" i="27"/>
  <c r="C1262" i="20"/>
  <c r="H1262" i="20" s="1"/>
  <c r="Y84" i="27"/>
  <c r="C1293" i="20"/>
  <c r="D1293" i="20" s="1"/>
  <c r="W86" i="27"/>
  <c r="C152" i="20"/>
  <c r="G152" i="20" s="1"/>
  <c r="Y10" i="27"/>
  <c r="C497" i="20"/>
  <c r="G497" i="20" s="1"/>
  <c r="Y33" i="27"/>
  <c r="M948" i="20"/>
  <c r="H408" i="20"/>
  <c r="C1413" i="20"/>
  <c r="G1413" i="20" s="1"/>
  <c r="W94" i="27"/>
  <c r="C1578" i="20"/>
  <c r="G1578" i="20" s="1"/>
  <c r="W105" i="27"/>
  <c r="C108" i="20"/>
  <c r="E108" i="20" s="1"/>
  <c r="W7" i="27"/>
  <c r="C902" i="20"/>
  <c r="Y60" i="27"/>
  <c r="C1263" i="20"/>
  <c r="W84" i="27"/>
  <c r="C632" i="20"/>
  <c r="G632" i="20" s="1"/>
  <c r="Y42" i="27"/>
  <c r="C648" i="20"/>
  <c r="I648" i="20" s="1"/>
  <c r="W43" i="27"/>
  <c r="C1472" i="20"/>
  <c r="K1472" i="20" s="1"/>
  <c r="Y98" i="27"/>
  <c r="L1158" i="20"/>
  <c r="I408" i="20"/>
  <c r="C693" i="20"/>
  <c r="M693" i="20" s="1"/>
  <c r="W46" i="27"/>
  <c r="C1218" i="20"/>
  <c r="E1218" i="20" s="1"/>
  <c r="W81" i="27"/>
  <c r="C977" i="20"/>
  <c r="Y65" i="27"/>
  <c r="C542" i="20"/>
  <c r="Y36" i="27"/>
  <c r="C543" i="20"/>
  <c r="W36" i="27"/>
  <c r="R114" i="1"/>
  <c r="C752" i="20"/>
  <c r="N752" i="20" s="1"/>
  <c r="Y50" i="27"/>
  <c r="J408" i="20"/>
  <c r="N783" i="20"/>
  <c r="C1668" i="20"/>
  <c r="W111" i="27"/>
  <c r="C858" i="20"/>
  <c r="W57" i="27"/>
  <c r="C1037" i="20"/>
  <c r="E1037" i="20" s="1"/>
  <c r="Y69" i="27"/>
  <c r="C182" i="20"/>
  <c r="Y12" i="27"/>
  <c r="C1442" i="20"/>
  <c r="Y96" i="27"/>
  <c r="O1158" i="20"/>
  <c r="K408" i="20"/>
  <c r="O783" i="20"/>
  <c r="C348" i="20"/>
  <c r="H348" i="20" s="1"/>
  <c r="W23" i="27"/>
  <c r="C1518" i="20"/>
  <c r="L1518" i="20" s="1"/>
  <c r="W101" i="27"/>
  <c r="C317" i="20"/>
  <c r="H317" i="20" s="1"/>
  <c r="Y21" i="27"/>
  <c r="C1427" i="20"/>
  <c r="Y95" i="27"/>
  <c r="C722" i="20"/>
  <c r="Y48" i="27"/>
  <c r="C213" i="20"/>
  <c r="K213" i="20" s="1"/>
  <c r="W14" i="27"/>
  <c r="C1607" i="20"/>
  <c r="Y107" i="27"/>
  <c r="L408" i="20"/>
  <c r="C243" i="20"/>
  <c r="D243" i="20" s="1"/>
  <c r="W16" i="27"/>
  <c r="C798" i="20"/>
  <c r="G798" i="20" s="1"/>
  <c r="W53" i="27"/>
  <c r="C1143" i="20"/>
  <c r="W76" i="27"/>
  <c r="C1127" i="20"/>
  <c r="Y75" i="27"/>
  <c r="C1458" i="20"/>
  <c r="W97" i="27"/>
  <c r="C887" i="20"/>
  <c r="Y59" i="27"/>
  <c r="C1698" i="20"/>
  <c r="W113" i="27"/>
  <c r="C167" i="20"/>
  <c r="H167" i="20" s="1"/>
  <c r="Y11" i="27"/>
  <c r="C1473" i="20"/>
  <c r="K1473" i="20" s="1"/>
  <c r="W98" i="27"/>
  <c r="M408" i="20"/>
  <c r="C423" i="20"/>
  <c r="W28" i="27"/>
  <c r="C407" i="20"/>
  <c r="G407" i="20" s="1"/>
  <c r="Y27" i="27"/>
  <c r="C738" i="20"/>
  <c r="W49" i="27"/>
  <c r="C1368" i="20"/>
  <c r="N1368" i="20" s="1"/>
  <c r="W91" i="27"/>
  <c r="C753" i="20"/>
  <c r="I753" i="20" s="1"/>
  <c r="W50" i="27"/>
  <c r="N408" i="20"/>
  <c r="F783" i="20"/>
  <c r="C258" i="20"/>
  <c r="O258" i="20" s="1"/>
  <c r="W17" i="27"/>
  <c r="C1563" i="20"/>
  <c r="F1563" i="20" s="1"/>
  <c r="W104" i="27"/>
  <c r="C198" i="20"/>
  <c r="M198" i="20" s="1"/>
  <c r="W13" i="27"/>
  <c r="C318" i="20"/>
  <c r="W21" i="27"/>
  <c r="C1397" i="20"/>
  <c r="Y93" i="27"/>
  <c r="C1713" i="20"/>
  <c r="F1713" i="20" s="1"/>
  <c r="W114" i="27"/>
  <c r="C978" i="20"/>
  <c r="I978" i="20" s="1"/>
  <c r="W65" i="27"/>
  <c r="C1233" i="20"/>
  <c r="I1233" i="20" s="1"/>
  <c r="W82" i="27"/>
  <c r="C1727" i="20"/>
  <c r="L1727" i="20" s="1"/>
  <c r="Y115" i="27"/>
  <c r="C932" i="20"/>
  <c r="E932" i="20" s="1"/>
  <c r="Y62" i="27"/>
  <c r="C1728" i="20"/>
  <c r="N1728" i="20" s="1"/>
  <c r="W115" i="27"/>
  <c r="D678" i="20"/>
  <c r="O408" i="20"/>
  <c r="G783" i="20"/>
  <c r="C843" i="20"/>
  <c r="O843" i="20" s="1"/>
  <c r="W56" i="27"/>
  <c r="C1637" i="20"/>
  <c r="I1637" i="20" s="1"/>
  <c r="Y109" i="27"/>
  <c r="C1577" i="20"/>
  <c r="Y105" i="27"/>
  <c r="C677" i="20"/>
  <c r="Y45" i="27"/>
  <c r="C587" i="20"/>
  <c r="E587" i="20" s="1"/>
  <c r="Y39" i="27"/>
  <c r="C1008" i="20"/>
  <c r="F1008" i="20" s="1"/>
  <c r="W67" i="27"/>
  <c r="F1158" i="20"/>
  <c r="F678" i="20"/>
  <c r="D903" i="20"/>
  <c r="N1098" i="20"/>
  <c r="R42" i="1"/>
  <c r="M1503" i="20"/>
  <c r="I783" i="20"/>
  <c r="C1308" i="20"/>
  <c r="E1308" i="20" s="1"/>
  <c r="W87" i="27"/>
  <c r="C602" i="20"/>
  <c r="I602" i="20" s="1"/>
  <c r="Y40" i="27"/>
  <c r="C1277" i="20"/>
  <c r="M1277" i="20" s="1"/>
  <c r="Y85" i="27"/>
  <c r="C1232" i="20"/>
  <c r="Y82" i="27"/>
  <c r="C647" i="20"/>
  <c r="E647" i="20" s="1"/>
  <c r="Y43" i="27"/>
  <c r="C1652" i="20"/>
  <c r="M1652" i="20" s="1"/>
  <c r="Y110" i="27"/>
  <c r="C1382" i="20"/>
  <c r="H1382" i="20" s="1"/>
  <c r="Y92" i="27"/>
  <c r="C1007" i="20"/>
  <c r="Y67" i="27"/>
  <c r="C1638" i="20"/>
  <c r="F1638" i="20" s="1"/>
  <c r="W109" i="27"/>
  <c r="C212" i="20"/>
  <c r="N212" i="20" s="1"/>
  <c r="Y14" i="27"/>
  <c r="R56" i="1"/>
  <c r="C1172" i="20"/>
  <c r="J1172" i="20" s="1"/>
  <c r="Y78" i="27"/>
  <c r="C287" i="20"/>
  <c r="D287" i="20" s="1"/>
  <c r="Y19" i="27"/>
  <c r="C918" i="20"/>
  <c r="K918" i="20" s="1"/>
  <c r="W61" i="27"/>
  <c r="C1278" i="20"/>
  <c r="W85" i="27"/>
  <c r="C288" i="20"/>
  <c r="N288" i="20" s="1"/>
  <c r="W19" i="27"/>
  <c r="H678" i="20"/>
  <c r="E903" i="20"/>
  <c r="O1098" i="20"/>
  <c r="R22" i="1"/>
  <c r="J783" i="20"/>
  <c r="C588" i="20"/>
  <c r="F588" i="20" s="1"/>
  <c r="W39" i="27"/>
  <c r="C917" i="20"/>
  <c r="I917" i="20" s="1"/>
  <c r="Y61" i="27"/>
  <c r="C1142" i="20"/>
  <c r="Y76" i="27"/>
  <c r="C438" i="20"/>
  <c r="W29" i="27"/>
  <c r="C723" i="20"/>
  <c r="E723" i="20" s="1"/>
  <c r="W48" i="27"/>
  <c r="R41" i="1"/>
  <c r="C662" i="20"/>
  <c r="J662" i="20" s="1"/>
  <c r="Y44" i="27"/>
  <c r="R61" i="1"/>
  <c r="C513" i="20"/>
  <c r="W34" i="27"/>
  <c r="C452" i="20"/>
  <c r="D452" i="20" s="1"/>
  <c r="Y30" i="27"/>
  <c r="C1517" i="20"/>
  <c r="L1517" i="20" s="1"/>
  <c r="Y101" i="27"/>
  <c r="C1173" i="20"/>
  <c r="W78" i="27"/>
  <c r="C1338" i="20"/>
  <c r="F1338" i="20" s="1"/>
  <c r="W89" i="27"/>
  <c r="C558" i="20"/>
  <c r="W37" i="27"/>
  <c r="C1247" i="20"/>
  <c r="I1247" i="20" s="1"/>
  <c r="Y83" i="27"/>
  <c r="I1158" i="20"/>
  <c r="I678" i="20"/>
  <c r="F903" i="20"/>
  <c r="D1098" i="20"/>
  <c r="G1128" i="20"/>
  <c r="M618" i="20"/>
  <c r="E1503" i="20"/>
  <c r="C1608" i="20"/>
  <c r="H1608" i="20" s="1"/>
  <c r="W107" i="27"/>
  <c r="C557" i="20"/>
  <c r="Y37" i="27"/>
  <c r="C422" i="20"/>
  <c r="Y28" i="27"/>
  <c r="C768" i="20"/>
  <c r="W51" i="27"/>
  <c r="C1203" i="20"/>
  <c r="W80" i="27"/>
  <c r="C1053" i="20"/>
  <c r="I1053" i="20" s="1"/>
  <c r="W70" i="27"/>
  <c r="C1202" i="20"/>
  <c r="N1202" i="20" s="1"/>
  <c r="Y80" i="27"/>
  <c r="C1353" i="20"/>
  <c r="W90" i="27"/>
  <c r="C633" i="20"/>
  <c r="E633" i="20" s="1"/>
  <c r="W42" i="27"/>
  <c r="C797" i="20"/>
  <c r="M797" i="20" s="1"/>
  <c r="Y53" i="27"/>
  <c r="C453" i="20"/>
  <c r="F453" i="20" s="1"/>
  <c r="W30" i="27"/>
  <c r="C1593" i="20"/>
  <c r="J1593" i="20" s="1"/>
  <c r="W106" i="27"/>
  <c r="C1533" i="20"/>
  <c r="K1533" i="20" s="1"/>
  <c r="W102" i="27"/>
  <c r="C527" i="20"/>
  <c r="L527" i="20" s="1"/>
  <c r="Y35" i="27"/>
  <c r="L678" i="20"/>
  <c r="G903" i="20"/>
  <c r="E1098" i="20"/>
  <c r="H1128" i="20"/>
  <c r="N618" i="20"/>
  <c r="H1503" i="20"/>
  <c r="C1248" i="20"/>
  <c r="I1248" i="20" s="1"/>
  <c r="W83" i="27"/>
  <c r="C197" i="20"/>
  <c r="Y13" i="27"/>
  <c r="C123" i="20"/>
  <c r="W8" i="27"/>
  <c r="C483" i="20"/>
  <c r="W32" i="27"/>
  <c r="C947" i="20"/>
  <c r="D947" i="20" s="1"/>
  <c r="Y63" i="27"/>
  <c r="R90" i="1"/>
  <c r="C77" i="20"/>
  <c r="D77" i="20" s="1"/>
  <c r="Y5" i="27"/>
  <c r="C1428" i="20"/>
  <c r="G1428" i="20" s="1"/>
  <c r="W95" i="27"/>
  <c r="C873" i="20"/>
  <c r="O873" i="20" s="1"/>
  <c r="W58" i="27"/>
  <c r="C813" i="20"/>
  <c r="M813" i="20" s="1"/>
  <c r="W54" i="27"/>
  <c r="C1292" i="20"/>
  <c r="K1292" i="20" s="1"/>
  <c r="Y86" i="27"/>
  <c r="C888" i="20"/>
  <c r="L888" i="20" s="1"/>
  <c r="W59" i="27"/>
  <c r="C498" i="20"/>
  <c r="I498" i="20" s="1"/>
  <c r="W33" i="27"/>
  <c r="C63" i="20"/>
  <c r="W4" i="27"/>
  <c r="D378" i="20"/>
  <c r="N303" i="20"/>
  <c r="K407" i="20"/>
  <c r="E378" i="20"/>
  <c r="M1248" i="20"/>
  <c r="M303" i="20"/>
  <c r="J1578" i="20"/>
  <c r="N108" i="20"/>
  <c r="E1682" i="20"/>
  <c r="O1683" i="20"/>
  <c r="O303" i="20"/>
  <c r="G108" i="20"/>
  <c r="L902" i="20"/>
  <c r="I1322" i="20"/>
  <c r="J198" i="20"/>
  <c r="O782" i="20"/>
  <c r="L198" i="20"/>
  <c r="H303" i="20"/>
  <c r="E1578" i="20"/>
  <c r="E782" i="20"/>
  <c r="I303" i="20"/>
  <c r="I1578" i="20"/>
  <c r="H1563" i="20"/>
  <c r="G963" i="20"/>
  <c r="J782" i="20"/>
  <c r="J303" i="20"/>
  <c r="K303" i="20"/>
  <c r="L498" i="20"/>
  <c r="M108" i="20"/>
  <c r="J617" i="20"/>
  <c r="D317" i="20"/>
  <c r="E317" i="20"/>
  <c r="J1322" i="20"/>
  <c r="L603" i="20"/>
  <c r="M1518" i="20"/>
  <c r="F317" i="20"/>
  <c r="J1518" i="20"/>
  <c r="G317" i="20"/>
  <c r="O198" i="20"/>
  <c r="D198" i="20"/>
  <c r="I317" i="20"/>
  <c r="G198" i="20"/>
  <c r="K317" i="20"/>
  <c r="O1022" i="20"/>
  <c r="D843" i="20"/>
  <c r="I1682" i="20"/>
  <c r="I603" i="20"/>
  <c r="N1248" i="20"/>
  <c r="M603" i="20"/>
  <c r="K1608" i="20"/>
  <c r="N603" i="20"/>
  <c r="L1578" i="20"/>
  <c r="E1563" i="20"/>
  <c r="D468" i="20"/>
  <c r="I108" i="20"/>
  <c r="G468" i="20"/>
  <c r="K108" i="20"/>
  <c r="H407" i="20"/>
  <c r="K62" i="20"/>
  <c r="H1322" i="20"/>
  <c r="D603" i="20"/>
  <c r="D1578" i="20"/>
  <c r="N782" i="20"/>
  <c r="E828" i="20"/>
  <c r="L108" i="20"/>
  <c r="N1277" i="20"/>
  <c r="D1277" i="20"/>
  <c r="H1682" i="20"/>
  <c r="K1682" i="20"/>
  <c r="R37" i="1"/>
  <c r="R86" i="1"/>
  <c r="P467" i="20"/>
  <c r="R127" i="1"/>
  <c r="K1383" i="20"/>
  <c r="E603" i="20"/>
  <c r="N78" i="20"/>
  <c r="K782" i="20"/>
  <c r="E1277" i="20"/>
  <c r="D1022" i="20"/>
  <c r="R52" i="1"/>
  <c r="O1682" i="20"/>
  <c r="O858" i="20"/>
  <c r="M963" i="20"/>
  <c r="R51" i="1"/>
  <c r="M378" i="20"/>
  <c r="M1038" i="20"/>
  <c r="G603" i="20"/>
  <c r="H843" i="20"/>
  <c r="I782" i="20"/>
  <c r="E1637" i="20"/>
  <c r="K1143" i="20"/>
  <c r="R21" i="1"/>
  <c r="D1383" i="20"/>
  <c r="E858" i="20"/>
  <c r="I843" i="20"/>
  <c r="M782" i="20"/>
  <c r="F1637" i="20"/>
  <c r="D423" i="20"/>
  <c r="F557" i="20"/>
  <c r="R26" i="1"/>
  <c r="R63" i="1"/>
  <c r="R43" i="1"/>
  <c r="G1277" i="20"/>
  <c r="P767" i="20"/>
  <c r="R17" i="1"/>
  <c r="H1022" i="20"/>
  <c r="M663" i="20"/>
  <c r="D1637" i="20"/>
  <c r="H1277" i="20"/>
  <c r="F1682" i="20"/>
  <c r="R32" i="1"/>
  <c r="D782" i="20"/>
  <c r="N1038" i="20"/>
  <c r="M843" i="20"/>
  <c r="J1637" i="20"/>
  <c r="R75" i="1"/>
  <c r="R27" i="1"/>
  <c r="G1712" i="20"/>
  <c r="L827" i="20"/>
  <c r="K827" i="20"/>
  <c r="J827" i="20"/>
  <c r="I827" i="20"/>
  <c r="H827" i="20"/>
  <c r="G827" i="20"/>
  <c r="F827" i="20"/>
  <c r="E827" i="20"/>
  <c r="D827" i="20"/>
  <c r="O827" i="20"/>
  <c r="N827" i="20"/>
  <c r="M827" i="20"/>
  <c r="R113" i="1"/>
  <c r="L1338" i="20"/>
  <c r="H1338" i="20"/>
  <c r="D1338" i="20"/>
  <c r="M1338" i="20"/>
  <c r="K1338" i="20"/>
  <c r="J1338" i="20"/>
  <c r="H1157" i="20"/>
  <c r="I1157" i="20"/>
  <c r="R73" i="1"/>
  <c r="R58" i="1"/>
  <c r="R120" i="1"/>
  <c r="F572" i="20"/>
  <c r="D572" i="20"/>
  <c r="O572" i="20"/>
  <c r="R34" i="1"/>
  <c r="I12" i="22"/>
  <c r="I11" i="22" s="1"/>
  <c r="H12" i="22"/>
  <c r="H11" i="22" s="1"/>
  <c r="O12" i="22"/>
  <c r="O11" i="22" s="1"/>
  <c r="N12" i="22"/>
  <c r="N11" i="22" s="1"/>
  <c r="L12" i="22"/>
  <c r="L11" i="22" s="1"/>
  <c r="E11" i="22"/>
  <c r="J12" i="22"/>
  <c r="J11" i="22" s="1"/>
  <c r="G12" i="22"/>
  <c r="G11" i="22" s="1"/>
  <c r="M12" i="22"/>
  <c r="M11" i="22" s="1"/>
  <c r="K12" i="22"/>
  <c r="K11" i="22" s="1"/>
  <c r="F12" i="22"/>
  <c r="F11" i="22" s="1"/>
  <c r="R72" i="1"/>
  <c r="R36" i="1"/>
  <c r="R93" i="1"/>
  <c r="R124" i="1"/>
  <c r="R46" i="1"/>
  <c r="R87" i="1"/>
  <c r="L1713" i="20"/>
  <c r="G1713" i="20"/>
  <c r="H993" i="20"/>
  <c r="O993" i="20"/>
  <c r="D14" i="12"/>
  <c r="D128" i="12"/>
  <c r="F992" i="20"/>
  <c r="N992" i="20"/>
  <c r="L992" i="20"/>
  <c r="I992" i="20"/>
  <c r="H992" i="20"/>
  <c r="G992" i="20"/>
  <c r="E992" i="20"/>
  <c r="D992" i="20"/>
  <c r="O992" i="20"/>
  <c r="K992" i="20"/>
  <c r="J992" i="20"/>
  <c r="R98" i="1"/>
  <c r="R59" i="1"/>
  <c r="R54" i="1"/>
  <c r="J723" i="20"/>
  <c r="I723" i="20"/>
  <c r="F752" i="20"/>
  <c r="D752" i="20"/>
  <c r="O752" i="20"/>
  <c r="R116" i="1"/>
  <c r="N1593" i="20"/>
  <c r="R53" i="1"/>
  <c r="R38" i="1"/>
  <c r="R107" i="1"/>
  <c r="R68" i="1"/>
  <c r="R111" i="1"/>
  <c r="R30" i="1"/>
  <c r="R78" i="1"/>
  <c r="I633" i="20"/>
  <c r="R16" i="1"/>
  <c r="R71" i="1"/>
  <c r="Q9" i="4"/>
  <c r="R81" i="1"/>
  <c r="R126" i="1"/>
  <c r="L272" i="20"/>
  <c r="K272" i="20"/>
  <c r="J272" i="20"/>
  <c r="I272" i="20"/>
  <c r="H272" i="20"/>
  <c r="G272" i="20"/>
  <c r="F272" i="20"/>
  <c r="E272" i="20"/>
  <c r="D272" i="20"/>
  <c r="O272" i="20"/>
  <c r="N272" i="20"/>
  <c r="M272" i="20"/>
  <c r="R101" i="1"/>
  <c r="R108" i="1"/>
  <c r="O1082" i="20"/>
  <c r="N1082" i="20"/>
  <c r="M1082" i="20"/>
  <c r="L1082" i="20"/>
  <c r="K1082" i="20"/>
  <c r="J1082" i="20"/>
  <c r="I1082" i="20"/>
  <c r="H1082" i="20"/>
  <c r="G1082" i="20"/>
  <c r="D15" i="8"/>
  <c r="D129" i="8"/>
  <c r="R47" i="1"/>
  <c r="F1412" i="20"/>
  <c r="R62" i="1"/>
  <c r="E1307" i="20"/>
  <c r="J1307" i="20"/>
  <c r="G1307" i="20"/>
  <c r="H1307" i="20"/>
  <c r="F1307" i="20"/>
  <c r="D1307" i="20"/>
  <c r="O1307" i="20"/>
  <c r="F1473" i="20"/>
  <c r="O1473" i="20"/>
  <c r="M1473" i="20"/>
  <c r="I1473" i="20"/>
  <c r="H1473" i="20"/>
  <c r="N1473" i="20"/>
  <c r="J1473" i="20"/>
  <c r="G1473" i="20"/>
  <c r="D1473" i="20"/>
  <c r="R83" i="1"/>
  <c r="R117" i="1"/>
  <c r="I1292" i="20"/>
  <c r="E1292" i="20"/>
  <c r="N1292" i="20"/>
  <c r="H1292" i="20"/>
  <c r="M1292" i="20"/>
  <c r="F347" i="20"/>
  <c r="E347" i="20"/>
  <c r="D347" i="20"/>
  <c r="G347" i="20"/>
  <c r="O347" i="20"/>
  <c r="N347" i="20"/>
  <c r="R33" i="1"/>
  <c r="D14" i="16"/>
  <c r="D128" i="16"/>
  <c r="H1517" i="20"/>
  <c r="J1517" i="20"/>
  <c r="E1517" i="20"/>
  <c r="K453" i="20"/>
  <c r="J453" i="20"/>
  <c r="H453" i="20"/>
  <c r="G453" i="20"/>
  <c r="R121" i="1"/>
  <c r="G362" i="20"/>
  <c r="O362" i="20"/>
  <c r="N362" i="20"/>
  <c r="M362" i="20"/>
  <c r="L362" i="20"/>
  <c r="F362" i="20"/>
  <c r="R49" i="1"/>
  <c r="O7" i="3"/>
  <c r="P8" i="3" s="1"/>
  <c r="R35" i="1"/>
  <c r="R106" i="1"/>
  <c r="N1293" i="20"/>
  <c r="K1293" i="20"/>
  <c r="O1428" i="20"/>
  <c r="H1428" i="20"/>
  <c r="R109" i="1"/>
  <c r="H887" i="20"/>
  <c r="G887" i="20"/>
  <c r="F887" i="20"/>
  <c r="E887" i="20"/>
  <c r="D887" i="20"/>
  <c r="O887" i="20"/>
  <c r="N887" i="20"/>
  <c r="M887" i="20"/>
  <c r="L887" i="20"/>
  <c r="K887" i="20"/>
  <c r="J887" i="20"/>
  <c r="I887" i="20"/>
  <c r="R40" i="1"/>
  <c r="R20" i="1"/>
  <c r="D39" i="6"/>
  <c r="R57" i="1"/>
  <c r="R82" i="1"/>
  <c r="I1728" i="20"/>
  <c r="D1728" i="20"/>
  <c r="R65" i="1"/>
  <c r="R102" i="1"/>
  <c r="R125" i="1"/>
  <c r="R104" i="1"/>
  <c r="R18" i="1"/>
  <c r="J647" i="20"/>
  <c r="I647" i="20"/>
  <c r="N1698" i="20"/>
  <c r="J1698" i="20"/>
  <c r="H1698" i="20"/>
  <c r="G1698" i="20"/>
  <c r="F1698" i="20"/>
  <c r="O1698" i="20"/>
  <c r="K1698" i="20"/>
  <c r="M1698" i="20"/>
  <c r="D1698" i="20"/>
  <c r="L1698" i="20"/>
  <c r="I1698" i="20"/>
  <c r="E1698" i="20"/>
  <c r="R67" i="1"/>
  <c r="R70" i="1"/>
  <c r="J1667" i="20"/>
  <c r="I1667" i="20"/>
  <c r="O1667" i="20"/>
  <c r="L1667" i="20"/>
  <c r="D167" i="20"/>
  <c r="K167" i="20"/>
  <c r="J167" i="20"/>
  <c r="I167" i="20"/>
  <c r="M1592" i="20"/>
  <c r="L1592" i="20"/>
  <c r="I1592" i="20"/>
  <c r="J1592" i="20"/>
  <c r="D1592" i="20"/>
  <c r="N1592" i="20"/>
  <c r="H1592" i="20"/>
  <c r="F1592" i="20"/>
  <c r="E1592" i="20"/>
  <c r="K1592" i="20"/>
  <c r="D15" i="9"/>
  <c r="D129" i="9"/>
  <c r="M1008" i="20"/>
  <c r="I1008" i="20"/>
  <c r="H1008" i="20"/>
  <c r="G1008" i="20"/>
  <c r="E1008" i="20"/>
  <c r="D1008" i="20"/>
  <c r="O1008" i="20"/>
  <c r="N1008" i="20"/>
  <c r="L1008" i="20"/>
  <c r="K1008" i="20"/>
  <c r="J1008" i="20"/>
  <c r="R89" i="1"/>
  <c r="R128" i="1"/>
  <c r="R50" i="1"/>
  <c r="R118" i="1"/>
  <c r="D978" i="20"/>
  <c r="K978" i="20"/>
  <c r="M978" i="20"/>
  <c r="J978" i="20"/>
  <c r="H978" i="20"/>
  <c r="G978" i="20"/>
  <c r="F978" i="20"/>
  <c r="N978" i="20"/>
  <c r="R19" i="1"/>
  <c r="F1113" i="20"/>
  <c r="E1113" i="20"/>
  <c r="D1113" i="20"/>
  <c r="O1113" i="20"/>
  <c r="N1113" i="20"/>
  <c r="O1652" i="20"/>
  <c r="K1652" i="20"/>
  <c r="I1652" i="20"/>
  <c r="H1652" i="20"/>
  <c r="L1652" i="20"/>
  <c r="C47" i="20"/>
  <c r="Q15" i="18"/>
  <c r="K872" i="20"/>
  <c r="J872" i="20"/>
  <c r="I872" i="20"/>
  <c r="H872" i="20"/>
  <c r="G872" i="20"/>
  <c r="N872" i="20"/>
  <c r="M872" i="20"/>
  <c r="R91" i="1"/>
  <c r="N558" i="20"/>
  <c r="M558" i="20"/>
  <c r="K122" i="20"/>
  <c r="J122" i="20"/>
  <c r="I122" i="20"/>
  <c r="E122" i="20"/>
  <c r="O288" i="20"/>
  <c r="J288" i="20"/>
  <c r="R88" i="1"/>
  <c r="R48" i="1"/>
  <c r="R28" i="1"/>
  <c r="F363" i="20"/>
  <c r="O363" i="20"/>
  <c r="L363" i="20"/>
  <c r="F332" i="20"/>
  <c r="E332" i="20"/>
  <c r="D332" i="20"/>
  <c r="O332" i="20"/>
  <c r="N332" i="20"/>
  <c r="I332" i="20"/>
  <c r="R25" i="1"/>
  <c r="R122" i="1"/>
  <c r="J227" i="20"/>
  <c r="I227" i="20"/>
  <c r="J393" i="20"/>
  <c r="G393" i="20"/>
  <c r="F393" i="20"/>
  <c r="E393" i="20"/>
  <c r="D393" i="20"/>
  <c r="O393" i="20"/>
  <c r="M393" i="20"/>
  <c r="L393" i="20"/>
  <c r="K393" i="20"/>
  <c r="I393" i="20"/>
  <c r="H393" i="20"/>
  <c r="N393" i="20"/>
  <c r="D932" i="20"/>
  <c r="L932" i="20"/>
  <c r="O932" i="20"/>
  <c r="R84" i="1"/>
  <c r="D152" i="20"/>
  <c r="O152" i="20"/>
  <c r="N152" i="20"/>
  <c r="M152" i="20"/>
  <c r="L152" i="20"/>
  <c r="K152" i="20"/>
  <c r="J152" i="20"/>
  <c r="I152" i="20"/>
  <c r="F152" i="20"/>
  <c r="E152" i="20"/>
  <c r="E1533" i="20"/>
  <c r="I1533" i="20"/>
  <c r="F1097" i="20"/>
  <c r="E1097" i="20"/>
  <c r="D1097" i="20"/>
  <c r="R80" i="1"/>
  <c r="R24" i="1"/>
  <c r="R44" i="1"/>
  <c r="R100" i="1"/>
  <c r="M1083" i="20"/>
  <c r="J1083" i="20"/>
  <c r="I1083" i="20"/>
  <c r="F1172" i="20"/>
  <c r="D1172" i="20"/>
  <c r="O1172" i="20"/>
  <c r="N1172" i="20"/>
  <c r="M1172" i="20"/>
  <c r="L1172" i="20"/>
  <c r="I1172" i="20"/>
  <c r="H1172" i="20"/>
  <c r="E1172" i="20"/>
  <c r="R97" i="1"/>
  <c r="R79" i="1"/>
  <c r="D1368" i="20"/>
  <c r="F1368" i="20"/>
  <c r="L1053" i="20"/>
  <c r="R92" i="1"/>
  <c r="D1487" i="20"/>
  <c r="R110" i="1"/>
  <c r="N962" i="20"/>
  <c r="J962" i="20"/>
  <c r="I962" i="20"/>
  <c r="H962" i="20"/>
  <c r="D962" i="20"/>
  <c r="O962" i="20"/>
  <c r="L962" i="20"/>
  <c r="G962" i="20"/>
  <c r="F962" i="20"/>
  <c r="E962" i="20"/>
  <c r="R105" i="1"/>
  <c r="O813" i="20"/>
  <c r="I377" i="20"/>
  <c r="E377" i="20"/>
  <c r="R96" i="1"/>
  <c r="R45" i="1"/>
  <c r="C48" i="20"/>
  <c r="R60" i="1"/>
  <c r="R119" i="1"/>
  <c r="N737" i="20"/>
  <c r="O737" i="20"/>
  <c r="M737" i="20"/>
  <c r="J15" i="24"/>
  <c r="K16" i="24"/>
  <c r="R95" i="1"/>
  <c r="I482" i="20"/>
  <c r="F482" i="20"/>
  <c r="E482" i="20"/>
  <c r="D482" i="20"/>
  <c r="O482" i="20"/>
  <c r="J482" i="20"/>
  <c r="D648" i="20"/>
  <c r="O648" i="20"/>
  <c r="N648" i="20"/>
  <c r="M648" i="20"/>
  <c r="L648" i="20"/>
  <c r="K648" i="20"/>
  <c r="J648" i="20"/>
  <c r="E648" i="20"/>
  <c r="M333" i="20"/>
  <c r="L333" i="20"/>
  <c r="K333" i="20"/>
  <c r="R55" i="1"/>
  <c r="R29" i="1"/>
  <c r="E15" i="7"/>
  <c r="E129" i="7"/>
  <c r="N1653" i="20"/>
  <c r="J1653" i="20"/>
  <c r="H1653" i="20"/>
  <c r="G1653" i="20"/>
  <c r="D1653" i="20"/>
  <c r="M1653" i="20"/>
  <c r="L1653" i="20"/>
  <c r="F1653" i="20"/>
  <c r="I1653" i="20"/>
  <c r="O1653" i="20"/>
  <c r="K1653" i="20"/>
  <c r="E1653" i="20"/>
  <c r="O242" i="20"/>
  <c r="N242" i="20"/>
  <c r="M242" i="20"/>
  <c r="L242" i="20"/>
  <c r="K242" i="20"/>
  <c r="K93" i="20"/>
  <c r="J93" i="20"/>
  <c r="G93" i="20"/>
  <c r="F93" i="20"/>
  <c r="E93" i="20"/>
  <c r="D93" i="20"/>
  <c r="M93" i="20"/>
  <c r="O93" i="20"/>
  <c r="N93" i="20"/>
  <c r="R39" i="1"/>
  <c r="R76" i="1"/>
  <c r="R74" i="1"/>
  <c r="R94" i="1"/>
  <c r="R103" i="1"/>
  <c r="O1547" i="20"/>
  <c r="I1547" i="20"/>
  <c r="M1547" i="20"/>
  <c r="J1547" i="20"/>
  <c r="F1547" i="20"/>
  <c r="G1547" i="20"/>
  <c r="E1547" i="20"/>
  <c r="G1382" i="20"/>
  <c r="G452" i="20"/>
  <c r="E452" i="20"/>
  <c r="N452" i="20"/>
  <c r="L452" i="20"/>
  <c r="K452" i="20"/>
  <c r="J452" i="20"/>
  <c r="I452" i="20"/>
  <c r="R23" i="1"/>
  <c r="R64" i="1"/>
  <c r="R85" i="1"/>
  <c r="R31" i="1"/>
  <c r="R77" i="1"/>
  <c r="J1217" i="20"/>
  <c r="H1217" i="20"/>
  <c r="G1217" i="20"/>
  <c r="F1217" i="20"/>
  <c r="D1217" i="20"/>
  <c r="O1217" i="20"/>
  <c r="N1217" i="20"/>
  <c r="E1217" i="20"/>
  <c r="M1217" i="20"/>
  <c r="L1217" i="20"/>
  <c r="I1217" i="20"/>
  <c r="N1367" i="20"/>
  <c r="H1367" i="20"/>
  <c r="O1367" i="20"/>
  <c r="J1367" i="20"/>
  <c r="F1367" i="20"/>
  <c r="L1367" i="20"/>
  <c r="K1367" i="20"/>
  <c r="I1367" i="20"/>
  <c r="R69" i="1"/>
  <c r="K527" i="20"/>
  <c r="J527" i="20"/>
  <c r="I527" i="20"/>
  <c r="O527" i="20"/>
  <c r="R66" i="1"/>
  <c r="R115" i="1"/>
  <c r="R112" i="1"/>
  <c r="K1158" i="20" l="1"/>
  <c r="P948" i="20"/>
  <c r="G243" i="20"/>
  <c r="H1158" i="20"/>
  <c r="H1728" i="20"/>
  <c r="E287" i="20"/>
  <c r="O1202" i="20"/>
  <c r="O1728" i="20"/>
  <c r="G1293" i="20"/>
  <c r="E453" i="20"/>
  <c r="F287" i="20"/>
  <c r="N1323" i="20"/>
  <c r="J1188" i="20"/>
  <c r="M1728" i="20"/>
  <c r="I1293" i="20"/>
  <c r="G287" i="20"/>
  <c r="H663" i="20"/>
  <c r="D1158" i="20"/>
  <c r="P1158" i="20" s="1"/>
  <c r="O1293" i="20"/>
  <c r="F663" i="20"/>
  <c r="J1157" i="20"/>
  <c r="E1158" i="20"/>
  <c r="N1158" i="20"/>
  <c r="O573" i="20"/>
  <c r="H1293" i="20"/>
  <c r="F587" i="20"/>
  <c r="O842" i="20"/>
  <c r="G587" i="20"/>
  <c r="O1338" i="20"/>
  <c r="M828" i="20"/>
  <c r="G303" i="20"/>
  <c r="K1068" i="20"/>
  <c r="E153" i="20"/>
  <c r="F303" i="20"/>
  <c r="G1158" i="20"/>
  <c r="D1457" i="20"/>
  <c r="K1247" i="20"/>
  <c r="D842" i="20"/>
  <c r="E77" i="20"/>
  <c r="P77" i="20" s="1"/>
  <c r="H573" i="20"/>
  <c r="G1593" i="20"/>
  <c r="I1338" i="20"/>
  <c r="N1457" i="20"/>
  <c r="L978" i="20"/>
  <c r="E842" i="20"/>
  <c r="G77" i="20"/>
  <c r="J573" i="20"/>
  <c r="J153" i="20"/>
  <c r="I1593" i="20"/>
  <c r="O828" i="20"/>
  <c r="F1457" i="20"/>
  <c r="E662" i="20"/>
  <c r="N1652" i="20"/>
  <c r="O978" i="20"/>
  <c r="H77" i="20"/>
  <c r="H647" i="20"/>
  <c r="M1307" i="20"/>
  <c r="M1593" i="20"/>
  <c r="L1443" i="20"/>
  <c r="E663" i="20"/>
  <c r="J888" i="20"/>
  <c r="N573" i="20"/>
  <c r="K587" i="20"/>
  <c r="D1638" i="20"/>
  <c r="M842" i="20"/>
  <c r="F1233" i="20"/>
  <c r="N842" i="20"/>
  <c r="D573" i="20"/>
  <c r="E573" i="20"/>
  <c r="M662" i="20"/>
  <c r="D1652" i="20"/>
  <c r="E978" i="20"/>
  <c r="P978" i="20" s="1"/>
  <c r="N77" i="20"/>
  <c r="H1593" i="20"/>
  <c r="J918" i="20"/>
  <c r="O1443" i="20"/>
  <c r="M168" i="20"/>
  <c r="M498" i="20"/>
  <c r="J1158" i="20"/>
  <c r="E1638" i="20"/>
  <c r="I1638" i="20"/>
  <c r="L662" i="20"/>
  <c r="J1652" i="20"/>
  <c r="F1652" i="20"/>
  <c r="J77" i="20"/>
  <c r="K1593" i="20"/>
  <c r="F1443" i="20"/>
  <c r="L1022" i="20"/>
  <c r="M1682" i="20"/>
  <c r="F828" i="20"/>
  <c r="E303" i="20"/>
  <c r="K1157" i="20"/>
  <c r="M573" i="20"/>
  <c r="L753" i="20"/>
  <c r="M77" i="20"/>
  <c r="E1593" i="20"/>
  <c r="M1443" i="20"/>
  <c r="I663" i="20"/>
  <c r="G1652" i="20"/>
  <c r="L77" i="20"/>
  <c r="L1593" i="20"/>
  <c r="N572" i="20"/>
  <c r="H1443" i="20"/>
  <c r="H1037" i="20"/>
  <c r="I1277" i="20"/>
  <c r="E62" i="20"/>
  <c r="D303" i="20"/>
  <c r="P783" i="20"/>
  <c r="D1037" i="20"/>
  <c r="F407" i="20"/>
  <c r="M1367" i="20"/>
  <c r="L1262" i="20"/>
  <c r="N1037" i="20"/>
  <c r="M1202" i="20"/>
  <c r="D1202" i="20"/>
  <c r="K662" i="20"/>
  <c r="E1247" i="20"/>
  <c r="E692" i="20"/>
  <c r="K692" i="20"/>
  <c r="P1187" i="20"/>
  <c r="L1382" i="20"/>
  <c r="O1352" i="20"/>
  <c r="O692" i="20"/>
  <c r="D1352" i="20"/>
  <c r="F692" i="20"/>
  <c r="G692" i="20"/>
  <c r="E1472" i="20"/>
  <c r="P257" i="20"/>
  <c r="D1382" i="20"/>
  <c r="F1262" i="20"/>
  <c r="H692" i="20"/>
  <c r="M1382" i="20"/>
  <c r="D1262" i="20"/>
  <c r="H1547" i="20"/>
  <c r="K1172" i="20"/>
  <c r="H152" i="20"/>
  <c r="P152" i="20" s="1"/>
  <c r="O1592" i="20"/>
  <c r="P1592" i="20" s="1"/>
  <c r="D797" i="20"/>
  <c r="I1307" i="20"/>
  <c r="F1082" i="20"/>
  <c r="P1082" i="20" s="1"/>
  <c r="M107" i="20"/>
  <c r="H572" i="20"/>
  <c r="D1472" i="20"/>
  <c r="G1727" i="20"/>
  <c r="F782" i="20"/>
  <c r="J407" i="20"/>
  <c r="G1352" i="20"/>
  <c r="H1352" i="20"/>
  <c r="O1472" i="20"/>
  <c r="E917" i="20"/>
  <c r="N407" i="20"/>
  <c r="F632" i="20"/>
  <c r="J1382" i="20"/>
  <c r="J1352" i="20"/>
  <c r="G1172" i="20"/>
  <c r="L692" i="20"/>
  <c r="D1082" i="20"/>
  <c r="E107" i="20"/>
  <c r="H1472" i="20"/>
  <c r="I62" i="20"/>
  <c r="H782" i="20"/>
  <c r="D1547" i="20"/>
  <c r="P1547" i="20" s="1"/>
  <c r="L107" i="20"/>
  <c r="D1367" i="20"/>
  <c r="P1367" i="20" s="1"/>
  <c r="N1547" i="20"/>
  <c r="E947" i="20"/>
  <c r="E797" i="20"/>
  <c r="K1307" i="20"/>
  <c r="N107" i="20"/>
  <c r="J572" i="20"/>
  <c r="F1472" i="20"/>
  <c r="J497" i="20"/>
  <c r="G1022" i="20"/>
  <c r="L782" i="20"/>
  <c r="N1382" i="20"/>
  <c r="E1352" i="20"/>
  <c r="N797" i="20"/>
  <c r="G572" i="20"/>
  <c r="N1472" i="20"/>
  <c r="K1637" i="20"/>
  <c r="E1367" i="20"/>
  <c r="K1547" i="20"/>
  <c r="M932" i="20"/>
  <c r="O947" i="20"/>
  <c r="F797" i="20"/>
  <c r="L1307" i="20"/>
  <c r="G107" i="20"/>
  <c r="L572" i="20"/>
  <c r="L1472" i="20"/>
  <c r="K497" i="20"/>
  <c r="N932" i="20"/>
  <c r="L1292" i="20"/>
  <c r="H107" i="20"/>
  <c r="M572" i="20"/>
  <c r="L497" i="20"/>
  <c r="N813" i="20"/>
  <c r="J1053" i="20"/>
  <c r="G723" i="20"/>
  <c r="O1308" i="20"/>
  <c r="J1023" i="20"/>
  <c r="K243" i="20"/>
  <c r="K1053" i="20"/>
  <c r="H723" i="20"/>
  <c r="D1038" i="20"/>
  <c r="G1323" i="20"/>
  <c r="K723" i="20"/>
  <c r="N723" i="20"/>
  <c r="O723" i="20"/>
  <c r="E528" i="20"/>
  <c r="I528" i="20"/>
  <c r="F1728" i="20"/>
  <c r="D153" i="20"/>
  <c r="I453" i="20"/>
  <c r="I1308" i="20"/>
  <c r="O243" i="20"/>
  <c r="E1323" i="20"/>
  <c r="O1323" i="20"/>
  <c r="M1053" i="20"/>
  <c r="P1503" i="20"/>
  <c r="H153" i="20"/>
  <c r="J1068" i="20"/>
  <c r="O1533" i="20"/>
  <c r="I153" i="20"/>
  <c r="F1038" i="20"/>
  <c r="K1038" i="20"/>
  <c r="L1323" i="20"/>
  <c r="G1308" i="20"/>
  <c r="I1518" i="20"/>
  <c r="K153" i="20"/>
  <c r="M1068" i="20"/>
  <c r="L153" i="20"/>
  <c r="K1323" i="20"/>
  <c r="D1518" i="20"/>
  <c r="L1068" i="20"/>
  <c r="N1068" i="20"/>
  <c r="D813" i="20"/>
  <c r="M153" i="20"/>
  <c r="F1593" i="20"/>
  <c r="H603" i="20"/>
  <c r="F378" i="20"/>
  <c r="F603" i="20"/>
  <c r="N153" i="20"/>
  <c r="N1023" i="20"/>
  <c r="L1023" i="20"/>
  <c r="J1323" i="20"/>
  <c r="P1488" i="20"/>
  <c r="D1068" i="20"/>
  <c r="J1038" i="20"/>
  <c r="N1053" i="20"/>
  <c r="O1068" i="20"/>
  <c r="E813" i="20"/>
  <c r="F813" i="20"/>
  <c r="O153" i="20"/>
  <c r="E1038" i="20"/>
  <c r="E1068" i="20"/>
  <c r="G813" i="20"/>
  <c r="G1023" i="20"/>
  <c r="L1188" i="20"/>
  <c r="N753" i="20"/>
  <c r="K1443" i="20"/>
  <c r="G1068" i="20"/>
  <c r="I813" i="20"/>
  <c r="E1053" i="20"/>
  <c r="E288" i="20"/>
  <c r="D723" i="20"/>
  <c r="N1443" i="20"/>
  <c r="L1038" i="20"/>
  <c r="F1518" i="20"/>
  <c r="J813" i="20"/>
  <c r="F1053" i="20"/>
  <c r="F288" i="20"/>
  <c r="D213" i="20"/>
  <c r="F723" i="20"/>
  <c r="E1443" i="20"/>
  <c r="K663" i="20"/>
  <c r="O1038" i="20"/>
  <c r="O663" i="20"/>
  <c r="F1578" i="20"/>
  <c r="H813" i="20"/>
  <c r="G153" i="20"/>
  <c r="N1308" i="20"/>
  <c r="N243" i="20"/>
  <c r="O753" i="20"/>
  <c r="J633" i="20"/>
  <c r="N1563" i="20"/>
  <c r="O1578" i="20"/>
  <c r="H1068" i="20"/>
  <c r="I1068" i="20"/>
  <c r="H93" i="20"/>
  <c r="K813" i="20"/>
  <c r="G1053" i="20"/>
  <c r="E213" i="20"/>
  <c r="L723" i="20"/>
  <c r="I1443" i="20"/>
  <c r="E1023" i="20"/>
  <c r="E1608" i="20"/>
  <c r="L1248" i="20"/>
  <c r="O1053" i="20"/>
  <c r="M753" i="20"/>
  <c r="D1053" i="20"/>
  <c r="D288" i="20"/>
  <c r="G168" i="20"/>
  <c r="K1563" i="20"/>
  <c r="I93" i="20"/>
  <c r="L813" i="20"/>
  <c r="H1053" i="20"/>
  <c r="I213" i="20"/>
  <c r="M723" i="20"/>
  <c r="G1038" i="20"/>
  <c r="J843" i="20"/>
  <c r="D663" i="20"/>
  <c r="E843" i="20"/>
  <c r="H828" i="20"/>
  <c r="N1518" i="20"/>
  <c r="H1083" i="20"/>
  <c r="L663" i="20"/>
  <c r="G663" i="20"/>
  <c r="I1038" i="20"/>
  <c r="M1188" i="20"/>
  <c r="K1353" i="20"/>
  <c r="I1353" i="20"/>
  <c r="H1353" i="20"/>
  <c r="F1353" i="20"/>
  <c r="E1353" i="20"/>
  <c r="J1353" i="20"/>
  <c r="G1353" i="20"/>
  <c r="O1353" i="20"/>
  <c r="H1007" i="20"/>
  <c r="N1007" i="20"/>
  <c r="F1007" i="20"/>
  <c r="E1007" i="20"/>
  <c r="J1007" i="20"/>
  <c r="I1007" i="20"/>
  <c r="L1007" i="20"/>
  <c r="K1007" i="20"/>
  <c r="L423" i="20"/>
  <c r="H423" i="20"/>
  <c r="J423" i="20"/>
  <c r="E423" i="20"/>
  <c r="K423" i="20"/>
  <c r="N423" i="20"/>
  <c r="I423" i="20"/>
  <c r="M423" i="20"/>
  <c r="O1607" i="20"/>
  <c r="D1607" i="20"/>
  <c r="P408" i="20"/>
  <c r="O377" i="20"/>
  <c r="L377" i="20"/>
  <c r="H377" i="20"/>
  <c r="N377" i="20"/>
  <c r="M377" i="20"/>
  <c r="G377" i="20"/>
  <c r="F377" i="20"/>
  <c r="D377" i="20"/>
  <c r="H1683" i="20"/>
  <c r="N1683" i="20"/>
  <c r="I1683" i="20"/>
  <c r="E1683" i="20"/>
  <c r="J1683" i="20"/>
  <c r="F1683" i="20"/>
  <c r="G1683" i="20"/>
  <c r="K1683" i="20"/>
  <c r="L1683" i="20"/>
  <c r="D1683" i="20"/>
  <c r="N933" i="20"/>
  <c r="E933" i="20"/>
  <c r="I933" i="20"/>
  <c r="D933" i="20"/>
  <c r="O933" i="20"/>
  <c r="K933" i="20"/>
  <c r="K197" i="20"/>
  <c r="H197" i="20"/>
  <c r="M197" i="20"/>
  <c r="L197" i="20"/>
  <c r="H558" i="20"/>
  <c r="L558" i="20"/>
  <c r="J558" i="20"/>
  <c r="G558" i="20"/>
  <c r="K558" i="20"/>
  <c r="I558" i="20"/>
  <c r="F558" i="20"/>
  <c r="E558" i="20"/>
  <c r="D558" i="20"/>
  <c r="O558" i="20"/>
  <c r="I588" i="20"/>
  <c r="K588" i="20"/>
  <c r="N588" i="20"/>
  <c r="O588" i="20"/>
  <c r="H587" i="20"/>
  <c r="I587" i="20"/>
  <c r="D587" i="20"/>
  <c r="O587" i="20"/>
  <c r="N587" i="20"/>
  <c r="M587" i="20"/>
  <c r="L587" i="20"/>
  <c r="J587" i="20"/>
  <c r="K1713" i="20"/>
  <c r="M1713" i="20"/>
  <c r="E1713" i="20"/>
  <c r="N1713" i="20"/>
  <c r="H1713" i="20"/>
  <c r="J1713" i="20"/>
  <c r="D1713" i="20"/>
  <c r="O1713" i="20"/>
  <c r="I1713" i="20"/>
  <c r="D632" i="20"/>
  <c r="E632" i="20"/>
  <c r="N632" i="20"/>
  <c r="L632" i="20"/>
  <c r="O632" i="20"/>
  <c r="M632" i="20"/>
  <c r="K632" i="20"/>
  <c r="J632" i="20"/>
  <c r="I632" i="20"/>
  <c r="H632" i="20"/>
  <c r="D122" i="20"/>
  <c r="O122" i="20"/>
  <c r="L122" i="20"/>
  <c r="H122" i="20"/>
  <c r="G122" i="20"/>
  <c r="M122" i="20"/>
  <c r="F122" i="20"/>
  <c r="N122" i="20"/>
  <c r="O1457" i="20"/>
  <c r="M1457" i="20"/>
  <c r="L1457" i="20"/>
  <c r="I1457" i="20"/>
  <c r="H1457" i="20"/>
  <c r="K1457" i="20"/>
  <c r="G1457" i="20"/>
  <c r="E1457" i="20"/>
  <c r="P618" i="20"/>
  <c r="J1173" i="20"/>
  <c r="G1173" i="20"/>
  <c r="M318" i="20"/>
  <c r="L318" i="20"/>
  <c r="H318" i="20"/>
  <c r="G318" i="20"/>
  <c r="N902" i="20"/>
  <c r="G902" i="20"/>
  <c r="O902" i="20"/>
  <c r="L588" i="20"/>
  <c r="K1398" i="20"/>
  <c r="F1398" i="20"/>
  <c r="E1398" i="20"/>
  <c r="M527" i="20"/>
  <c r="H527" i="20"/>
  <c r="G527" i="20"/>
  <c r="F527" i="20"/>
  <c r="E527" i="20"/>
  <c r="D527" i="20"/>
  <c r="N527" i="20"/>
  <c r="E138" i="20"/>
  <c r="D138" i="20"/>
  <c r="J138" i="20"/>
  <c r="G138" i="20"/>
  <c r="N138" i="20"/>
  <c r="F138" i="20"/>
  <c r="O138" i="20"/>
  <c r="I873" i="20"/>
  <c r="I902" i="20"/>
  <c r="K377" i="20"/>
  <c r="G918" i="20"/>
  <c r="E1278" i="20"/>
  <c r="O1278" i="20"/>
  <c r="G1278" i="20"/>
  <c r="M1278" i="20"/>
  <c r="J1278" i="20"/>
  <c r="I1278" i="20"/>
  <c r="D1278" i="20"/>
  <c r="L1278" i="20"/>
  <c r="H1278" i="20"/>
  <c r="G557" i="20"/>
  <c r="J557" i="20"/>
  <c r="O557" i="20"/>
  <c r="L557" i="20"/>
  <c r="M557" i="20"/>
  <c r="D557" i="20"/>
  <c r="H557" i="20"/>
  <c r="N557" i="20"/>
  <c r="G348" i="20"/>
  <c r="J348" i="20"/>
  <c r="I348" i="20"/>
  <c r="F348" i="20"/>
  <c r="K602" i="20"/>
  <c r="G602" i="20"/>
  <c r="N602" i="20"/>
  <c r="D602" i="20"/>
  <c r="J602" i="20"/>
  <c r="L602" i="20"/>
  <c r="F602" i="20"/>
  <c r="O602" i="20"/>
  <c r="M602" i="20"/>
  <c r="H602" i="20"/>
  <c r="N1052" i="20"/>
  <c r="O1052" i="20"/>
  <c r="E348" i="20"/>
  <c r="F513" i="20"/>
  <c r="N513" i="20"/>
  <c r="M513" i="20"/>
  <c r="J513" i="20"/>
  <c r="L513" i="20"/>
  <c r="K513" i="20"/>
  <c r="H513" i="20"/>
  <c r="G513" i="20"/>
  <c r="E513" i="20"/>
  <c r="M258" i="20"/>
  <c r="G258" i="20"/>
  <c r="N258" i="20"/>
  <c r="F258" i="20"/>
  <c r="D258" i="20"/>
  <c r="H258" i="20"/>
  <c r="E258" i="20"/>
  <c r="L258" i="20"/>
  <c r="K1412" i="20"/>
  <c r="M1412" i="20"/>
  <c r="H1412" i="20"/>
  <c r="E1412" i="20"/>
  <c r="D1412" i="20"/>
  <c r="L1412" i="20"/>
  <c r="I1412" i="20"/>
  <c r="O1412" i="20"/>
  <c r="J1412" i="20"/>
  <c r="G1412" i="20"/>
  <c r="E602" i="20"/>
  <c r="M1683" i="20"/>
  <c r="N1412" i="20"/>
  <c r="E873" i="20"/>
  <c r="J873" i="20"/>
  <c r="K873" i="20"/>
  <c r="H873" i="20"/>
  <c r="G873" i="20"/>
  <c r="F873" i="20"/>
  <c r="G1067" i="20"/>
  <c r="H1067" i="20"/>
  <c r="J1067" i="20"/>
  <c r="I1067" i="20"/>
  <c r="F918" i="20"/>
  <c r="D918" i="20"/>
  <c r="E918" i="20"/>
  <c r="H918" i="20"/>
  <c r="M918" i="20"/>
  <c r="I918" i="20"/>
  <c r="O918" i="20"/>
  <c r="N918" i="20"/>
  <c r="L918" i="20"/>
  <c r="D1712" i="20"/>
  <c r="K1712" i="20"/>
  <c r="E1712" i="20"/>
  <c r="J377" i="20"/>
  <c r="M1007" i="20"/>
  <c r="F1337" i="20"/>
  <c r="O1007" i="20"/>
  <c r="F1278" i="20"/>
  <c r="N1278" i="20"/>
  <c r="L1353" i="20"/>
  <c r="L348" i="20"/>
  <c r="M902" i="20"/>
  <c r="P512" i="20"/>
  <c r="M1353" i="20"/>
  <c r="E557" i="20"/>
  <c r="E1502" i="20"/>
  <c r="F1502" i="20"/>
  <c r="N1502" i="20"/>
  <c r="H1502" i="20"/>
  <c r="I1502" i="20"/>
  <c r="J1502" i="20"/>
  <c r="I513" i="20"/>
  <c r="E993" i="20"/>
  <c r="L993" i="20"/>
  <c r="M993" i="20"/>
  <c r="K993" i="20"/>
  <c r="I993" i="20"/>
  <c r="N993" i="20"/>
  <c r="J993" i="20"/>
  <c r="F993" i="20"/>
  <c r="D993" i="20"/>
  <c r="O513" i="20"/>
  <c r="D1007" i="20"/>
  <c r="L138" i="20"/>
  <c r="N1353" i="20"/>
  <c r="N197" i="20"/>
  <c r="J1533" i="20"/>
  <c r="K227" i="20"/>
  <c r="N662" i="20"/>
  <c r="F1428" i="20"/>
  <c r="I437" i="20"/>
  <c r="D1308" i="20"/>
  <c r="J1608" i="20"/>
  <c r="I1382" i="20"/>
  <c r="K1083" i="20"/>
  <c r="L1533" i="20"/>
  <c r="L227" i="20"/>
  <c r="O662" i="20"/>
  <c r="L167" i="20"/>
  <c r="I1428" i="20"/>
  <c r="H287" i="20"/>
  <c r="J437" i="20"/>
  <c r="G752" i="20"/>
  <c r="O107" i="20"/>
  <c r="N1157" i="20"/>
  <c r="F528" i="20"/>
  <c r="K1023" i="20"/>
  <c r="E168" i="20"/>
  <c r="I1023" i="20"/>
  <c r="I378" i="20"/>
  <c r="K1382" i="20"/>
  <c r="L1083" i="20"/>
  <c r="N1533" i="20"/>
  <c r="D662" i="20"/>
  <c r="G288" i="20"/>
  <c r="O167" i="20"/>
  <c r="D362" i="20"/>
  <c r="D1593" i="20"/>
  <c r="H752" i="20"/>
  <c r="D107" i="20"/>
  <c r="E572" i="20"/>
  <c r="G1338" i="20"/>
  <c r="J1443" i="20"/>
  <c r="M1023" i="20"/>
  <c r="M1608" i="20"/>
  <c r="F168" i="20"/>
  <c r="K1308" i="20"/>
  <c r="F1023" i="20"/>
  <c r="O1248" i="20"/>
  <c r="L1637" i="20"/>
  <c r="M1563" i="20"/>
  <c r="F662" i="20"/>
  <c r="I1608" i="20"/>
  <c r="O1608" i="20"/>
  <c r="O1382" i="20"/>
  <c r="M1533" i="20"/>
  <c r="J332" i="20"/>
  <c r="G662" i="20"/>
  <c r="O872" i="20"/>
  <c r="J1113" i="20"/>
  <c r="I842" i="20"/>
  <c r="M1308" i="20"/>
  <c r="O528" i="20"/>
  <c r="K1248" i="20"/>
  <c r="E1382" i="20"/>
  <c r="K962" i="20"/>
  <c r="P962" i="20" s="1"/>
  <c r="D1533" i="20"/>
  <c r="K332" i="20"/>
  <c r="H662" i="20"/>
  <c r="D872" i="20"/>
  <c r="K1113" i="20"/>
  <c r="J842" i="20"/>
  <c r="E1728" i="20"/>
  <c r="L1293" i="20"/>
  <c r="O1593" i="20"/>
  <c r="I572" i="20"/>
  <c r="N1338" i="20"/>
  <c r="D1443" i="20"/>
  <c r="D1023" i="20"/>
  <c r="D1682" i="20"/>
  <c r="L378" i="20"/>
  <c r="L1608" i="20"/>
  <c r="G1608" i="20"/>
  <c r="N198" i="20"/>
  <c r="K198" i="20"/>
  <c r="F198" i="20"/>
  <c r="D498" i="20"/>
  <c r="F1533" i="20"/>
  <c r="G378" i="20"/>
  <c r="P1128" i="20"/>
  <c r="F1382" i="20"/>
  <c r="K1352" i="20"/>
  <c r="I242" i="20"/>
  <c r="I737" i="20"/>
  <c r="G1533" i="20"/>
  <c r="L332" i="20"/>
  <c r="I662" i="20"/>
  <c r="E872" i="20"/>
  <c r="L1113" i="20"/>
  <c r="K842" i="20"/>
  <c r="J1728" i="20"/>
  <c r="E1293" i="20"/>
  <c r="L1308" i="20"/>
  <c r="O378" i="20"/>
  <c r="J1308" i="20"/>
  <c r="N1352" i="20"/>
  <c r="J242" i="20"/>
  <c r="J737" i="20"/>
  <c r="O1097" i="20"/>
  <c r="M332" i="20"/>
  <c r="F872" i="20"/>
  <c r="M1113" i="20"/>
  <c r="L842" i="20"/>
  <c r="G1728" i="20"/>
  <c r="F1293" i="20"/>
  <c r="E1338" i="20"/>
  <c r="M1727" i="20"/>
  <c r="K843" i="20"/>
  <c r="N498" i="20"/>
  <c r="G1262" i="20"/>
  <c r="I198" i="20"/>
  <c r="E737" i="20"/>
  <c r="E1202" i="20"/>
  <c r="H1097" i="20"/>
  <c r="H1308" i="20"/>
  <c r="I1202" i="20"/>
  <c r="I1097" i="20"/>
  <c r="M227" i="20"/>
  <c r="J1428" i="20"/>
  <c r="M213" i="20"/>
  <c r="F452" i="20"/>
  <c r="I1352" i="20"/>
  <c r="L1202" i="20"/>
  <c r="J1097" i="20"/>
  <c r="N227" i="20"/>
  <c r="H288" i="20"/>
  <c r="H1113" i="20"/>
  <c r="G842" i="20"/>
  <c r="F77" i="20"/>
  <c r="F573" i="20"/>
  <c r="L1728" i="20"/>
  <c r="K1428" i="20"/>
  <c r="M1293" i="20"/>
  <c r="K1517" i="20"/>
  <c r="J287" i="20"/>
  <c r="N213" i="20"/>
  <c r="E752" i="20"/>
  <c r="E1157" i="20"/>
  <c r="I1472" i="20"/>
  <c r="F1037" i="20"/>
  <c r="D108" i="20"/>
  <c r="L617" i="20"/>
  <c r="J1262" i="20"/>
  <c r="D737" i="20"/>
  <c r="L213" i="20"/>
  <c r="D242" i="20"/>
  <c r="F737" i="20"/>
  <c r="G332" i="20"/>
  <c r="G1113" i="20"/>
  <c r="F842" i="20"/>
  <c r="K1728" i="20"/>
  <c r="J1293" i="20"/>
  <c r="I287" i="20"/>
  <c r="D1157" i="20"/>
  <c r="F1548" i="20"/>
  <c r="N1608" i="20"/>
  <c r="E242" i="20"/>
  <c r="G737" i="20"/>
  <c r="I692" i="20"/>
  <c r="H452" i="20"/>
  <c r="M1352" i="20"/>
  <c r="F242" i="20"/>
  <c r="H737" i="20"/>
  <c r="F1487" i="20"/>
  <c r="F1202" i="20"/>
  <c r="K1097" i="20"/>
  <c r="O227" i="20"/>
  <c r="E1233" i="20"/>
  <c r="I288" i="20"/>
  <c r="N167" i="20"/>
  <c r="I77" i="20"/>
  <c r="G573" i="20"/>
  <c r="L1428" i="20"/>
  <c r="J692" i="20"/>
  <c r="E362" i="20"/>
  <c r="F1517" i="20"/>
  <c r="L1473" i="20"/>
  <c r="K287" i="20"/>
  <c r="O213" i="20"/>
  <c r="I752" i="20"/>
  <c r="K273" i="20"/>
  <c r="F1157" i="20"/>
  <c r="M1472" i="20"/>
  <c r="L1277" i="20"/>
  <c r="H1637" i="20"/>
  <c r="L828" i="20"/>
  <c r="G1637" i="20"/>
  <c r="O498" i="20"/>
  <c r="P1098" i="20"/>
  <c r="M452" i="20"/>
  <c r="F1352" i="20"/>
  <c r="H242" i="20"/>
  <c r="L737" i="20"/>
  <c r="E1487" i="20"/>
  <c r="H1202" i="20"/>
  <c r="M1097" i="20"/>
  <c r="E227" i="20"/>
  <c r="D363" i="20"/>
  <c r="K288" i="20"/>
  <c r="G947" i="20"/>
  <c r="M167" i="20"/>
  <c r="K77" i="20"/>
  <c r="I573" i="20"/>
  <c r="O1562" i="20"/>
  <c r="N1428" i="20"/>
  <c r="M692" i="20"/>
  <c r="H362" i="20"/>
  <c r="M287" i="20"/>
  <c r="J752" i="20"/>
  <c r="F107" i="20"/>
  <c r="L1157" i="20"/>
  <c r="G1472" i="20"/>
  <c r="M1548" i="20"/>
  <c r="L1563" i="20"/>
  <c r="O78" i="20"/>
  <c r="J828" i="20"/>
  <c r="P678" i="20"/>
  <c r="G1202" i="20"/>
  <c r="L1097" i="20"/>
  <c r="D227" i="20"/>
  <c r="E167" i="20"/>
  <c r="D1428" i="20"/>
  <c r="N287" i="20"/>
  <c r="L752" i="20"/>
  <c r="M1157" i="20"/>
  <c r="M78" i="20"/>
  <c r="F1608" i="20"/>
  <c r="N828" i="20"/>
  <c r="G1563" i="20"/>
  <c r="K1578" i="20"/>
  <c r="K528" i="20"/>
  <c r="O452" i="20"/>
  <c r="K1202" i="20"/>
  <c r="H1533" i="20"/>
  <c r="G227" i="20"/>
  <c r="M363" i="20"/>
  <c r="M288" i="20"/>
  <c r="E1652" i="20"/>
  <c r="J947" i="20"/>
  <c r="G167" i="20"/>
  <c r="O77" i="20"/>
  <c r="K573" i="20"/>
  <c r="E1428" i="20"/>
  <c r="J753" i="20"/>
  <c r="N692" i="20"/>
  <c r="J362" i="20"/>
  <c r="E1473" i="20"/>
  <c r="O287" i="20"/>
  <c r="M752" i="20"/>
  <c r="K107" i="20"/>
  <c r="O1157" i="20"/>
  <c r="J1472" i="20"/>
  <c r="N1637" i="20"/>
  <c r="O1023" i="20"/>
  <c r="G843" i="20"/>
  <c r="O1637" i="20"/>
  <c r="H528" i="20"/>
  <c r="N378" i="20"/>
  <c r="G1097" i="20"/>
  <c r="Y116" i="27"/>
  <c r="Z3" i="27" s="1"/>
  <c r="M1428" i="20"/>
  <c r="L287" i="20"/>
  <c r="K752" i="20"/>
  <c r="P903" i="20"/>
  <c r="J1202" i="20"/>
  <c r="F227" i="20"/>
  <c r="L288" i="20"/>
  <c r="I947" i="20"/>
  <c r="F167" i="20"/>
  <c r="I362" i="20"/>
  <c r="I107" i="20"/>
  <c r="N363" i="20"/>
  <c r="K947" i="20"/>
  <c r="K753" i="20"/>
  <c r="N843" i="20"/>
  <c r="J1548" i="20"/>
  <c r="J663" i="20"/>
  <c r="E963" i="20"/>
  <c r="D1608" i="20"/>
  <c r="O1368" i="20"/>
  <c r="L1218" i="20"/>
  <c r="E693" i="20"/>
  <c r="I1413" i="20"/>
  <c r="M1413" i="20"/>
  <c r="E1413" i="20"/>
  <c r="O1413" i="20"/>
  <c r="L1413" i="20"/>
  <c r="K1413" i="20"/>
  <c r="D1413" i="20"/>
  <c r="G1383" i="20"/>
  <c r="O1383" i="20"/>
  <c r="E1368" i="20"/>
  <c r="O797" i="20"/>
  <c r="O1727" i="20"/>
  <c r="H1218" i="20"/>
  <c r="F917" i="20"/>
  <c r="O693" i="20"/>
  <c r="J438" i="20"/>
  <c r="G438" i="20"/>
  <c r="F438" i="20"/>
  <c r="E438" i="20"/>
  <c r="D438" i="20"/>
  <c r="O438" i="20"/>
  <c r="I438" i="20"/>
  <c r="H438" i="20"/>
  <c r="N438" i="20"/>
  <c r="M438" i="20"/>
  <c r="L438" i="20"/>
  <c r="K438" i="20"/>
  <c r="F1127" i="20"/>
  <c r="E1127" i="20"/>
  <c r="D1127" i="20"/>
  <c r="O1127" i="20"/>
  <c r="N1127" i="20"/>
  <c r="M1127" i="20"/>
  <c r="L1127" i="20"/>
  <c r="K1127" i="20"/>
  <c r="J1127" i="20"/>
  <c r="I1127" i="20"/>
  <c r="H1127" i="20"/>
  <c r="G1127" i="20"/>
  <c r="F977" i="20"/>
  <c r="E977" i="20"/>
  <c r="D977" i="20"/>
  <c r="M977" i="20"/>
  <c r="L977" i="20"/>
  <c r="O977" i="20"/>
  <c r="N977" i="20"/>
  <c r="K977" i="20"/>
  <c r="I977" i="20"/>
  <c r="H977" i="20"/>
  <c r="G977" i="20"/>
  <c r="J977" i="20"/>
  <c r="K228" i="20"/>
  <c r="J228" i="20"/>
  <c r="I228" i="20"/>
  <c r="H228" i="20"/>
  <c r="G228" i="20"/>
  <c r="F228" i="20"/>
  <c r="E228" i="20"/>
  <c r="D228" i="20"/>
  <c r="O228" i="20"/>
  <c r="N228" i="20"/>
  <c r="M228" i="20"/>
  <c r="L228" i="20"/>
  <c r="J483" i="20"/>
  <c r="H483" i="20"/>
  <c r="G483" i="20"/>
  <c r="F483" i="20"/>
  <c r="E483" i="20"/>
  <c r="D483" i="20"/>
  <c r="O483" i="20"/>
  <c r="I483" i="20"/>
  <c r="N483" i="20"/>
  <c r="M483" i="20"/>
  <c r="K483" i="20"/>
  <c r="L483" i="20"/>
  <c r="G708" i="20"/>
  <c r="F708" i="20"/>
  <c r="O708" i="20"/>
  <c r="N708" i="20"/>
  <c r="M708" i="20"/>
  <c r="L708" i="20"/>
  <c r="K708" i="20"/>
  <c r="I708" i="20"/>
  <c r="J708" i="20"/>
  <c r="H708" i="20"/>
  <c r="E708" i="20"/>
  <c r="D708" i="20"/>
  <c r="F857" i="20"/>
  <c r="E857" i="20"/>
  <c r="K857" i="20"/>
  <c r="G857" i="20"/>
  <c r="H857" i="20"/>
  <c r="D857" i="20"/>
  <c r="O857" i="20"/>
  <c r="M857" i="20"/>
  <c r="L857" i="20"/>
  <c r="J857" i="20"/>
  <c r="I857" i="20"/>
  <c r="N857" i="20"/>
  <c r="I1143" i="20"/>
  <c r="L1143" i="20"/>
  <c r="G1143" i="20"/>
  <c r="E1143" i="20"/>
  <c r="F1218" i="20"/>
  <c r="K1622" i="20"/>
  <c r="G1622" i="20"/>
  <c r="E1622" i="20"/>
  <c r="D1622" i="20"/>
  <c r="M1622" i="20"/>
  <c r="J1622" i="20"/>
  <c r="F1622" i="20"/>
  <c r="O1622" i="20"/>
  <c r="N1622" i="20"/>
  <c r="L1622" i="20"/>
  <c r="I1622" i="20"/>
  <c r="H1622" i="20"/>
  <c r="J693" i="20"/>
  <c r="F693" i="20"/>
  <c r="L137" i="20"/>
  <c r="H137" i="20"/>
  <c r="K137" i="20"/>
  <c r="M137" i="20"/>
  <c r="G137" i="20"/>
  <c r="F137" i="20"/>
  <c r="O137" i="20"/>
  <c r="D137" i="20"/>
  <c r="E137" i="20"/>
  <c r="N137" i="20"/>
  <c r="I137" i="20"/>
  <c r="J137" i="20"/>
  <c r="Z22" i="27"/>
  <c r="M1638" i="20"/>
  <c r="M497" i="20"/>
  <c r="K1548" i="20"/>
  <c r="D888" i="20"/>
  <c r="G917" i="20"/>
  <c r="K738" i="20"/>
  <c r="J738" i="20"/>
  <c r="G738" i="20"/>
  <c r="F738" i="20"/>
  <c r="E738" i="20"/>
  <c r="D738" i="20"/>
  <c r="O738" i="20"/>
  <c r="M738" i="20"/>
  <c r="N738" i="20"/>
  <c r="L738" i="20"/>
  <c r="I738" i="20"/>
  <c r="H738" i="20"/>
  <c r="D828" i="20"/>
  <c r="G828" i="20"/>
  <c r="I1532" i="20"/>
  <c r="H1532" i="20"/>
  <c r="E1532" i="20"/>
  <c r="M1532" i="20"/>
  <c r="N1532" i="20"/>
  <c r="K1532" i="20"/>
  <c r="J1532" i="20"/>
  <c r="G1532" i="20"/>
  <c r="F1532" i="20"/>
  <c r="O1532" i="20"/>
  <c r="L1532" i="20"/>
  <c r="D1532" i="20"/>
  <c r="O798" i="20"/>
  <c r="E798" i="20"/>
  <c r="D798" i="20"/>
  <c r="M798" i="20"/>
  <c r="G932" i="20"/>
  <c r="J1233" i="20"/>
  <c r="H947" i="20"/>
  <c r="I1337" i="20"/>
  <c r="H797" i="20"/>
  <c r="E753" i="20"/>
  <c r="L453" i="20"/>
  <c r="I347" i="20"/>
  <c r="H333" i="20"/>
  <c r="J1487" i="20"/>
  <c r="M1368" i="20"/>
  <c r="M1233" i="20"/>
  <c r="L947" i="20"/>
  <c r="N1667" i="20"/>
  <c r="L1337" i="20"/>
  <c r="F753" i="20"/>
  <c r="M453" i="20"/>
  <c r="J347" i="20"/>
  <c r="O1638" i="20"/>
  <c r="N497" i="20"/>
  <c r="E1548" i="20"/>
  <c r="J1143" i="20"/>
  <c r="D1143" i="20"/>
  <c r="L1322" i="20"/>
  <c r="J468" i="20"/>
  <c r="G63" i="20"/>
  <c r="F63" i="20"/>
  <c r="O63" i="20"/>
  <c r="N63" i="20"/>
  <c r="M63" i="20"/>
  <c r="L63" i="20"/>
  <c r="I63" i="20"/>
  <c r="H63" i="20"/>
  <c r="E63" i="20"/>
  <c r="D63" i="20"/>
  <c r="K63" i="20"/>
  <c r="J63" i="20"/>
  <c r="E197" i="20"/>
  <c r="G197" i="20"/>
  <c r="I197" i="20"/>
  <c r="F197" i="20"/>
  <c r="J243" i="20"/>
  <c r="E243" i="20"/>
  <c r="I243" i="20"/>
  <c r="H243" i="20"/>
  <c r="N182" i="20"/>
  <c r="M182" i="20"/>
  <c r="J182" i="20"/>
  <c r="L182" i="20"/>
  <c r="K182" i="20"/>
  <c r="I182" i="20"/>
  <c r="H182" i="20"/>
  <c r="G182" i="20"/>
  <c r="F182" i="20"/>
  <c r="E182" i="20"/>
  <c r="D182" i="20"/>
  <c r="O182" i="20"/>
  <c r="F617" i="20"/>
  <c r="G617" i="20"/>
  <c r="D617" i="20"/>
  <c r="I617" i="20"/>
  <c r="H617" i="20"/>
  <c r="J1218" i="20"/>
  <c r="H1442" i="20"/>
  <c r="G1442" i="20"/>
  <c r="N1442" i="20"/>
  <c r="L1442" i="20"/>
  <c r="E1442" i="20"/>
  <c r="M1442" i="20"/>
  <c r="J1442" i="20"/>
  <c r="F1442" i="20"/>
  <c r="O1442" i="20"/>
  <c r="D1442" i="20"/>
  <c r="K1442" i="20"/>
  <c r="I1442" i="20"/>
  <c r="H932" i="20"/>
  <c r="L482" i="20"/>
  <c r="L1487" i="20"/>
  <c r="F647" i="20"/>
  <c r="M1337" i="20"/>
  <c r="G753" i="20"/>
  <c r="N453" i="20"/>
  <c r="L347" i="20"/>
  <c r="M633" i="20"/>
  <c r="J1638" i="20"/>
  <c r="O497" i="20"/>
  <c r="J1277" i="20"/>
  <c r="F1277" i="20"/>
  <c r="H138" i="20"/>
  <c r="N1398" i="20"/>
  <c r="M1143" i="20"/>
  <c r="M243" i="20"/>
  <c r="F1383" i="20"/>
  <c r="L1383" i="20"/>
  <c r="N617" i="20"/>
  <c r="I318" i="20"/>
  <c r="O1188" i="20"/>
  <c r="H917" i="20"/>
  <c r="X83" i="27"/>
  <c r="O407" i="20"/>
  <c r="L407" i="20"/>
  <c r="E407" i="20"/>
  <c r="I407" i="20"/>
  <c r="M407" i="20"/>
  <c r="K603" i="20"/>
  <c r="J603" i="20"/>
  <c r="O183" i="20"/>
  <c r="N183" i="20"/>
  <c r="M183" i="20"/>
  <c r="L183" i="20"/>
  <c r="I183" i="20"/>
  <c r="K183" i="20"/>
  <c r="J183" i="20"/>
  <c r="H183" i="20"/>
  <c r="G183" i="20"/>
  <c r="F183" i="20"/>
  <c r="E183" i="20"/>
  <c r="D183" i="20"/>
  <c r="O1502" i="20"/>
  <c r="K1502" i="20"/>
  <c r="G1502" i="20"/>
  <c r="K1368" i="20"/>
  <c r="G797" i="20"/>
  <c r="G1368" i="20"/>
  <c r="N1083" i="20"/>
  <c r="K633" i="20"/>
  <c r="O1083" i="20"/>
  <c r="L633" i="20"/>
  <c r="I333" i="20"/>
  <c r="E212" i="20"/>
  <c r="D1083" i="20"/>
  <c r="I932" i="20"/>
  <c r="O1233" i="20"/>
  <c r="M947" i="20"/>
  <c r="H1667" i="20"/>
  <c r="J333" i="20"/>
  <c r="N482" i="20"/>
  <c r="M1487" i="20"/>
  <c r="F212" i="20"/>
  <c r="D513" i="20"/>
  <c r="E1083" i="20"/>
  <c r="K932" i="20"/>
  <c r="D1233" i="20"/>
  <c r="N947" i="20"/>
  <c r="F1667" i="20"/>
  <c r="G647" i="20"/>
  <c r="O1337" i="20"/>
  <c r="O453" i="20"/>
  <c r="M347" i="20"/>
  <c r="N633" i="20"/>
  <c r="G1638" i="20"/>
  <c r="D497" i="20"/>
  <c r="H1398" i="20"/>
  <c r="H468" i="20"/>
  <c r="F318" i="20"/>
  <c r="G498" i="20"/>
  <c r="H498" i="20"/>
  <c r="E498" i="20"/>
  <c r="K498" i="20"/>
  <c r="J498" i="20"/>
  <c r="J1248" i="20"/>
  <c r="D1248" i="20"/>
  <c r="G1248" i="20"/>
  <c r="K1037" i="20"/>
  <c r="I1037" i="20"/>
  <c r="O1037" i="20"/>
  <c r="G1037" i="20"/>
  <c r="M1037" i="20"/>
  <c r="L1037" i="20"/>
  <c r="J1037" i="20"/>
  <c r="K707" i="20"/>
  <c r="I707" i="20"/>
  <c r="F707" i="20"/>
  <c r="E707" i="20"/>
  <c r="O707" i="20"/>
  <c r="M707" i="20"/>
  <c r="H707" i="20"/>
  <c r="G707" i="20"/>
  <c r="D707" i="20"/>
  <c r="N707" i="20"/>
  <c r="L707" i="20"/>
  <c r="J707" i="20"/>
  <c r="F947" i="20"/>
  <c r="G1337" i="20"/>
  <c r="D453" i="20"/>
  <c r="O633" i="20"/>
  <c r="H1638" i="20"/>
  <c r="E497" i="20"/>
  <c r="M1398" i="20"/>
  <c r="F1143" i="20"/>
  <c r="O1143" i="20"/>
  <c r="I1022" i="20"/>
  <c r="E468" i="20"/>
  <c r="K318" i="20"/>
  <c r="F1413" i="20"/>
  <c r="O1218" i="20"/>
  <c r="D677" i="20"/>
  <c r="L677" i="20"/>
  <c r="K677" i="20"/>
  <c r="H677" i="20"/>
  <c r="F677" i="20"/>
  <c r="N677" i="20"/>
  <c r="M677" i="20"/>
  <c r="J677" i="20"/>
  <c r="I677" i="20"/>
  <c r="G677" i="20"/>
  <c r="E677" i="20"/>
  <c r="O677" i="20"/>
  <c r="F1397" i="20"/>
  <c r="L1397" i="20"/>
  <c r="K1397" i="20"/>
  <c r="J1397" i="20"/>
  <c r="G1397" i="20"/>
  <c r="D1397" i="20"/>
  <c r="O1397" i="20"/>
  <c r="N1397" i="20"/>
  <c r="M1397" i="20"/>
  <c r="I1397" i="20"/>
  <c r="H1397" i="20"/>
  <c r="E1397" i="20"/>
  <c r="G423" i="20"/>
  <c r="F423" i="20"/>
  <c r="I1262" i="20"/>
  <c r="E1262" i="20"/>
  <c r="M1262" i="20"/>
  <c r="O1262" i="20"/>
  <c r="N1262" i="20"/>
  <c r="K1262" i="20"/>
  <c r="I1323" i="20"/>
  <c r="M1323" i="20"/>
  <c r="F1323" i="20"/>
  <c r="D1323" i="20"/>
  <c r="L1112" i="20"/>
  <c r="D1112" i="20"/>
  <c r="N1112" i="20"/>
  <c r="K1112" i="20"/>
  <c r="E1112" i="20"/>
  <c r="O1112" i="20"/>
  <c r="M1112" i="20"/>
  <c r="J1112" i="20"/>
  <c r="I1112" i="20"/>
  <c r="G1112" i="20"/>
  <c r="F1112" i="20"/>
  <c r="H1112" i="20"/>
  <c r="X64" i="27"/>
  <c r="H1337" i="20"/>
  <c r="D633" i="20"/>
  <c r="K1638" i="20"/>
  <c r="F497" i="20"/>
  <c r="H1548" i="20"/>
  <c r="K798" i="20"/>
  <c r="O917" i="20"/>
  <c r="G1218" i="20"/>
  <c r="H1188" i="20"/>
  <c r="N1218" i="20"/>
  <c r="F888" i="20"/>
  <c r="G888" i="20"/>
  <c r="E888" i="20"/>
  <c r="I888" i="20"/>
  <c r="K858" i="20"/>
  <c r="J858" i="20"/>
  <c r="I858" i="20"/>
  <c r="G858" i="20"/>
  <c r="F858" i="20"/>
  <c r="M858" i="20"/>
  <c r="L858" i="20"/>
  <c r="X79" i="27"/>
  <c r="H302" i="20"/>
  <c r="G302" i="20"/>
  <c r="F302" i="20"/>
  <c r="E302" i="20"/>
  <c r="M302" i="20"/>
  <c r="J302" i="20"/>
  <c r="I302" i="20"/>
  <c r="N302" i="20"/>
  <c r="O302" i="20"/>
  <c r="L302" i="20"/>
  <c r="D302" i="20"/>
  <c r="K302" i="20"/>
  <c r="O963" i="20"/>
  <c r="H963" i="20"/>
  <c r="K963" i="20"/>
  <c r="J963" i="20"/>
  <c r="L1638" i="20"/>
  <c r="O318" i="20"/>
  <c r="E318" i="20"/>
  <c r="D318" i="20"/>
  <c r="N62" i="20"/>
  <c r="D62" i="20"/>
  <c r="O62" i="20"/>
  <c r="G62" i="20"/>
  <c r="F932" i="20"/>
  <c r="K1233" i="20"/>
  <c r="M1667" i="20"/>
  <c r="D1562" i="20"/>
  <c r="G1607" i="20"/>
  <c r="H1173" i="20"/>
  <c r="N1638" i="20"/>
  <c r="H497" i="20"/>
  <c r="M1022" i="20"/>
  <c r="K1022" i="20"/>
  <c r="I1548" i="20"/>
  <c r="F62" i="20"/>
  <c r="J1383" i="20"/>
  <c r="E1322" i="20"/>
  <c r="D917" i="20"/>
  <c r="K1218" i="20"/>
  <c r="H1668" i="20"/>
  <c r="L1668" i="20"/>
  <c r="K1668" i="20"/>
  <c r="E1668" i="20"/>
  <c r="J1668" i="20"/>
  <c r="F1668" i="20"/>
  <c r="D1668" i="20"/>
  <c r="O1668" i="20"/>
  <c r="G1668" i="20"/>
  <c r="N1668" i="20"/>
  <c r="M1668" i="20"/>
  <c r="I1668" i="20"/>
  <c r="Z25" i="27"/>
  <c r="Z87" i="27"/>
  <c r="I78" i="20"/>
  <c r="K78" i="20"/>
  <c r="J78" i="20"/>
  <c r="H78" i="20"/>
  <c r="E78" i="20"/>
  <c r="L78" i="20"/>
  <c r="G78" i="20"/>
  <c r="L528" i="20"/>
  <c r="G528" i="20"/>
  <c r="G1487" i="20"/>
  <c r="J212" i="20"/>
  <c r="D1052" i="20"/>
  <c r="E1337" i="20"/>
  <c r="F633" i="20"/>
  <c r="L437" i="20"/>
  <c r="L273" i="20"/>
  <c r="G1247" i="20"/>
  <c r="O333" i="20"/>
  <c r="G482" i="20"/>
  <c r="I1487" i="20"/>
  <c r="K212" i="20"/>
  <c r="J932" i="20"/>
  <c r="L1233" i="20"/>
  <c r="E1052" i="20"/>
  <c r="D1667" i="20"/>
  <c r="L647" i="20"/>
  <c r="H1562" i="20"/>
  <c r="D1337" i="20"/>
  <c r="J1607" i="20"/>
  <c r="N1517" i="20"/>
  <c r="K347" i="20"/>
  <c r="K1173" i="20"/>
  <c r="G633" i="20"/>
  <c r="M437" i="20"/>
  <c r="M273" i="20"/>
  <c r="D1353" i="20"/>
  <c r="I497" i="20"/>
  <c r="K1277" i="20"/>
  <c r="I138" i="20"/>
  <c r="G1398" i="20"/>
  <c r="H62" i="20"/>
  <c r="I1398" i="20"/>
  <c r="L243" i="20"/>
  <c r="O1563" i="20"/>
  <c r="M888" i="20"/>
  <c r="N798" i="20"/>
  <c r="M1322" i="20"/>
  <c r="K617" i="20"/>
  <c r="H588" i="20"/>
  <c r="J1413" i="20"/>
  <c r="K888" i="20"/>
  <c r="H693" i="20"/>
  <c r="O768" i="20"/>
  <c r="N768" i="20"/>
  <c r="M768" i="20"/>
  <c r="K768" i="20"/>
  <c r="J768" i="20"/>
  <c r="I768" i="20"/>
  <c r="H768" i="20"/>
  <c r="G768" i="20"/>
  <c r="F768" i="20"/>
  <c r="E768" i="20"/>
  <c r="L768" i="20"/>
  <c r="D768" i="20"/>
  <c r="E198" i="20"/>
  <c r="H198" i="20"/>
  <c r="Z48" i="27"/>
  <c r="N333" i="20"/>
  <c r="K647" i="20"/>
  <c r="J1247" i="20"/>
  <c r="D333" i="20"/>
  <c r="H482" i="20"/>
  <c r="K1487" i="20"/>
  <c r="L212" i="20"/>
  <c r="N1233" i="20"/>
  <c r="F1052" i="20"/>
  <c r="E1667" i="20"/>
  <c r="M647" i="20"/>
  <c r="N1562" i="20"/>
  <c r="J1337" i="20"/>
  <c r="L1607" i="20"/>
  <c r="G1517" i="20"/>
  <c r="G1292" i="20"/>
  <c r="L1173" i="20"/>
  <c r="K1067" i="20"/>
  <c r="H633" i="20"/>
  <c r="N437" i="20"/>
  <c r="N273" i="20"/>
  <c r="G1007" i="20"/>
  <c r="F1712" i="20"/>
  <c r="D1727" i="20"/>
  <c r="L1548" i="20"/>
  <c r="O1398" i="20"/>
  <c r="I1563" i="20"/>
  <c r="O1277" i="20"/>
  <c r="E1248" i="20"/>
  <c r="J62" i="20"/>
  <c r="E617" i="20"/>
  <c r="K917" i="20"/>
  <c r="D588" i="20"/>
  <c r="N917" i="20"/>
  <c r="E1188" i="20"/>
  <c r="D693" i="20"/>
  <c r="I1232" i="20"/>
  <c r="O1232" i="20"/>
  <c r="K1232" i="20"/>
  <c r="J1232" i="20"/>
  <c r="G1232" i="20"/>
  <c r="F1232" i="20"/>
  <c r="E1232" i="20"/>
  <c r="N1232" i="20"/>
  <c r="M1232" i="20"/>
  <c r="L1232" i="20"/>
  <c r="H1232" i="20"/>
  <c r="D1232" i="20"/>
  <c r="M722" i="20"/>
  <c r="O722" i="20"/>
  <c r="D722" i="20"/>
  <c r="L722" i="20"/>
  <c r="K722" i="20"/>
  <c r="J722" i="20"/>
  <c r="I722" i="20"/>
  <c r="H722" i="20"/>
  <c r="F722" i="20"/>
  <c r="G722" i="20"/>
  <c r="E722" i="20"/>
  <c r="N722" i="20"/>
  <c r="L1263" i="20"/>
  <c r="F1263" i="20"/>
  <c r="I1263" i="20"/>
  <c r="H1263" i="20"/>
  <c r="E1263" i="20"/>
  <c r="D1263" i="20"/>
  <c r="O1263" i="20"/>
  <c r="N1263" i="20"/>
  <c r="M1263" i="20"/>
  <c r="K1263" i="20"/>
  <c r="J1263" i="20"/>
  <c r="G1263" i="20"/>
  <c r="H1623" i="20"/>
  <c r="K1623" i="20"/>
  <c r="I1623" i="20"/>
  <c r="G1623" i="20"/>
  <c r="N1623" i="20"/>
  <c r="J1623" i="20"/>
  <c r="F1623" i="20"/>
  <c r="D1623" i="20"/>
  <c r="O1623" i="20"/>
  <c r="L1623" i="20"/>
  <c r="E1623" i="20"/>
  <c r="M1623" i="20"/>
  <c r="O168" i="20"/>
  <c r="K168" i="20"/>
  <c r="I168" i="20"/>
  <c r="H168" i="20"/>
  <c r="L168" i="20"/>
  <c r="D168" i="20"/>
  <c r="N168" i="20"/>
  <c r="J378" i="20"/>
  <c r="H378" i="20"/>
  <c r="G1233" i="20"/>
  <c r="I212" i="20"/>
  <c r="E1577" i="20"/>
  <c r="K1577" i="20"/>
  <c r="L1577" i="20"/>
  <c r="G1577" i="20"/>
  <c r="J1577" i="20"/>
  <c r="D1577" i="20"/>
  <c r="M1577" i="20"/>
  <c r="O1577" i="20"/>
  <c r="N1577" i="20"/>
  <c r="I1577" i="20"/>
  <c r="H1577" i="20"/>
  <c r="F1577" i="20"/>
  <c r="O1487" i="20"/>
  <c r="M212" i="20"/>
  <c r="H1233" i="20"/>
  <c r="G1052" i="20"/>
  <c r="G1667" i="20"/>
  <c r="N647" i="20"/>
  <c r="J1562" i="20"/>
  <c r="N1607" i="20"/>
  <c r="M1173" i="20"/>
  <c r="L1067" i="20"/>
  <c r="O437" i="20"/>
  <c r="O273" i="20"/>
  <c r="J1712" i="20"/>
  <c r="I1727" i="20"/>
  <c r="H798" i="20"/>
  <c r="J1398" i="20"/>
  <c r="F1188" i="20"/>
  <c r="G1188" i="20"/>
  <c r="O197" i="20"/>
  <c r="O422" i="20"/>
  <c r="L422" i="20"/>
  <c r="K422" i="20"/>
  <c r="J422" i="20"/>
  <c r="I422" i="20"/>
  <c r="H422" i="20"/>
  <c r="N422" i="20"/>
  <c r="M422" i="20"/>
  <c r="G422" i="20"/>
  <c r="F422" i="20"/>
  <c r="E422" i="20"/>
  <c r="D422" i="20"/>
  <c r="O123" i="20"/>
  <c r="N123" i="20"/>
  <c r="K123" i="20"/>
  <c r="J123" i="20"/>
  <c r="I123" i="20"/>
  <c r="H123" i="20"/>
  <c r="G123" i="20"/>
  <c r="F123" i="20"/>
  <c r="E123" i="20"/>
  <c r="M123" i="20"/>
  <c r="L123" i="20"/>
  <c r="D123" i="20"/>
  <c r="L468" i="20"/>
  <c r="M468" i="20"/>
  <c r="F468" i="20"/>
  <c r="H1052" i="20"/>
  <c r="O647" i="20"/>
  <c r="M1562" i="20"/>
  <c r="F1607" i="20"/>
  <c r="D1173" i="20"/>
  <c r="M1067" i="20"/>
  <c r="D437" i="20"/>
  <c r="D273" i="20"/>
  <c r="N1712" i="20"/>
  <c r="J1727" i="20"/>
  <c r="D1548" i="20"/>
  <c r="D858" i="20"/>
  <c r="N1143" i="20"/>
  <c r="I963" i="20"/>
  <c r="N1383" i="20"/>
  <c r="H888" i="20"/>
  <c r="N318" i="20"/>
  <c r="K1322" i="20"/>
  <c r="M917" i="20"/>
  <c r="I1188" i="20"/>
  <c r="X17" i="27"/>
  <c r="J1427" i="20"/>
  <c r="G1427" i="20"/>
  <c r="D1427" i="20"/>
  <c r="E1427" i="20"/>
  <c r="O1427" i="20"/>
  <c r="M1427" i="20"/>
  <c r="L1427" i="20"/>
  <c r="K1427" i="20"/>
  <c r="I1427" i="20"/>
  <c r="H1427" i="20"/>
  <c r="N1427" i="20"/>
  <c r="F1427" i="20"/>
  <c r="D812" i="20"/>
  <c r="O812" i="20"/>
  <c r="N812" i="20"/>
  <c r="M812" i="20"/>
  <c r="L812" i="20"/>
  <c r="K812" i="20"/>
  <c r="J812" i="20"/>
  <c r="I812" i="20"/>
  <c r="H812" i="20"/>
  <c r="G812" i="20"/>
  <c r="F812" i="20"/>
  <c r="E812" i="20"/>
  <c r="F1697" i="20"/>
  <c r="D1697" i="20"/>
  <c r="O1697" i="20"/>
  <c r="K1697" i="20"/>
  <c r="I1697" i="20"/>
  <c r="H1697" i="20"/>
  <c r="L1697" i="20"/>
  <c r="N1697" i="20"/>
  <c r="J1697" i="20"/>
  <c r="E1697" i="20"/>
  <c r="M1697" i="20"/>
  <c r="G1697" i="20"/>
  <c r="N693" i="20"/>
  <c r="H1368" i="20"/>
  <c r="L693" i="20"/>
  <c r="K1337" i="20"/>
  <c r="G933" i="20"/>
  <c r="N1247" i="20"/>
  <c r="G333" i="20"/>
  <c r="M482" i="20"/>
  <c r="H1487" i="20"/>
  <c r="O212" i="20"/>
  <c r="E363" i="20"/>
  <c r="I1052" i="20"/>
  <c r="D647" i="20"/>
  <c r="F1562" i="20"/>
  <c r="M1607" i="20"/>
  <c r="M1517" i="20"/>
  <c r="O1292" i="20"/>
  <c r="L873" i="20"/>
  <c r="N1173" i="20"/>
  <c r="N1067" i="20"/>
  <c r="F213" i="20"/>
  <c r="E437" i="20"/>
  <c r="E273" i="20"/>
  <c r="I1712" i="20"/>
  <c r="F1727" i="20"/>
  <c r="L963" i="20"/>
  <c r="M138" i="20"/>
  <c r="D1218" i="20"/>
  <c r="F843" i="20"/>
  <c r="H1143" i="20"/>
  <c r="N888" i="20"/>
  <c r="H1248" i="20"/>
  <c r="M617" i="20"/>
  <c r="K1188" i="20"/>
  <c r="D407" i="20"/>
  <c r="M588" i="20"/>
  <c r="K693" i="20"/>
  <c r="I557" i="20"/>
  <c r="K557" i="20"/>
  <c r="X61" i="27"/>
  <c r="K258" i="20"/>
  <c r="J258" i="20"/>
  <c r="I258" i="20"/>
  <c r="F902" i="20"/>
  <c r="D902" i="20"/>
  <c r="K902" i="20"/>
  <c r="J902" i="20"/>
  <c r="H902" i="20"/>
  <c r="E902" i="20"/>
  <c r="G212" i="20"/>
  <c r="H212" i="20"/>
  <c r="L1247" i="20"/>
  <c r="E333" i="20"/>
  <c r="F933" i="20"/>
  <c r="M1247" i="20"/>
  <c r="D212" i="20"/>
  <c r="G363" i="20"/>
  <c r="E1607" i="20"/>
  <c r="O1517" i="20"/>
  <c r="D1292" i="20"/>
  <c r="M873" i="20"/>
  <c r="O1173" i="20"/>
  <c r="O1067" i="20"/>
  <c r="G213" i="20"/>
  <c r="F437" i="20"/>
  <c r="F273" i="20"/>
  <c r="H1712" i="20"/>
  <c r="H1727" i="20"/>
  <c r="L843" i="20"/>
  <c r="F78" i="20"/>
  <c r="J1022" i="20"/>
  <c r="N1548" i="20"/>
  <c r="J1563" i="20"/>
  <c r="K468" i="20"/>
  <c r="F1248" i="20"/>
  <c r="O423" i="20"/>
  <c r="D1563" i="20"/>
  <c r="D963" i="20"/>
  <c r="J528" i="20"/>
  <c r="L317" i="20"/>
  <c r="J317" i="20"/>
  <c r="O317" i="20"/>
  <c r="N317" i="20"/>
  <c r="M317" i="20"/>
  <c r="X71" i="27"/>
  <c r="H933" i="20"/>
  <c r="O1247" i="20"/>
  <c r="J1052" i="20"/>
  <c r="G1562" i="20"/>
  <c r="I797" i="20"/>
  <c r="J933" i="20"/>
  <c r="D1247" i="20"/>
  <c r="F648" i="20"/>
  <c r="I1368" i="20"/>
  <c r="H363" i="20"/>
  <c r="K1052" i="20"/>
  <c r="K1278" i="20"/>
  <c r="L1562" i="20"/>
  <c r="J797" i="20"/>
  <c r="H1607" i="20"/>
  <c r="D1517" i="20"/>
  <c r="F1292" i="20"/>
  <c r="N873" i="20"/>
  <c r="E1173" i="20"/>
  <c r="D1067" i="20"/>
  <c r="H213" i="20"/>
  <c r="G437" i="20"/>
  <c r="G273" i="20"/>
  <c r="L1712" i="20"/>
  <c r="K1727" i="20"/>
  <c r="L798" i="20"/>
  <c r="F963" i="20"/>
  <c r="K138" i="20"/>
  <c r="F1022" i="20"/>
  <c r="F798" i="20"/>
  <c r="E1022" i="20"/>
  <c r="G1322" i="20"/>
  <c r="O468" i="20"/>
  <c r="F243" i="20"/>
  <c r="J318" i="20"/>
  <c r="G588" i="20"/>
  <c r="J917" i="20"/>
  <c r="E1383" i="20"/>
  <c r="F108" i="20"/>
  <c r="O108" i="20"/>
  <c r="J108" i="20"/>
  <c r="H108" i="20"/>
  <c r="X26" i="27"/>
  <c r="H858" i="20"/>
  <c r="D1398" i="20"/>
  <c r="N858" i="20"/>
  <c r="D197" i="20"/>
  <c r="M62" i="20"/>
  <c r="O1548" i="20"/>
  <c r="H1413" i="20"/>
  <c r="N528" i="20"/>
  <c r="G693" i="20"/>
  <c r="G1518" i="20"/>
  <c r="K1518" i="20"/>
  <c r="H1518" i="20"/>
  <c r="E1518" i="20"/>
  <c r="O1518" i="20"/>
  <c r="H543" i="20"/>
  <c r="G543" i="20"/>
  <c r="F543" i="20"/>
  <c r="E543" i="20"/>
  <c r="D543" i="20"/>
  <c r="O543" i="20"/>
  <c r="N543" i="20"/>
  <c r="M543" i="20"/>
  <c r="L543" i="20"/>
  <c r="K543" i="20"/>
  <c r="J543" i="20"/>
  <c r="I543" i="20"/>
  <c r="K392" i="20"/>
  <c r="G392" i="20"/>
  <c r="H392" i="20"/>
  <c r="F392" i="20"/>
  <c r="E392" i="20"/>
  <c r="J392" i="20"/>
  <c r="D392" i="20"/>
  <c r="O392" i="20"/>
  <c r="N392" i="20"/>
  <c r="M392" i="20"/>
  <c r="L392" i="20"/>
  <c r="I392" i="20"/>
  <c r="F1247" i="20"/>
  <c r="G648" i="20"/>
  <c r="F1173" i="20"/>
  <c r="E1067" i="20"/>
  <c r="H437" i="20"/>
  <c r="M1712" i="20"/>
  <c r="L797" i="20"/>
  <c r="D753" i="20"/>
  <c r="D873" i="20"/>
  <c r="F1067" i="20"/>
  <c r="J213" i="20"/>
  <c r="I273" i="20"/>
  <c r="O1712" i="20"/>
  <c r="I1218" i="20"/>
  <c r="J197" i="20"/>
  <c r="F1322" i="20"/>
  <c r="L917" i="20"/>
  <c r="O888" i="20"/>
  <c r="D1188" i="20"/>
  <c r="M528" i="20"/>
  <c r="X48" i="27"/>
  <c r="Z78" i="27"/>
  <c r="W116" i="27"/>
  <c r="X4" i="27" s="1"/>
  <c r="M1578" i="20"/>
  <c r="H1578" i="20"/>
  <c r="N1578" i="20"/>
  <c r="F92" i="20"/>
  <c r="L92" i="20"/>
  <c r="H92" i="20"/>
  <c r="D92" i="20"/>
  <c r="K92" i="20"/>
  <c r="M92" i="20"/>
  <c r="G92" i="20"/>
  <c r="E92" i="20"/>
  <c r="N92" i="20"/>
  <c r="J92" i="20"/>
  <c r="I92" i="20"/>
  <c r="O92" i="20"/>
  <c r="N1142" i="20"/>
  <c r="M1142" i="20"/>
  <c r="L1142" i="20"/>
  <c r="K1142" i="20"/>
  <c r="J1142" i="20"/>
  <c r="I1142" i="20"/>
  <c r="H1142" i="20"/>
  <c r="G1142" i="20"/>
  <c r="F1142" i="20"/>
  <c r="E1142" i="20"/>
  <c r="D1142" i="20"/>
  <c r="O1142" i="20"/>
  <c r="H1383" i="20"/>
  <c r="N1413" i="20"/>
  <c r="I693" i="20"/>
  <c r="N1203" i="20"/>
  <c r="M1203" i="20"/>
  <c r="J1203" i="20"/>
  <c r="I1203" i="20"/>
  <c r="G1203" i="20"/>
  <c r="F1203" i="20"/>
  <c r="E1203" i="20"/>
  <c r="O1203" i="20"/>
  <c r="L1203" i="20"/>
  <c r="K1203" i="20"/>
  <c r="H1203" i="20"/>
  <c r="D1203" i="20"/>
  <c r="L933" i="20"/>
  <c r="J1368" i="20"/>
  <c r="I363" i="20"/>
  <c r="L1052" i="20"/>
  <c r="E1562" i="20"/>
  <c r="K797" i="20"/>
  <c r="H753" i="20"/>
  <c r="I1607" i="20"/>
  <c r="H273" i="20"/>
  <c r="N1727" i="20"/>
  <c r="M933" i="20"/>
  <c r="H1247" i="20"/>
  <c r="H648" i="20"/>
  <c r="L1368" i="20"/>
  <c r="F1083" i="20"/>
  <c r="J363" i="20"/>
  <c r="M1052" i="20"/>
  <c r="I1562" i="20"/>
  <c r="K1607" i="20"/>
  <c r="I1517" i="20"/>
  <c r="J1292" i="20"/>
  <c r="I1173" i="20"/>
  <c r="E1727" i="20"/>
  <c r="M1218" i="20"/>
  <c r="M1383" i="20"/>
  <c r="L1398" i="20"/>
  <c r="F1308" i="20"/>
  <c r="I798" i="20"/>
  <c r="D1502" i="20"/>
  <c r="M1637" i="20"/>
  <c r="J798" i="20"/>
  <c r="L1502" i="20"/>
  <c r="O1322" i="20"/>
  <c r="K828" i="20"/>
  <c r="D1322" i="20"/>
  <c r="E588" i="20"/>
  <c r="I468" i="20"/>
  <c r="F498" i="20"/>
  <c r="J588" i="20"/>
  <c r="O1458" i="20"/>
  <c r="I1458" i="20"/>
  <c r="G1458" i="20"/>
  <c r="N1458" i="20"/>
  <c r="M1458" i="20"/>
  <c r="K1458" i="20"/>
  <c r="J1458" i="20"/>
  <c r="F1458" i="20"/>
  <c r="E1458" i="20"/>
  <c r="D1458" i="20"/>
  <c r="L1458" i="20"/>
  <c r="H1458" i="20"/>
  <c r="M348" i="20"/>
  <c r="D348" i="20"/>
  <c r="O348" i="20"/>
  <c r="N348" i="20"/>
  <c r="K348" i="20"/>
  <c r="I542" i="20"/>
  <c r="H542" i="20"/>
  <c r="G542" i="20"/>
  <c r="F542" i="20"/>
  <c r="E542" i="20"/>
  <c r="D542" i="20"/>
  <c r="O542" i="20"/>
  <c r="N542" i="20"/>
  <c r="M542" i="20"/>
  <c r="L542" i="20"/>
  <c r="K542" i="20"/>
  <c r="J542" i="20"/>
  <c r="J1682" i="20"/>
  <c r="L1682" i="20"/>
  <c r="N1682" i="20"/>
  <c r="X62" i="27"/>
  <c r="P303" i="20"/>
  <c r="P1698" i="20"/>
  <c r="P1217" i="20"/>
  <c r="P887" i="20"/>
  <c r="P992" i="20"/>
  <c r="P393" i="20"/>
  <c r="P272" i="20"/>
  <c r="P827" i="20"/>
  <c r="P1653" i="20"/>
  <c r="P1008" i="20"/>
  <c r="N16" i="24"/>
  <c r="K15" i="24"/>
  <c r="C1742" i="20"/>
  <c r="H48" i="20"/>
  <c r="G48" i="20"/>
  <c r="F48" i="20"/>
  <c r="E48" i="20"/>
  <c r="D48" i="20"/>
  <c r="O48" i="20"/>
  <c r="N48" i="20"/>
  <c r="M48" i="20"/>
  <c r="L48" i="20"/>
  <c r="K48" i="20"/>
  <c r="J48" i="20"/>
  <c r="I48" i="20"/>
  <c r="C1741" i="20"/>
  <c r="I47" i="20"/>
  <c r="H47" i="20"/>
  <c r="G47" i="20"/>
  <c r="F47" i="20"/>
  <c r="E47" i="20"/>
  <c r="D47" i="20"/>
  <c r="O47" i="20"/>
  <c r="N47" i="20"/>
  <c r="M47" i="20"/>
  <c r="L47" i="20"/>
  <c r="K47" i="20"/>
  <c r="J47" i="20"/>
  <c r="E15" i="17"/>
  <c r="E15" i="16"/>
  <c r="E15" i="12"/>
  <c r="E15" i="11"/>
  <c r="E16" i="9"/>
  <c r="F16" i="9" s="1"/>
  <c r="E15" i="10"/>
  <c r="E15" i="14"/>
  <c r="E16" i="8"/>
  <c r="F16" i="7"/>
  <c r="P67" i="3"/>
  <c r="P95" i="3"/>
  <c r="P119" i="3"/>
  <c r="P75" i="3"/>
  <c r="P34" i="3"/>
  <c r="P63" i="3"/>
  <c r="P39" i="3"/>
  <c r="P92" i="3"/>
  <c r="P100" i="3"/>
  <c r="P117" i="3"/>
  <c r="P51" i="3"/>
  <c r="P49" i="3"/>
  <c r="P90" i="3"/>
  <c r="P76" i="3"/>
  <c r="P64" i="3"/>
  <c r="P40" i="3"/>
  <c r="P66" i="3"/>
  <c r="P37" i="3"/>
  <c r="P31" i="3"/>
  <c r="P79" i="3"/>
  <c r="P108" i="3"/>
  <c r="P18" i="3"/>
  <c r="P32" i="3"/>
  <c r="P61" i="3"/>
  <c r="P73" i="3"/>
  <c r="P98" i="3"/>
  <c r="P55" i="3"/>
  <c r="P22" i="3"/>
  <c r="P93" i="3"/>
  <c r="P113" i="3"/>
  <c r="P12" i="3"/>
  <c r="P57" i="3"/>
  <c r="P13" i="3"/>
  <c r="P83" i="3"/>
  <c r="P116" i="3"/>
  <c r="P48" i="3"/>
  <c r="P50" i="3"/>
  <c r="P106" i="3"/>
  <c r="P82" i="3"/>
  <c r="P110" i="3"/>
  <c r="P53" i="3"/>
  <c r="P99" i="3"/>
  <c r="P74" i="3"/>
  <c r="P72" i="3"/>
  <c r="P60" i="3"/>
  <c r="P56" i="3"/>
  <c r="P68" i="3"/>
  <c r="P102" i="3"/>
  <c r="P107" i="3"/>
  <c r="P59" i="3"/>
  <c r="P14" i="3"/>
  <c r="P120" i="3"/>
  <c r="P84" i="3"/>
  <c r="P16" i="3"/>
  <c r="P52" i="3"/>
  <c r="P54" i="3"/>
  <c r="P36" i="3"/>
  <c r="P45" i="3"/>
  <c r="P47" i="3"/>
  <c r="P103" i="3"/>
  <c r="P85" i="3"/>
  <c r="P97" i="3"/>
  <c r="P15" i="3"/>
  <c r="P38" i="3"/>
  <c r="P94" i="3"/>
  <c r="P23" i="3"/>
  <c r="P11" i="3"/>
  <c r="P33" i="3"/>
  <c r="P104" i="3"/>
  <c r="P69" i="3"/>
  <c r="P28" i="3"/>
  <c r="P118" i="3"/>
  <c r="P89" i="3"/>
  <c r="P70" i="3"/>
  <c r="P81" i="3"/>
  <c r="P35" i="3"/>
  <c r="P42" i="3"/>
  <c r="P112" i="3"/>
  <c r="P10" i="3"/>
  <c r="P101" i="3"/>
  <c r="P80" i="3"/>
  <c r="P24" i="3"/>
  <c r="P111" i="3"/>
  <c r="P114" i="3"/>
  <c r="P65" i="3"/>
  <c r="P58" i="3"/>
  <c r="P30" i="3"/>
  <c r="P96" i="3"/>
  <c r="P88" i="3"/>
  <c r="P20" i="3"/>
  <c r="P71" i="3"/>
  <c r="P43" i="3"/>
  <c r="P41" i="3"/>
  <c r="P115" i="3"/>
  <c r="P19" i="3"/>
  <c r="P86" i="3"/>
  <c r="P27" i="3"/>
  <c r="P62" i="3"/>
  <c r="P77" i="3"/>
  <c r="P46" i="3"/>
  <c r="P25" i="3"/>
  <c r="P44" i="3"/>
  <c r="P29" i="3"/>
  <c r="P9" i="3"/>
  <c r="P87" i="3"/>
  <c r="P17" i="3"/>
  <c r="P21" i="3"/>
  <c r="P109" i="3"/>
  <c r="P105" i="3"/>
  <c r="P91" i="3"/>
  <c r="P26" i="3"/>
  <c r="P78" i="3"/>
  <c r="R121" i="4"/>
  <c r="R108" i="4"/>
  <c r="R36" i="4"/>
  <c r="R13" i="4"/>
  <c r="R85" i="4"/>
  <c r="R114" i="4"/>
  <c r="R78" i="4"/>
  <c r="R37" i="4"/>
  <c r="R120" i="4"/>
  <c r="R14" i="4"/>
  <c r="R24" i="4"/>
  <c r="R53" i="4"/>
  <c r="R20" i="4"/>
  <c r="R57" i="4"/>
  <c r="R70" i="4"/>
  <c r="R82" i="4"/>
  <c r="R68" i="4"/>
  <c r="R65" i="4"/>
  <c r="R61" i="4"/>
  <c r="R119" i="4"/>
  <c r="R117" i="4"/>
  <c r="R38" i="4"/>
  <c r="R62" i="4"/>
  <c r="R55" i="4"/>
  <c r="R60" i="4"/>
  <c r="R102" i="4"/>
  <c r="R43" i="4"/>
  <c r="R51" i="4"/>
  <c r="R89" i="4"/>
  <c r="R41" i="4"/>
  <c r="R64" i="4"/>
  <c r="R103" i="4"/>
  <c r="R46" i="4"/>
  <c r="R40" i="4"/>
  <c r="R115" i="4"/>
  <c r="R92" i="4"/>
  <c r="R79" i="4"/>
  <c r="R52" i="4"/>
  <c r="R27" i="4"/>
  <c r="R94" i="4"/>
  <c r="R110" i="4"/>
  <c r="R118" i="4"/>
  <c r="R99" i="4"/>
  <c r="R87" i="4"/>
  <c r="R39" i="4"/>
  <c r="R34" i="4"/>
  <c r="R17" i="4"/>
  <c r="R67" i="4"/>
  <c r="R116" i="4"/>
  <c r="R96" i="4"/>
  <c r="R15" i="4"/>
  <c r="R49" i="4"/>
  <c r="R71" i="4"/>
  <c r="R54" i="4"/>
  <c r="R88" i="4"/>
  <c r="R75" i="4"/>
  <c r="R19" i="4"/>
  <c r="R12" i="4"/>
  <c r="R50" i="4"/>
  <c r="R56" i="4"/>
  <c r="R11" i="4"/>
  <c r="R28" i="4"/>
  <c r="R90" i="4"/>
  <c r="R93" i="4"/>
  <c r="R83" i="4"/>
  <c r="R98" i="4"/>
  <c r="R45" i="4"/>
  <c r="R101" i="4"/>
  <c r="R66" i="4"/>
  <c r="R122" i="4"/>
  <c r="R84" i="4"/>
  <c r="R100" i="4"/>
  <c r="R73" i="4"/>
  <c r="R30" i="4"/>
  <c r="R22" i="4"/>
  <c r="R42" i="4"/>
  <c r="R80" i="4"/>
  <c r="R107" i="4"/>
  <c r="R26" i="4"/>
  <c r="R29" i="4"/>
  <c r="R86" i="4"/>
  <c r="R97" i="4"/>
  <c r="R25" i="4"/>
  <c r="R18" i="4"/>
  <c r="R77" i="4"/>
  <c r="R105" i="4"/>
  <c r="R23" i="4"/>
  <c r="R69" i="4"/>
  <c r="R113" i="4"/>
  <c r="R47" i="4"/>
  <c r="R59" i="4"/>
  <c r="R112" i="4"/>
  <c r="R44" i="4"/>
  <c r="R91" i="4"/>
  <c r="R16" i="4"/>
  <c r="R81" i="4"/>
  <c r="R72" i="4"/>
  <c r="R95" i="4"/>
  <c r="R31" i="4"/>
  <c r="R76" i="4"/>
  <c r="R35" i="4"/>
  <c r="R58" i="4"/>
  <c r="R32" i="4"/>
  <c r="R33" i="4"/>
  <c r="R109" i="4"/>
  <c r="R111" i="4"/>
  <c r="R48" i="4"/>
  <c r="R74" i="4"/>
  <c r="R63" i="4"/>
  <c r="R106" i="4"/>
  <c r="R104" i="4"/>
  <c r="R21" i="4"/>
  <c r="R10" i="4"/>
  <c r="R129" i="1"/>
  <c r="R15" i="1"/>
  <c r="P573" i="20" l="1"/>
  <c r="P1457" i="20"/>
  <c r="P1473" i="20"/>
  <c r="P527" i="20"/>
  <c r="P377" i="20"/>
  <c r="P1308" i="20"/>
  <c r="P1172" i="20"/>
  <c r="P332" i="20"/>
  <c r="P1652" i="20"/>
  <c r="P1368" i="20"/>
  <c r="P1007" i="20"/>
  <c r="P198" i="20"/>
  <c r="P1053" i="20"/>
  <c r="Z97" i="27"/>
  <c r="Z58" i="27"/>
  <c r="Z17" i="27"/>
  <c r="P1518" i="20"/>
  <c r="P93" i="20"/>
  <c r="P107" i="20"/>
  <c r="P362" i="20"/>
  <c r="P1307" i="20"/>
  <c r="P1382" i="20"/>
  <c r="P782" i="20"/>
  <c r="P482" i="20"/>
  <c r="P122" i="20"/>
  <c r="P227" i="20"/>
  <c r="P1353" i="20"/>
  <c r="P993" i="20"/>
  <c r="P723" i="20"/>
  <c r="P663" i="20"/>
  <c r="P558" i="20"/>
  <c r="P813" i="20"/>
  <c r="P1038" i="20"/>
  <c r="P1068" i="20"/>
  <c r="P153" i="20"/>
  <c r="P1622" i="20"/>
  <c r="P1202" i="20"/>
  <c r="Z46" i="27"/>
  <c r="Z51" i="27"/>
  <c r="P1637" i="20"/>
  <c r="Z112" i="27"/>
  <c r="Z8" i="27"/>
  <c r="Z90" i="27"/>
  <c r="P1262" i="20"/>
  <c r="Z34" i="27"/>
  <c r="P242" i="20"/>
  <c r="P1157" i="20"/>
  <c r="P1097" i="20"/>
  <c r="P842" i="20"/>
  <c r="P572" i="20"/>
  <c r="P662" i="20"/>
  <c r="P602" i="20"/>
  <c r="P632" i="20"/>
  <c r="P587" i="20"/>
  <c r="Z38" i="27"/>
  <c r="Z32" i="27"/>
  <c r="Z35" i="27"/>
  <c r="P287" i="20"/>
  <c r="P452" i="20"/>
  <c r="P737" i="20"/>
  <c r="Z98" i="27"/>
  <c r="Z55" i="27"/>
  <c r="P1472" i="20"/>
  <c r="P692" i="20"/>
  <c r="P752" i="20"/>
  <c r="P197" i="20"/>
  <c r="P1247" i="20"/>
  <c r="P347" i="20"/>
  <c r="P137" i="20"/>
  <c r="Z49" i="27"/>
  <c r="Z84" i="27"/>
  <c r="Z67" i="27"/>
  <c r="P872" i="20"/>
  <c r="Z12" i="27"/>
  <c r="P1352" i="20"/>
  <c r="Z42" i="27"/>
  <c r="Z103" i="27"/>
  <c r="P1022" i="20"/>
  <c r="P1037" i="20"/>
  <c r="Z26" i="27"/>
  <c r="Z77" i="27"/>
  <c r="Z47" i="27"/>
  <c r="P1412" i="20"/>
  <c r="Z104" i="27"/>
  <c r="Z29" i="27"/>
  <c r="P1397" i="20"/>
  <c r="Z105" i="27"/>
  <c r="Z33" i="27"/>
  <c r="P557" i="20"/>
  <c r="P437" i="20"/>
  <c r="P497" i="20"/>
  <c r="Z57" i="27"/>
  <c r="P797" i="20"/>
  <c r="Z64" i="27"/>
  <c r="P407" i="20"/>
  <c r="Z101" i="27"/>
  <c r="Z89" i="27"/>
  <c r="P1127" i="20"/>
  <c r="P167" i="20"/>
  <c r="Z73" i="27"/>
  <c r="Z18" i="27"/>
  <c r="Z59" i="27"/>
  <c r="Z76" i="27"/>
  <c r="Z68" i="27"/>
  <c r="Z88" i="27"/>
  <c r="Z28" i="27"/>
  <c r="Z5" i="27"/>
  <c r="Z114" i="27"/>
  <c r="P423" i="20"/>
  <c r="P1608" i="20"/>
  <c r="P1728" i="20"/>
  <c r="P138" i="20"/>
  <c r="P1578" i="20"/>
  <c r="P1533" i="20"/>
  <c r="P1443" i="20"/>
  <c r="X101" i="27"/>
  <c r="X58" i="27"/>
  <c r="P588" i="20"/>
  <c r="P1143" i="20"/>
  <c r="P1338" i="20"/>
  <c r="P1713" i="20"/>
  <c r="P1023" i="20"/>
  <c r="P348" i="20"/>
  <c r="P963" i="20"/>
  <c r="P1638" i="20"/>
  <c r="P1428" i="20"/>
  <c r="P1113" i="20"/>
  <c r="P1083" i="20"/>
  <c r="P843" i="20"/>
  <c r="P1593" i="20"/>
  <c r="P1218" i="20"/>
  <c r="P1383" i="20"/>
  <c r="P243" i="20"/>
  <c r="X106" i="27"/>
  <c r="X24" i="27"/>
  <c r="P288" i="20"/>
  <c r="P1548" i="20"/>
  <c r="X44" i="27"/>
  <c r="P828" i="20"/>
  <c r="X108" i="27"/>
  <c r="X84" i="27"/>
  <c r="P1293" i="20"/>
  <c r="P918" i="20"/>
  <c r="X35" i="27"/>
  <c r="P603" i="20"/>
  <c r="P1683" i="20"/>
  <c r="P873" i="20"/>
  <c r="P633" i="20"/>
  <c r="P453" i="20"/>
  <c r="P753" i="20"/>
  <c r="Z66" i="27"/>
  <c r="Z52" i="27"/>
  <c r="Z37" i="27"/>
  <c r="P168" i="20"/>
  <c r="P1712" i="20"/>
  <c r="X111" i="27"/>
  <c r="P647" i="20"/>
  <c r="Z43" i="27"/>
  <c r="Z69" i="27"/>
  <c r="Z100" i="27"/>
  <c r="Z13" i="27"/>
  <c r="Z9" i="27"/>
  <c r="Z108" i="27"/>
  <c r="Z31" i="27"/>
  <c r="P888" i="20"/>
  <c r="P78" i="20"/>
  <c r="P798" i="20"/>
  <c r="P932" i="20"/>
  <c r="Z71" i="27"/>
  <c r="P1682" i="20"/>
  <c r="Z24" i="27"/>
  <c r="Z106" i="27"/>
  <c r="P1323" i="20"/>
  <c r="Z93" i="27"/>
  <c r="P1502" i="20"/>
  <c r="Z115" i="27"/>
  <c r="Z99" i="27"/>
  <c r="P1562" i="20"/>
  <c r="P1727" i="20"/>
  <c r="P123" i="20"/>
  <c r="P1577" i="20"/>
  <c r="Z91" i="27"/>
  <c r="P108" i="20"/>
  <c r="X74" i="27"/>
  <c r="Z60" i="27"/>
  <c r="Z82" i="27"/>
  <c r="P947" i="20"/>
  <c r="Z45" i="27"/>
  <c r="X9" i="27"/>
  <c r="Z14" i="27"/>
  <c r="Z70" i="27"/>
  <c r="P902" i="20"/>
  <c r="Z36" i="27"/>
  <c r="Z23" i="27"/>
  <c r="Z15" i="27"/>
  <c r="Z21" i="27"/>
  <c r="P213" i="20"/>
  <c r="Z50" i="27"/>
  <c r="P858" i="20"/>
  <c r="Z30" i="27"/>
  <c r="Z110" i="27"/>
  <c r="P513" i="20"/>
  <c r="X110" i="27"/>
  <c r="P1188" i="20"/>
  <c r="Z19" i="27"/>
  <c r="P317" i="20"/>
  <c r="P1292" i="20"/>
  <c r="Z40" i="27"/>
  <c r="P1337" i="20"/>
  <c r="P62" i="20"/>
  <c r="Q62" i="20" s="1"/>
  <c r="Z4" i="27"/>
  <c r="P1142" i="20"/>
  <c r="P1607" i="20"/>
  <c r="Z44" i="27"/>
  <c r="Z113" i="27"/>
  <c r="Z56" i="27"/>
  <c r="P1398" i="20"/>
  <c r="Z61" i="27"/>
  <c r="P542" i="20"/>
  <c r="X30" i="27"/>
  <c r="P917" i="20"/>
  <c r="X107" i="27"/>
  <c r="P363" i="20"/>
  <c r="Z54" i="27"/>
  <c r="X14" i="27"/>
  <c r="Z20" i="27"/>
  <c r="Z107" i="27"/>
  <c r="Z83" i="27"/>
  <c r="P483" i="20"/>
  <c r="P977" i="20"/>
  <c r="Z65" i="27"/>
  <c r="Z63" i="27"/>
  <c r="P1278" i="20"/>
  <c r="X102" i="27"/>
  <c r="P212" i="20"/>
  <c r="Z72" i="27"/>
  <c r="P528" i="20"/>
  <c r="X51" i="27"/>
  <c r="P318" i="20"/>
  <c r="P1277" i="20"/>
  <c r="P1442" i="20"/>
  <c r="P228" i="20"/>
  <c r="Z75" i="27"/>
  <c r="P1667" i="20"/>
  <c r="P258" i="20"/>
  <c r="P1517" i="20"/>
  <c r="Z81" i="27"/>
  <c r="Z86" i="27"/>
  <c r="Z27" i="27"/>
  <c r="P1248" i="20"/>
  <c r="P273" i="20"/>
  <c r="Z62" i="27"/>
  <c r="P498" i="20"/>
  <c r="Z39" i="27"/>
  <c r="Z102" i="27"/>
  <c r="Z85" i="27"/>
  <c r="P1233" i="20"/>
  <c r="Z11" i="27"/>
  <c r="P1563" i="20"/>
  <c r="Z92" i="27"/>
  <c r="Z94" i="27"/>
  <c r="P1173" i="20"/>
  <c r="P1052" i="20"/>
  <c r="Z96" i="27"/>
  <c r="P693" i="20"/>
  <c r="P933" i="20"/>
  <c r="Z41" i="27"/>
  <c r="X34" i="27"/>
  <c r="Z109" i="27"/>
  <c r="Z74" i="27"/>
  <c r="P617" i="20"/>
  <c r="Z80" i="27"/>
  <c r="Z10" i="27"/>
  <c r="Z53" i="27"/>
  <c r="Z79" i="27"/>
  <c r="Z95" i="27"/>
  <c r="Z16" i="27"/>
  <c r="P333" i="20"/>
  <c r="P648" i="20"/>
  <c r="P1413" i="20"/>
  <c r="P1487" i="20"/>
  <c r="X104" i="27"/>
  <c r="P1322" i="20"/>
  <c r="P1067" i="20"/>
  <c r="Z6" i="27"/>
  <c r="X113" i="27"/>
  <c r="P468" i="20"/>
  <c r="P422" i="20"/>
  <c r="P378" i="20"/>
  <c r="Z7" i="27"/>
  <c r="Z111" i="27"/>
  <c r="P708" i="20"/>
  <c r="X10" i="27"/>
  <c r="P722" i="20"/>
  <c r="P1668" i="20"/>
  <c r="P1112" i="20"/>
  <c r="X69" i="27"/>
  <c r="X87" i="27"/>
  <c r="X41" i="27"/>
  <c r="X3" i="27"/>
  <c r="X60" i="27"/>
  <c r="X75" i="27"/>
  <c r="X52" i="27"/>
  <c r="X45" i="27"/>
  <c r="X99" i="27"/>
  <c r="X63" i="27"/>
  <c r="X73" i="27"/>
  <c r="X27" i="27"/>
  <c r="X100" i="27"/>
  <c r="X77" i="27"/>
  <c r="P543" i="20"/>
  <c r="X85" i="27"/>
  <c r="X112" i="27"/>
  <c r="X88" i="27"/>
  <c r="X5" i="27"/>
  <c r="X93" i="27"/>
  <c r="X56" i="27"/>
  <c r="X65" i="27"/>
  <c r="X22" i="27"/>
  <c r="X67" i="27"/>
  <c r="X72" i="27"/>
  <c r="P438" i="20"/>
  <c r="P392" i="20"/>
  <c r="X7" i="27"/>
  <c r="X98" i="27"/>
  <c r="X49" i="27"/>
  <c r="P1232" i="20"/>
  <c r="X36" i="27"/>
  <c r="X13" i="27"/>
  <c r="X103" i="27"/>
  <c r="X42" i="27"/>
  <c r="X16" i="27"/>
  <c r="X82" i="27"/>
  <c r="X25" i="27"/>
  <c r="X54" i="27"/>
  <c r="X31" i="27"/>
  <c r="X28" i="27"/>
  <c r="X50" i="27"/>
  <c r="P812" i="20"/>
  <c r="P1263" i="20"/>
  <c r="X115" i="27"/>
  <c r="X11" i="27"/>
  <c r="X109" i="27"/>
  <c r="P857" i="20"/>
  <c r="X47" i="27"/>
  <c r="X29" i="27"/>
  <c r="X32" i="27"/>
  <c r="X43" i="27"/>
  <c r="P707" i="20"/>
  <c r="X114" i="27"/>
  <c r="X81" i="27"/>
  <c r="X57" i="27"/>
  <c r="X70" i="27"/>
  <c r="X90" i="27"/>
  <c r="X76" i="27"/>
  <c r="X89" i="27"/>
  <c r="X66" i="27"/>
  <c r="P738" i="20"/>
  <c r="X91" i="27"/>
  <c r="X12" i="27"/>
  <c r="P1532" i="20"/>
  <c r="X92" i="27"/>
  <c r="X105" i="27"/>
  <c r="X95" i="27"/>
  <c r="P1623" i="20"/>
  <c r="X20" i="27"/>
  <c r="P677" i="20"/>
  <c r="X68" i="27"/>
  <c r="X33" i="27"/>
  <c r="X46" i="27"/>
  <c r="Z116" i="27"/>
  <c r="X21" i="27"/>
  <c r="X78" i="27"/>
  <c r="P183" i="20"/>
  <c r="X40" i="27"/>
  <c r="P92" i="20"/>
  <c r="P1697" i="20"/>
  <c r="P302" i="20"/>
  <c r="X59" i="27"/>
  <c r="X86" i="27"/>
  <c r="X53" i="27"/>
  <c r="X18" i="27"/>
  <c r="X15" i="27"/>
  <c r="X19" i="27"/>
  <c r="P1458" i="20"/>
  <c r="X94" i="27"/>
  <c r="X96" i="27"/>
  <c r="X80" i="27"/>
  <c r="P182" i="20"/>
  <c r="X39" i="27"/>
  <c r="X38" i="27"/>
  <c r="X23" i="27"/>
  <c r="P768" i="20"/>
  <c r="X37" i="27"/>
  <c r="X55" i="27"/>
  <c r="X8" i="27"/>
  <c r="P1203" i="20"/>
  <c r="X97" i="27"/>
  <c r="X6" i="27"/>
  <c r="P1427" i="20"/>
  <c r="P63" i="20"/>
  <c r="P47" i="20"/>
  <c r="P48" i="20"/>
  <c r="E108" i="16"/>
  <c r="E108" i="14"/>
  <c r="F108" i="14" s="1"/>
  <c r="E108" i="12"/>
  <c r="F108" i="12" s="1"/>
  <c r="E108" i="17"/>
  <c r="F108" i="17" s="1"/>
  <c r="E108" i="10"/>
  <c r="F108" i="10" s="1"/>
  <c r="E109" i="9"/>
  <c r="F109" i="9" s="1"/>
  <c r="E109" i="8"/>
  <c r="F109" i="8" s="1"/>
  <c r="E108" i="11"/>
  <c r="F108" i="11" s="1"/>
  <c r="F109" i="7"/>
  <c r="E79" i="17"/>
  <c r="F79" i="17" s="1"/>
  <c r="E79" i="12"/>
  <c r="F79" i="12" s="1"/>
  <c r="E79" i="14"/>
  <c r="F79" i="14" s="1"/>
  <c r="E79" i="16"/>
  <c r="E80" i="9"/>
  <c r="F80" i="9" s="1"/>
  <c r="E79" i="10"/>
  <c r="F79" i="10" s="1"/>
  <c r="E80" i="8"/>
  <c r="F80" i="8" s="1"/>
  <c r="E79" i="11"/>
  <c r="F79" i="11" s="1"/>
  <c r="F80" i="7"/>
  <c r="E36" i="16"/>
  <c r="E36" i="17"/>
  <c r="F36" i="17" s="1"/>
  <c r="E36" i="14"/>
  <c r="F36" i="14" s="1"/>
  <c r="E36" i="10"/>
  <c r="F36" i="10" s="1"/>
  <c r="E36" i="12"/>
  <c r="F36" i="12" s="1"/>
  <c r="E36" i="11"/>
  <c r="F36" i="11" s="1"/>
  <c r="E37" i="9"/>
  <c r="F37" i="9" s="1"/>
  <c r="E37" i="8"/>
  <c r="F37" i="8" s="1"/>
  <c r="F37" i="7"/>
  <c r="E78" i="16"/>
  <c r="E78" i="17"/>
  <c r="F78" i="17" s="1"/>
  <c r="E78" i="12"/>
  <c r="F78" i="12" s="1"/>
  <c r="E78" i="14"/>
  <c r="F78" i="14" s="1"/>
  <c r="E78" i="11"/>
  <c r="F78" i="11" s="1"/>
  <c r="E79" i="9"/>
  <c r="F79" i="9" s="1"/>
  <c r="E78" i="10"/>
  <c r="F78" i="10" s="1"/>
  <c r="E79" i="8"/>
  <c r="F79" i="8" s="1"/>
  <c r="F79" i="7"/>
  <c r="E17" i="16"/>
  <c r="E17" i="17"/>
  <c r="F17" i="17" s="1"/>
  <c r="E17" i="12"/>
  <c r="F17" i="12" s="1"/>
  <c r="E17" i="14"/>
  <c r="F17" i="14" s="1"/>
  <c r="E17" i="11"/>
  <c r="F17" i="11" s="1"/>
  <c r="E18" i="8"/>
  <c r="F18" i="8" s="1"/>
  <c r="E18" i="9"/>
  <c r="F18" i="9" s="1"/>
  <c r="F18" i="7"/>
  <c r="E17" i="10"/>
  <c r="F17" i="10" s="1"/>
  <c r="E18" i="16"/>
  <c r="E18" i="17"/>
  <c r="F18" i="17" s="1"/>
  <c r="E18" i="14"/>
  <c r="F18" i="14" s="1"/>
  <c r="E18" i="11"/>
  <c r="F18" i="11" s="1"/>
  <c r="E18" i="12"/>
  <c r="F18" i="12" s="1"/>
  <c r="E18" i="10"/>
  <c r="F18" i="10" s="1"/>
  <c r="E19" i="8"/>
  <c r="F19" i="8" s="1"/>
  <c r="F19" i="7"/>
  <c r="E19" i="9"/>
  <c r="F19" i="9" s="1"/>
  <c r="E59" i="17"/>
  <c r="F59" i="17" s="1"/>
  <c r="E59" i="12"/>
  <c r="F59" i="12" s="1"/>
  <c r="E59" i="16"/>
  <c r="E59" i="11"/>
  <c r="F59" i="11" s="1"/>
  <c r="E60" i="9"/>
  <c r="F60" i="9" s="1"/>
  <c r="E59" i="14"/>
  <c r="F59" i="14" s="1"/>
  <c r="E59" i="10"/>
  <c r="F59" i="10" s="1"/>
  <c r="E60" i="8"/>
  <c r="F60" i="8" s="1"/>
  <c r="F60" i="7"/>
  <c r="E81" i="16"/>
  <c r="E81" i="17"/>
  <c r="F81" i="17" s="1"/>
  <c r="E81" i="14"/>
  <c r="F81" i="14" s="1"/>
  <c r="E81" i="12"/>
  <c r="F81" i="12" s="1"/>
  <c r="E81" i="11"/>
  <c r="F81" i="11" s="1"/>
  <c r="E82" i="9"/>
  <c r="F82" i="9" s="1"/>
  <c r="E82" i="8"/>
  <c r="F82" i="8" s="1"/>
  <c r="E81" i="10"/>
  <c r="F81" i="10" s="1"/>
  <c r="F82" i="7"/>
  <c r="E19" i="17"/>
  <c r="F19" i="17" s="1"/>
  <c r="E19" i="12"/>
  <c r="F19" i="12" s="1"/>
  <c r="E19" i="14"/>
  <c r="F19" i="14" s="1"/>
  <c r="E19" i="16"/>
  <c r="E19" i="11"/>
  <c r="F19" i="11" s="1"/>
  <c r="E20" i="9"/>
  <c r="F20" i="9" s="1"/>
  <c r="E19" i="10"/>
  <c r="F19" i="10" s="1"/>
  <c r="E20" i="8"/>
  <c r="F20" i="8" s="1"/>
  <c r="F20" i="7"/>
  <c r="E38" i="16"/>
  <c r="E38" i="17"/>
  <c r="F38" i="17" s="1"/>
  <c r="E38" i="14"/>
  <c r="F38" i="14" s="1"/>
  <c r="E38" i="12"/>
  <c r="F38" i="12" s="1"/>
  <c r="E38" i="10"/>
  <c r="F38" i="10" s="1"/>
  <c r="E39" i="8"/>
  <c r="F39" i="8" s="1"/>
  <c r="F39" i="7"/>
  <c r="E38" i="11"/>
  <c r="F38" i="11" s="1"/>
  <c r="E39" i="9"/>
  <c r="F39" i="9" s="1"/>
  <c r="E46" i="16"/>
  <c r="E46" i="17"/>
  <c r="F46" i="17" s="1"/>
  <c r="E46" i="14"/>
  <c r="F46" i="14" s="1"/>
  <c r="E46" i="12"/>
  <c r="F46" i="12" s="1"/>
  <c r="E46" i="11"/>
  <c r="F46" i="11" s="1"/>
  <c r="E46" i="10"/>
  <c r="F46" i="10" s="1"/>
  <c r="E47" i="8"/>
  <c r="F47" i="8" s="1"/>
  <c r="E47" i="9"/>
  <c r="F47" i="9" s="1"/>
  <c r="F47" i="7"/>
  <c r="E16" i="16"/>
  <c r="E16" i="17"/>
  <c r="F16" i="17" s="1"/>
  <c r="E16" i="12"/>
  <c r="F16" i="12" s="1"/>
  <c r="E16" i="14"/>
  <c r="F16" i="14" s="1"/>
  <c r="E16" i="11"/>
  <c r="F16" i="11" s="1"/>
  <c r="E17" i="8"/>
  <c r="F17" i="8" s="1"/>
  <c r="F17" i="7"/>
  <c r="E16" i="10"/>
  <c r="F16" i="10" s="1"/>
  <c r="E17" i="9"/>
  <c r="F17" i="9" s="1"/>
  <c r="E50" i="16"/>
  <c r="E50" i="17"/>
  <c r="F50" i="17" s="1"/>
  <c r="E50" i="12"/>
  <c r="F50" i="12" s="1"/>
  <c r="E50" i="11"/>
  <c r="F50" i="11" s="1"/>
  <c r="E50" i="14"/>
  <c r="F50" i="14" s="1"/>
  <c r="E51" i="9"/>
  <c r="F51" i="9" s="1"/>
  <c r="F51" i="7"/>
  <c r="E50" i="10"/>
  <c r="F50" i="10" s="1"/>
  <c r="E51" i="8"/>
  <c r="F51" i="8" s="1"/>
  <c r="E40" i="16"/>
  <c r="E40" i="14"/>
  <c r="F40" i="14" s="1"/>
  <c r="E40" i="17"/>
  <c r="F40" i="17" s="1"/>
  <c r="E41" i="8"/>
  <c r="F41" i="8" s="1"/>
  <c r="E40" i="12"/>
  <c r="F40" i="12" s="1"/>
  <c r="E40" i="10"/>
  <c r="F40" i="10" s="1"/>
  <c r="F41" i="7"/>
  <c r="E40" i="11"/>
  <c r="F40" i="11" s="1"/>
  <c r="E41" i="9"/>
  <c r="F41" i="9" s="1"/>
  <c r="E61" i="16"/>
  <c r="E61" i="12"/>
  <c r="F61" i="12" s="1"/>
  <c r="E61" i="14"/>
  <c r="F61" i="14" s="1"/>
  <c r="E61" i="17"/>
  <c r="F61" i="17" s="1"/>
  <c r="E62" i="9"/>
  <c r="F62" i="9" s="1"/>
  <c r="E62" i="8"/>
  <c r="F62" i="8" s="1"/>
  <c r="E61" i="11"/>
  <c r="F61" i="11" s="1"/>
  <c r="F62" i="7"/>
  <c r="E61" i="10"/>
  <c r="F61" i="10" s="1"/>
  <c r="E64" i="16"/>
  <c r="E64" i="14"/>
  <c r="F64" i="14" s="1"/>
  <c r="E64" i="17"/>
  <c r="F64" i="17" s="1"/>
  <c r="E64" i="12"/>
  <c r="F64" i="12" s="1"/>
  <c r="E64" i="11"/>
  <c r="F64" i="11" s="1"/>
  <c r="E65" i="9"/>
  <c r="F65" i="9" s="1"/>
  <c r="E65" i="8"/>
  <c r="F65" i="8" s="1"/>
  <c r="F65" i="7"/>
  <c r="E64" i="10"/>
  <c r="F64" i="10" s="1"/>
  <c r="E86" i="16"/>
  <c r="E86" i="17"/>
  <c r="F86" i="17" s="1"/>
  <c r="E86" i="14"/>
  <c r="F86" i="14" s="1"/>
  <c r="E86" i="12"/>
  <c r="F86" i="12" s="1"/>
  <c r="E86" i="11"/>
  <c r="F86" i="11" s="1"/>
  <c r="E86" i="10"/>
  <c r="F86" i="10" s="1"/>
  <c r="E87" i="9"/>
  <c r="F87" i="9" s="1"/>
  <c r="F87" i="7"/>
  <c r="E87" i="8"/>
  <c r="F87" i="8" s="1"/>
  <c r="E99" i="17"/>
  <c r="F99" i="17" s="1"/>
  <c r="E99" i="12"/>
  <c r="F99" i="12" s="1"/>
  <c r="E99" i="14"/>
  <c r="F99" i="14" s="1"/>
  <c r="E99" i="16"/>
  <c r="E100" i="9"/>
  <c r="F100" i="9" s="1"/>
  <c r="E99" i="11"/>
  <c r="F99" i="11" s="1"/>
  <c r="E100" i="8"/>
  <c r="F100" i="8" s="1"/>
  <c r="E99" i="10"/>
  <c r="F99" i="10" s="1"/>
  <c r="F100" i="7"/>
  <c r="F15" i="10"/>
  <c r="E51" i="17"/>
  <c r="F51" i="17" s="1"/>
  <c r="E51" i="12"/>
  <c r="F51" i="12" s="1"/>
  <c r="E51" i="14"/>
  <c r="F51" i="14" s="1"/>
  <c r="E51" i="11"/>
  <c r="F51" i="11" s="1"/>
  <c r="E52" i="9"/>
  <c r="F52" i="9" s="1"/>
  <c r="E51" i="10"/>
  <c r="F51" i="10" s="1"/>
  <c r="E52" i="8"/>
  <c r="F52" i="8" s="1"/>
  <c r="E51" i="16"/>
  <c r="F52" i="7"/>
  <c r="E27" i="17"/>
  <c r="F27" i="17" s="1"/>
  <c r="E27" i="12"/>
  <c r="F27" i="12" s="1"/>
  <c r="E27" i="16"/>
  <c r="E27" i="14"/>
  <c r="F27" i="14" s="1"/>
  <c r="E27" i="11"/>
  <c r="F27" i="11" s="1"/>
  <c r="E28" i="9"/>
  <c r="F28" i="9" s="1"/>
  <c r="E28" i="8"/>
  <c r="F28" i="8" s="1"/>
  <c r="E27" i="10"/>
  <c r="F27" i="10" s="1"/>
  <c r="F28" i="7"/>
  <c r="E119" i="17"/>
  <c r="F119" i="17" s="1"/>
  <c r="E119" i="12"/>
  <c r="F119" i="12" s="1"/>
  <c r="E119" i="14"/>
  <c r="F119" i="14" s="1"/>
  <c r="E120" i="9"/>
  <c r="F120" i="9" s="1"/>
  <c r="E119" i="11"/>
  <c r="F119" i="11" s="1"/>
  <c r="E119" i="16"/>
  <c r="E119" i="10"/>
  <c r="F119" i="10" s="1"/>
  <c r="E120" i="8"/>
  <c r="F120" i="8" s="1"/>
  <c r="F120" i="7"/>
  <c r="E30" i="16"/>
  <c r="E30" i="17"/>
  <c r="F30" i="17" s="1"/>
  <c r="E30" i="12"/>
  <c r="F30" i="12" s="1"/>
  <c r="E30" i="11"/>
  <c r="F30" i="11" s="1"/>
  <c r="E30" i="10"/>
  <c r="F30" i="10" s="1"/>
  <c r="E30" i="14"/>
  <c r="F30" i="14" s="1"/>
  <c r="E31" i="9"/>
  <c r="F31" i="9" s="1"/>
  <c r="E31" i="8"/>
  <c r="F31" i="8" s="1"/>
  <c r="F31" i="7"/>
  <c r="E23" i="17"/>
  <c r="F23" i="17" s="1"/>
  <c r="E23" i="16"/>
  <c r="E23" i="12"/>
  <c r="F23" i="12" s="1"/>
  <c r="E23" i="11"/>
  <c r="F23" i="11" s="1"/>
  <c r="E24" i="9"/>
  <c r="F24" i="9" s="1"/>
  <c r="E23" i="14"/>
  <c r="F23" i="14" s="1"/>
  <c r="E23" i="10"/>
  <c r="F23" i="10" s="1"/>
  <c r="E24" i="8"/>
  <c r="F24" i="8" s="1"/>
  <c r="F24" i="7"/>
  <c r="E106" i="16"/>
  <c r="E106" i="17"/>
  <c r="F106" i="17" s="1"/>
  <c r="E106" i="12"/>
  <c r="F106" i="12" s="1"/>
  <c r="E106" i="14"/>
  <c r="F106" i="14" s="1"/>
  <c r="E106" i="11"/>
  <c r="F106" i="11" s="1"/>
  <c r="E107" i="9"/>
  <c r="F107" i="9" s="1"/>
  <c r="F107" i="7"/>
  <c r="E106" i="10"/>
  <c r="F106" i="10" s="1"/>
  <c r="E107" i="8"/>
  <c r="F107" i="8" s="1"/>
  <c r="E120" i="16"/>
  <c r="E120" i="14"/>
  <c r="F120" i="14" s="1"/>
  <c r="E120" i="12"/>
  <c r="F120" i="12" s="1"/>
  <c r="E120" i="17"/>
  <c r="F120" i="17" s="1"/>
  <c r="E120" i="11"/>
  <c r="F120" i="11" s="1"/>
  <c r="E120" i="10"/>
  <c r="F120" i="10" s="1"/>
  <c r="E121" i="8"/>
  <c r="F121" i="8" s="1"/>
  <c r="F121" i="7"/>
  <c r="E121" i="9"/>
  <c r="F121" i="9" s="1"/>
  <c r="E44" i="16"/>
  <c r="E44" i="17"/>
  <c r="F44" i="17" s="1"/>
  <c r="E44" i="14"/>
  <c r="F44" i="14" s="1"/>
  <c r="E44" i="12"/>
  <c r="F44" i="12" s="1"/>
  <c r="E44" i="11"/>
  <c r="F44" i="11" s="1"/>
  <c r="E44" i="10"/>
  <c r="F44" i="10" s="1"/>
  <c r="E45" i="8"/>
  <c r="F45" i="8" s="1"/>
  <c r="F45" i="7"/>
  <c r="E45" i="9"/>
  <c r="F45" i="9" s="1"/>
  <c r="E70" i="16"/>
  <c r="E70" i="17"/>
  <c r="F70" i="17" s="1"/>
  <c r="E70" i="12"/>
  <c r="F70" i="12" s="1"/>
  <c r="E70" i="14"/>
  <c r="F70" i="14" s="1"/>
  <c r="E70" i="10"/>
  <c r="F70" i="10" s="1"/>
  <c r="E70" i="11"/>
  <c r="F70" i="11" s="1"/>
  <c r="E71" i="8"/>
  <c r="F71" i="8" s="1"/>
  <c r="E71" i="9"/>
  <c r="F71" i="9" s="1"/>
  <c r="F71" i="7"/>
  <c r="F15" i="11"/>
  <c r="E91" i="17"/>
  <c r="F91" i="17" s="1"/>
  <c r="E91" i="12"/>
  <c r="F91" i="12" s="1"/>
  <c r="E92" i="9"/>
  <c r="F92" i="9" s="1"/>
  <c r="E91" i="14"/>
  <c r="F91" i="14" s="1"/>
  <c r="E91" i="11"/>
  <c r="F91" i="11" s="1"/>
  <c r="E91" i="16"/>
  <c r="E92" i="8"/>
  <c r="F92" i="8" s="1"/>
  <c r="E91" i="10"/>
  <c r="F91" i="10" s="1"/>
  <c r="F92" i="7"/>
  <c r="F15" i="12"/>
  <c r="E85" i="16"/>
  <c r="E85" i="12"/>
  <c r="F85" i="12" s="1"/>
  <c r="E85" i="11"/>
  <c r="F85" i="11" s="1"/>
  <c r="E86" i="9"/>
  <c r="F86" i="9" s="1"/>
  <c r="E85" i="17"/>
  <c r="F85" i="17" s="1"/>
  <c r="E86" i="8"/>
  <c r="F86" i="8" s="1"/>
  <c r="F86" i="7"/>
  <c r="E85" i="14"/>
  <c r="F85" i="14" s="1"/>
  <c r="E85" i="10"/>
  <c r="F85" i="10" s="1"/>
  <c r="E53" i="16"/>
  <c r="E53" i="17"/>
  <c r="F53" i="17" s="1"/>
  <c r="E53" i="12"/>
  <c r="F53" i="12" s="1"/>
  <c r="E53" i="11"/>
  <c r="F53" i="11" s="1"/>
  <c r="E53" i="10"/>
  <c r="F53" i="10" s="1"/>
  <c r="E54" i="9"/>
  <c r="F54" i="9" s="1"/>
  <c r="E54" i="8"/>
  <c r="F54" i="8" s="1"/>
  <c r="F54" i="7"/>
  <c r="E53" i="14"/>
  <c r="F53" i="14" s="1"/>
  <c r="E103" i="17"/>
  <c r="F103" i="17" s="1"/>
  <c r="E103" i="16"/>
  <c r="E103" i="12"/>
  <c r="F103" i="12" s="1"/>
  <c r="E104" i="9"/>
  <c r="F104" i="9" s="1"/>
  <c r="E103" i="14"/>
  <c r="F103" i="14" s="1"/>
  <c r="E103" i="11"/>
  <c r="F103" i="11" s="1"/>
  <c r="E103" i="10"/>
  <c r="F103" i="10" s="1"/>
  <c r="E104" i="8"/>
  <c r="F104" i="8" s="1"/>
  <c r="F104" i="7"/>
  <c r="E42" i="16"/>
  <c r="E42" i="17"/>
  <c r="F42" i="17" s="1"/>
  <c r="E42" i="12"/>
  <c r="F42" i="12" s="1"/>
  <c r="E42" i="14"/>
  <c r="F42" i="14" s="1"/>
  <c r="E42" i="11"/>
  <c r="F42" i="11" s="1"/>
  <c r="E43" i="9"/>
  <c r="F43" i="9" s="1"/>
  <c r="E42" i="10"/>
  <c r="F42" i="10" s="1"/>
  <c r="F43" i="7"/>
  <c r="E43" i="8"/>
  <c r="F43" i="8" s="1"/>
  <c r="E45" i="16"/>
  <c r="E45" i="14"/>
  <c r="F45" i="14" s="1"/>
  <c r="E45" i="12"/>
  <c r="F45" i="12" s="1"/>
  <c r="E45" i="17"/>
  <c r="F45" i="17" s="1"/>
  <c r="E46" i="9"/>
  <c r="F46" i="9" s="1"/>
  <c r="E46" i="8"/>
  <c r="F46" i="8" s="1"/>
  <c r="F46" i="7"/>
  <c r="E45" i="11"/>
  <c r="F45" i="11" s="1"/>
  <c r="E45" i="10"/>
  <c r="F45" i="10" s="1"/>
  <c r="E127" i="17"/>
  <c r="F127" i="17" s="1"/>
  <c r="E127" i="14"/>
  <c r="F127" i="14" s="1"/>
  <c r="E127" i="12"/>
  <c r="F127" i="12" s="1"/>
  <c r="E128" i="9"/>
  <c r="F128" i="9" s="1"/>
  <c r="E127" i="16"/>
  <c r="E127" i="10"/>
  <c r="F127" i="10" s="1"/>
  <c r="E127" i="11"/>
  <c r="F127" i="11" s="1"/>
  <c r="E128" i="8"/>
  <c r="F128" i="8" s="1"/>
  <c r="F128" i="7"/>
  <c r="E117" i="16"/>
  <c r="E117" i="17"/>
  <c r="F117" i="17" s="1"/>
  <c r="E117" i="12"/>
  <c r="F117" i="12" s="1"/>
  <c r="E117" i="14"/>
  <c r="F117" i="14" s="1"/>
  <c r="E117" i="10"/>
  <c r="F117" i="10" s="1"/>
  <c r="E118" i="9"/>
  <c r="F118" i="9" s="1"/>
  <c r="E118" i="8"/>
  <c r="F118" i="8" s="1"/>
  <c r="E117" i="11"/>
  <c r="F117" i="11" s="1"/>
  <c r="F118" i="7"/>
  <c r="E29" i="16"/>
  <c r="E29" i="17"/>
  <c r="F29" i="17" s="1"/>
  <c r="E29" i="14"/>
  <c r="F29" i="14" s="1"/>
  <c r="E29" i="12"/>
  <c r="F29" i="12" s="1"/>
  <c r="E29" i="10"/>
  <c r="F29" i="10" s="1"/>
  <c r="E29" i="11"/>
  <c r="F29" i="11" s="1"/>
  <c r="E30" i="8"/>
  <c r="F30" i="8" s="1"/>
  <c r="F30" i="7"/>
  <c r="E30" i="9"/>
  <c r="F30" i="9" s="1"/>
  <c r="E47" i="17"/>
  <c r="F47" i="17" s="1"/>
  <c r="E47" i="12"/>
  <c r="F47" i="12" s="1"/>
  <c r="E47" i="11"/>
  <c r="F47" i="11" s="1"/>
  <c r="E48" i="9"/>
  <c r="F48" i="9" s="1"/>
  <c r="E47" i="14"/>
  <c r="F47" i="14" s="1"/>
  <c r="E47" i="10"/>
  <c r="F47" i="10" s="1"/>
  <c r="E48" i="8"/>
  <c r="F48" i="8" s="1"/>
  <c r="F48" i="7"/>
  <c r="E47" i="16"/>
  <c r="E82" i="16"/>
  <c r="E82" i="17"/>
  <c r="F82" i="17" s="1"/>
  <c r="E82" i="12"/>
  <c r="F82" i="12" s="1"/>
  <c r="E82" i="11"/>
  <c r="F82" i="11" s="1"/>
  <c r="E83" i="9"/>
  <c r="F83" i="9" s="1"/>
  <c r="F83" i="7"/>
  <c r="E83" i="8"/>
  <c r="F83" i="8" s="1"/>
  <c r="E82" i="10"/>
  <c r="F82" i="10" s="1"/>
  <c r="E82" i="14"/>
  <c r="F82" i="14" s="1"/>
  <c r="N15" i="16"/>
  <c r="F15" i="16"/>
  <c r="E32" i="16"/>
  <c r="E32" i="17"/>
  <c r="F32" i="17" s="1"/>
  <c r="E32" i="14"/>
  <c r="F32" i="14" s="1"/>
  <c r="E33" i="9"/>
  <c r="F33" i="9" s="1"/>
  <c r="E32" i="10"/>
  <c r="F32" i="10" s="1"/>
  <c r="E33" i="8"/>
  <c r="F33" i="8" s="1"/>
  <c r="F33" i="7"/>
  <c r="E32" i="12"/>
  <c r="F32" i="12" s="1"/>
  <c r="E32" i="11"/>
  <c r="F32" i="11" s="1"/>
  <c r="E49" i="16"/>
  <c r="E49" i="12"/>
  <c r="F49" i="12" s="1"/>
  <c r="E49" i="10"/>
  <c r="F49" i="10" s="1"/>
  <c r="E49" i="14"/>
  <c r="F49" i="14" s="1"/>
  <c r="E50" i="9"/>
  <c r="F50" i="9" s="1"/>
  <c r="E49" i="11"/>
  <c r="F49" i="11" s="1"/>
  <c r="E50" i="8"/>
  <c r="F50" i="8" s="1"/>
  <c r="F50" i="7"/>
  <c r="E49" i="17"/>
  <c r="F49" i="17" s="1"/>
  <c r="E60" i="16"/>
  <c r="E60" i="14"/>
  <c r="F60" i="14" s="1"/>
  <c r="E60" i="17"/>
  <c r="F60" i="17" s="1"/>
  <c r="E60" i="11"/>
  <c r="F60" i="11" s="1"/>
  <c r="E60" i="10"/>
  <c r="F60" i="10" s="1"/>
  <c r="E61" i="8"/>
  <c r="F61" i="8" s="1"/>
  <c r="F61" i="7"/>
  <c r="E60" i="12"/>
  <c r="F60" i="12" s="1"/>
  <c r="E61" i="9"/>
  <c r="F61" i="9" s="1"/>
  <c r="E73" i="16"/>
  <c r="E73" i="14"/>
  <c r="F73" i="14" s="1"/>
  <c r="E73" i="17"/>
  <c r="F73" i="17" s="1"/>
  <c r="E73" i="12"/>
  <c r="F73" i="12" s="1"/>
  <c r="E73" i="11"/>
  <c r="F73" i="11" s="1"/>
  <c r="E73" i="10"/>
  <c r="F73" i="10" s="1"/>
  <c r="E74" i="9"/>
  <c r="F74" i="9" s="1"/>
  <c r="E74" i="8"/>
  <c r="F74" i="8" s="1"/>
  <c r="F74" i="7"/>
  <c r="E33" i="16"/>
  <c r="E33" i="17"/>
  <c r="F33" i="17" s="1"/>
  <c r="E33" i="14"/>
  <c r="F33" i="14" s="1"/>
  <c r="E33" i="12"/>
  <c r="F33" i="12" s="1"/>
  <c r="E33" i="10"/>
  <c r="F33" i="10" s="1"/>
  <c r="E34" i="8"/>
  <c r="F34" i="8" s="1"/>
  <c r="E33" i="11"/>
  <c r="F33" i="11" s="1"/>
  <c r="F34" i="7"/>
  <c r="E34" i="9"/>
  <c r="F34" i="9" s="1"/>
  <c r="E84" i="16"/>
  <c r="E84" i="14"/>
  <c r="F84" i="14" s="1"/>
  <c r="E84" i="12"/>
  <c r="F84" i="12" s="1"/>
  <c r="E84" i="10"/>
  <c r="F84" i="10" s="1"/>
  <c r="E85" i="8"/>
  <c r="F85" i="8" s="1"/>
  <c r="E84" i="17"/>
  <c r="F84" i="17" s="1"/>
  <c r="F85" i="7"/>
  <c r="E84" i="11"/>
  <c r="F84" i="11" s="1"/>
  <c r="E85" i="9"/>
  <c r="F85" i="9" s="1"/>
  <c r="E37" i="16"/>
  <c r="E37" i="17"/>
  <c r="F37" i="17" s="1"/>
  <c r="E37" i="12"/>
  <c r="F37" i="12" s="1"/>
  <c r="E37" i="14"/>
  <c r="F37" i="14" s="1"/>
  <c r="E37" i="11"/>
  <c r="F37" i="11" s="1"/>
  <c r="E38" i="9"/>
  <c r="F38" i="9" s="1"/>
  <c r="E38" i="8"/>
  <c r="F38" i="8" s="1"/>
  <c r="F38" i="7"/>
  <c r="E37" i="10"/>
  <c r="F37" i="10" s="1"/>
  <c r="E88" i="16"/>
  <c r="E88" i="14"/>
  <c r="F88" i="14" s="1"/>
  <c r="E88" i="17"/>
  <c r="F88" i="17" s="1"/>
  <c r="E88" i="10"/>
  <c r="F88" i="10" s="1"/>
  <c r="E89" i="8"/>
  <c r="F89" i="8" s="1"/>
  <c r="E88" i="12"/>
  <c r="F88" i="12" s="1"/>
  <c r="E89" i="9"/>
  <c r="F89" i="9" s="1"/>
  <c r="F89" i="7"/>
  <c r="E88" i="11"/>
  <c r="F88" i="11" s="1"/>
  <c r="E22" i="16"/>
  <c r="E22" i="17"/>
  <c r="F22" i="17" s="1"/>
  <c r="E22" i="11"/>
  <c r="F22" i="11" s="1"/>
  <c r="E22" i="14"/>
  <c r="F22" i="14" s="1"/>
  <c r="E22" i="12"/>
  <c r="F22" i="12" s="1"/>
  <c r="E22" i="10"/>
  <c r="F22" i="10" s="1"/>
  <c r="E23" i="9"/>
  <c r="F23" i="9" s="1"/>
  <c r="F23" i="7"/>
  <c r="E23" i="8"/>
  <c r="F23" i="8" s="1"/>
  <c r="E21" i="16"/>
  <c r="E21" i="12"/>
  <c r="F21" i="12" s="1"/>
  <c r="E21" i="14"/>
  <c r="F21" i="14" s="1"/>
  <c r="E21" i="17"/>
  <c r="F21" i="17" s="1"/>
  <c r="E21" i="11"/>
  <c r="F21" i="11" s="1"/>
  <c r="E22" i="8"/>
  <c r="F22" i="8" s="1"/>
  <c r="F22" i="7"/>
  <c r="E21" i="10"/>
  <c r="F21" i="10" s="1"/>
  <c r="E22" i="9"/>
  <c r="F22" i="9" s="1"/>
  <c r="E89" i="16"/>
  <c r="E89" i="17"/>
  <c r="F89" i="17" s="1"/>
  <c r="E89" i="12"/>
  <c r="F89" i="12" s="1"/>
  <c r="E89" i="10"/>
  <c r="F89" i="10" s="1"/>
  <c r="E90" i="9"/>
  <c r="F90" i="9" s="1"/>
  <c r="E89" i="14"/>
  <c r="F89" i="14" s="1"/>
  <c r="E90" i="8"/>
  <c r="F90" i="8" s="1"/>
  <c r="F90" i="7"/>
  <c r="E89" i="11"/>
  <c r="F89" i="11" s="1"/>
  <c r="E62" i="16"/>
  <c r="E62" i="17"/>
  <c r="F62" i="17" s="1"/>
  <c r="E62" i="12"/>
  <c r="F62" i="12" s="1"/>
  <c r="E62" i="11"/>
  <c r="F62" i="11" s="1"/>
  <c r="E62" i="10"/>
  <c r="F62" i="10" s="1"/>
  <c r="E62" i="14"/>
  <c r="F62" i="14" s="1"/>
  <c r="E63" i="9"/>
  <c r="F63" i="9" s="1"/>
  <c r="F63" i="7"/>
  <c r="E63" i="8"/>
  <c r="F63" i="8" s="1"/>
  <c r="E71" i="17"/>
  <c r="F71" i="17" s="1"/>
  <c r="E71" i="12"/>
  <c r="F71" i="12" s="1"/>
  <c r="E71" i="14"/>
  <c r="F71" i="14" s="1"/>
  <c r="E71" i="11"/>
  <c r="F71" i="11" s="1"/>
  <c r="E72" i="9"/>
  <c r="F72" i="9" s="1"/>
  <c r="E71" i="16"/>
  <c r="E72" i="8"/>
  <c r="F72" i="8" s="1"/>
  <c r="E71" i="10"/>
  <c r="F71" i="10" s="1"/>
  <c r="F72" i="7"/>
  <c r="E126" i="16"/>
  <c r="E126" i="17"/>
  <c r="F126" i="17" s="1"/>
  <c r="E126" i="12"/>
  <c r="F126" i="12" s="1"/>
  <c r="E126" i="14"/>
  <c r="F126" i="14" s="1"/>
  <c r="E126" i="11"/>
  <c r="F126" i="11" s="1"/>
  <c r="E127" i="8"/>
  <c r="F127" i="8" s="1"/>
  <c r="F127" i="7"/>
  <c r="E127" i="9"/>
  <c r="F127" i="9" s="1"/>
  <c r="E126" i="10"/>
  <c r="F126" i="10" s="1"/>
  <c r="F15" i="17"/>
  <c r="E95" i="17"/>
  <c r="F95" i="17" s="1"/>
  <c r="E95" i="14"/>
  <c r="F95" i="14" s="1"/>
  <c r="E96" i="9"/>
  <c r="F96" i="9" s="1"/>
  <c r="E95" i="11"/>
  <c r="F95" i="11" s="1"/>
  <c r="E95" i="12"/>
  <c r="F95" i="12" s="1"/>
  <c r="E95" i="10"/>
  <c r="F95" i="10" s="1"/>
  <c r="E96" i="8"/>
  <c r="F96" i="8" s="1"/>
  <c r="F96" i="7"/>
  <c r="E95" i="16"/>
  <c r="E101" i="16"/>
  <c r="E101" i="17"/>
  <c r="F101" i="17" s="1"/>
  <c r="E101" i="12"/>
  <c r="F101" i="12" s="1"/>
  <c r="E101" i="10"/>
  <c r="F101" i="10" s="1"/>
  <c r="E101" i="11"/>
  <c r="F101" i="11" s="1"/>
  <c r="E102" i="9"/>
  <c r="F102" i="9" s="1"/>
  <c r="E101" i="14"/>
  <c r="F101" i="14" s="1"/>
  <c r="E102" i="8"/>
  <c r="F102" i="8" s="1"/>
  <c r="F102" i="7"/>
  <c r="E100" i="16"/>
  <c r="E100" i="14"/>
  <c r="F100" i="14" s="1"/>
  <c r="E100" i="17"/>
  <c r="F100" i="17" s="1"/>
  <c r="E100" i="12"/>
  <c r="F100" i="12" s="1"/>
  <c r="E101" i="9"/>
  <c r="F101" i="9" s="1"/>
  <c r="E100" i="11"/>
  <c r="F100" i="11" s="1"/>
  <c r="E100" i="10"/>
  <c r="F100" i="10" s="1"/>
  <c r="E101" i="8"/>
  <c r="F101" i="8" s="1"/>
  <c r="F101" i="7"/>
  <c r="E41" i="16"/>
  <c r="E41" i="17"/>
  <c r="F41" i="17" s="1"/>
  <c r="E41" i="12"/>
  <c r="F41" i="12" s="1"/>
  <c r="E42" i="9"/>
  <c r="F42" i="9" s="1"/>
  <c r="E42" i="8"/>
  <c r="F42" i="8" s="1"/>
  <c r="E41" i="10"/>
  <c r="F41" i="10" s="1"/>
  <c r="F42" i="7"/>
  <c r="E41" i="14"/>
  <c r="F41" i="14" s="1"/>
  <c r="E41" i="11"/>
  <c r="F41" i="11" s="1"/>
  <c r="E98" i="16"/>
  <c r="E98" i="17"/>
  <c r="F98" i="17" s="1"/>
  <c r="E98" i="12"/>
  <c r="F98" i="12" s="1"/>
  <c r="E98" i="10"/>
  <c r="F98" i="10" s="1"/>
  <c r="F99" i="7"/>
  <c r="E99" i="9"/>
  <c r="F99" i="9" s="1"/>
  <c r="E98" i="11"/>
  <c r="F98" i="11" s="1"/>
  <c r="E98" i="14"/>
  <c r="F98" i="14" s="1"/>
  <c r="E99" i="8"/>
  <c r="F99" i="8" s="1"/>
  <c r="E69" i="16"/>
  <c r="E69" i="12"/>
  <c r="F69" i="12" s="1"/>
  <c r="E69" i="17"/>
  <c r="F69" i="17" s="1"/>
  <c r="E69" i="14"/>
  <c r="F69" i="14" s="1"/>
  <c r="E70" i="9"/>
  <c r="F70" i="9" s="1"/>
  <c r="E70" i="8"/>
  <c r="F70" i="8" s="1"/>
  <c r="F70" i="7"/>
  <c r="E69" i="10"/>
  <c r="F69" i="10" s="1"/>
  <c r="E69" i="11"/>
  <c r="F69" i="11" s="1"/>
  <c r="E65" i="16"/>
  <c r="E65" i="17"/>
  <c r="F65" i="17" s="1"/>
  <c r="E65" i="14"/>
  <c r="F65" i="14" s="1"/>
  <c r="E65" i="12"/>
  <c r="F65" i="12" s="1"/>
  <c r="E65" i="11"/>
  <c r="F65" i="11" s="1"/>
  <c r="E66" i="9"/>
  <c r="F66" i="9" s="1"/>
  <c r="E66" i="8"/>
  <c r="F66" i="8" s="1"/>
  <c r="F66" i="7"/>
  <c r="E65" i="10"/>
  <c r="F65" i="10" s="1"/>
  <c r="E77" i="16"/>
  <c r="E77" i="17"/>
  <c r="F77" i="17" s="1"/>
  <c r="E77" i="12"/>
  <c r="F77" i="12" s="1"/>
  <c r="E77" i="11"/>
  <c r="F77" i="11" s="1"/>
  <c r="E77" i="14"/>
  <c r="F77" i="14" s="1"/>
  <c r="E78" i="9"/>
  <c r="F78" i="9" s="1"/>
  <c r="E78" i="8"/>
  <c r="F78" i="8" s="1"/>
  <c r="F78" i="7"/>
  <c r="E77" i="10"/>
  <c r="F77" i="10" s="1"/>
  <c r="E104" i="16"/>
  <c r="E104" i="17"/>
  <c r="F104" i="17" s="1"/>
  <c r="E104" i="14"/>
  <c r="F104" i="14" s="1"/>
  <c r="E104" i="12"/>
  <c r="F104" i="12" s="1"/>
  <c r="E104" i="11"/>
  <c r="F104" i="11" s="1"/>
  <c r="E104" i="10"/>
  <c r="F104" i="10" s="1"/>
  <c r="E105" i="9"/>
  <c r="F105" i="9" s="1"/>
  <c r="E105" i="8"/>
  <c r="F105" i="8" s="1"/>
  <c r="F105" i="7"/>
  <c r="E66" i="16"/>
  <c r="E66" i="17"/>
  <c r="F66" i="17" s="1"/>
  <c r="E66" i="12"/>
  <c r="F66" i="12" s="1"/>
  <c r="E66" i="14"/>
  <c r="F66" i="14" s="1"/>
  <c r="E66" i="11"/>
  <c r="F66" i="11" s="1"/>
  <c r="E67" i="9"/>
  <c r="F67" i="9" s="1"/>
  <c r="E66" i="10"/>
  <c r="F66" i="10" s="1"/>
  <c r="E67" i="8"/>
  <c r="F67" i="8" s="1"/>
  <c r="F67" i="7"/>
  <c r="E113" i="16"/>
  <c r="E113" i="17"/>
  <c r="F113" i="17" s="1"/>
  <c r="E113" i="12"/>
  <c r="F113" i="12" s="1"/>
  <c r="E113" i="14"/>
  <c r="F113" i="14" s="1"/>
  <c r="E113" i="10"/>
  <c r="F113" i="10" s="1"/>
  <c r="E114" i="9"/>
  <c r="F114" i="9" s="1"/>
  <c r="E114" i="8"/>
  <c r="F114" i="8" s="1"/>
  <c r="F114" i="7"/>
  <c r="E113" i="11"/>
  <c r="F113" i="11" s="1"/>
  <c r="E105" i="16"/>
  <c r="E105" i="14"/>
  <c r="F105" i="14" s="1"/>
  <c r="E105" i="10"/>
  <c r="F105" i="10" s="1"/>
  <c r="E105" i="17"/>
  <c r="F105" i="17" s="1"/>
  <c r="E106" i="9"/>
  <c r="F106" i="9" s="1"/>
  <c r="E105" i="12"/>
  <c r="F105" i="12" s="1"/>
  <c r="E105" i="11"/>
  <c r="F105" i="11" s="1"/>
  <c r="E106" i="8"/>
  <c r="F106" i="8" s="1"/>
  <c r="F106" i="7"/>
  <c r="E83" i="17"/>
  <c r="F83" i="17" s="1"/>
  <c r="E83" i="12"/>
  <c r="F83" i="12" s="1"/>
  <c r="E83" i="16"/>
  <c r="E83" i="11"/>
  <c r="F83" i="11" s="1"/>
  <c r="E84" i="9"/>
  <c r="F84" i="9" s="1"/>
  <c r="E83" i="10"/>
  <c r="F83" i="10" s="1"/>
  <c r="E84" i="8"/>
  <c r="F84" i="8" s="1"/>
  <c r="E83" i="14"/>
  <c r="F83" i="14" s="1"/>
  <c r="F84" i="7"/>
  <c r="E102" i="16"/>
  <c r="E102" i="17"/>
  <c r="F102" i="17" s="1"/>
  <c r="E102" i="12"/>
  <c r="F102" i="12" s="1"/>
  <c r="E102" i="11"/>
  <c r="F102" i="11" s="1"/>
  <c r="E102" i="14"/>
  <c r="F102" i="14" s="1"/>
  <c r="E102" i="10"/>
  <c r="F102" i="10" s="1"/>
  <c r="F103" i="7"/>
  <c r="E103" i="8"/>
  <c r="F103" i="8" s="1"/>
  <c r="E103" i="9"/>
  <c r="F103" i="9" s="1"/>
  <c r="E112" i="16"/>
  <c r="E112" i="14"/>
  <c r="F112" i="14" s="1"/>
  <c r="E112" i="17"/>
  <c r="F112" i="17" s="1"/>
  <c r="E112" i="12"/>
  <c r="F112" i="12" s="1"/>
  <c r="E112" i="11"/>
  <c r="F112" i="11" s="1"/>
  <c r="E113" i="8"/>
  <c r="F113" i="8" s="1"/>
  <c r="F113" i="7"/>
  <c r="E113" i="9"/>
  <c r="F113" i="9" s="1"/>
  <c r="E112" i="10"/>
  <c r="F112" i="10" s="1"/>
  <c r="E34" i="16"/>
  <c r="E34" i="17"/>
  <c r="F34" i="17" s="1"/>
  <c r="E34" i="14"/>
  <c r="F34" i="14" s="1"/>
  <c r="E34" i="10"/>
  <c r="F34" i="10" s="1"/>
  <c r="E34" i="11"/>
  <c r="F34" i="11" s="1"/>
  <c r="E34" i="12"/>
  <c r="F34" i="12" s="1"/>
  <c r="E35" i="9"/>
  <c r="F35" i="9" s="1"/>
  <c r="E35" i="8"/>
  <c r="F35" i="8" s="1"/>
  <c r="F35" i="7"/>
  <c r="E72" i="16"/>
  <c r="E72" i="14"/>
  <c r="F72" i="14" s="1"/>
  <c r="E72" i="17"/>
  <c r="F72" i="17" s="1"/>
  <c r="E72" i="11"/>
  <c r="F72" i="11" s="1"/>
  <c r="E72" i="10"/>
  <c r="F72" i="10" s="1"/>
  <c r="E72" i="12"/>
  <c r="F72" i="12" s="1"/>
  <c r="E73" i="8"/>
  <c r="F73" i="8" s="1"/>
  <c r="F73" i="7"/>
  <c r="E73" i="9"/>
  <c r="F73" i="9" s="1"/>
  <c r="E96" i="16"/>
  <c r="E96" i="14"/>
  <c r="F96" i="14" s="1"/>
  <c r="E96" i="17"/>
  <c r="F96" i="17" s="1"/>
  <c r="E96" i="11"/>
  <c r="F96" i="11" s="1"/>
  <c r="E96" i="10"/>
  <c r="F96" i="10" s="1"/>
  <c r="E97" i="8"/>
  <c r="F97" i="8" s="1"/>
  <c r="F97" i="7"/>
  <c r="E97" i="9"/>
  <c r="F97" i="9" s="1"/>
  <c r="E96" i="12"/>
  <c r="F96" i="12" s="1"/>
  <c r="E92" i="16"/>
  <c r="E92" i="17"/>
  <c r="F92" i="17" s="1"/>
  <c r="E92" i="14"/>
  <c r="F92" i="14" s="1"/>
  <c r="E92" i="12"/>
  <c r="F92" i="12" s="1"/>
  <c r="E92" i="11"/>
  <c r="F92" i="11" s="1"/>
  <c r="E92" i="10"/>
  <c r="F92" i="10" s="1"/>
  <c r="E93" i="8"/>
  <c r="F93" i="8" s="1"/>
  <c r="F93" i="7"/>
  <c r="E93" i="9"/>
  <c r="F93" i="9" s="1"/>
  <c r="E114" i="16"/>
  <c r="E114" i="17"/>
  <c r="F114" i="17" s="1"/>
  <c r="E114" i="12"/>
  <c r="F114" i="12" s="1"/>
  <c r="E114" i="11"/>
  <c r="F114" i="11" s="1"/>
  <c r="E115" i="9"/>
  <c r="F115" i="9" s="1"/>
  <c r="E114" i="14"/>
  <c r="F114" i="14" s="1"/>
  <c r="F115" i="7"/>
  <c r="E114" i="10"/>
  <c r="F114" i="10" s="1"/>
  <c r="E115" i="8"/>
  <c r="F115" i="8" s="1"/>
  <c r="E57" i="16"/>
  <c r="E57" i="17"/>
  <c r="F57" i="17" s="1"/>
  <c r="E57" i="14"/>
  <c r="F57" i="14" s="1"/>
  <c r="E57" i="12"/>
  <c r="F57" i="12" s="1"/>
  <c r="E57" i="11"/>
  <c r="F57" i="11" s="1"/>
  <c r="E58" i="9"/>
  <c r="F58" i="9" s="1"/>
  <c r="E57" i="10"/>
  <c r="F57" i="10" s="1"/>
  <c r="E58" i="8"/>
  <c r="F58" i="8" s="1"/>
  <c r="F58" i="7"/>
  <c r="E80" i="16"/>
  <c r="E80" i="17"/>
  <c r="F80" i="17" s="1"/>
  <c r="E80" i="14"/>
  <c r="F80" i="14" s="1"/>
  <c r="E80" i="11"/>
  <c r="F80" i="11" s="1"/>
  <c r="E80" i="12"/>
  <c r="F80" i="12" s="1"/>
  <c r="E81" i="8"/>
  <c r="F81" i="8" s="1"/>
  <c r="F81" i="7"/>
  <c r="E81" i="9"/>
  <c r="F81" i="9" s="1"/>
  <c r="E80" i="10"/>
  <c r="F80" i="10" s="1"/>
  <c r="E97" i="16"/>
  <c r="E97" i="10"/>
  <c r="F97" i="10" s="1"/>
  <c r="E98" i="9"/>
  <c r="F98" i="9" s="1"/>
  <c r="E97" i="12"/>
  <c r="F97" i="12" s="1"/>
  <c r="E97" i="14"/>
  <c r="F97" i="14" s="1"/>
  <c r="E97" i="17"/>
  <c r="F97" i="17" s="1"/>
  <c r="E98" i="8"/>
  <c r="F98" i="8" s="1"/>
  <c r="E97" i="11"/>
  <c r="F97" i="11" s="1"/>
  <c r="F98" i="7"/>
  <c r="E74" i="16"/>
  <c r="E74" i="17"/>
  <c r="F74" i="17" s="1"/>
  <c r="E74" i="12"/>
  <c r="F74" i="12" s="1"/>
  <c r="E74" i="14"/>
  <c r="F74" i="14" s="1"/>
  <c r="E74" i="11"/>
  <c r="F74" i="11" s="1"/>
  <c r="E74" i="10"/>
  <c r="F74" i="10" s="1"/>
  <c r="E75" i="9"/>
  <c r="F75" i="9" s="1"/>
  <c r="F75" i="7"/>
  <c r="E75" i="8"/>
  <c r="F75" i="8" s="1"/>
  <c r="E116" i="16"/>
  <c r="E116" i="17"/>
  <c r="F116" i="17" s="1"/>
  <c r="E116" i="14"/>
  <c r="F116" i="14" s="1"/>
  <c r="E116" i="12"/>
  <c r="F116" i="12" s="1"/>
  <c r="E116" i="10"/>
  <c r="F116" i="10" s="1"/>
  <c r="E116" i="11"/>
  <c r="F116" i="11" s="1"/>
  <c r="E117" i="9"/>
  <c r="F117" i="9" s="1"/>
  <c r="E117" i="8"/>
  <c r="F117" i="8" s="1"/>
  <c r="F117" i="7"/>
  <c r="E93" i="16"/>
  <c r="E93" i="14"/>
  <c r="F93" i="14" s="1"/>
  <c r="E93" i="12"/>
  <c r="F93" i="12" s="1"/>
  <c r="E93" i="10"/>
  <c r="F93" i="10" s="1"/>
  <c r="E93" i="17"/>
  <c r="F93" i="17" s="1"/>
  <c r="E94" i="9"/>
  <c r="F94" i="9" s="1"/>
  <c r="E93" i="11"/>
  <c r="F93" i="11" s="1"/>
  <c r="E94" i="8"/>
  <c r="F94" i="8" s="1"/>
  <c r="F94" i="7"/>
  <c r="E121" i="16"/>
  <c r="E121" i="14"/>
  <c r="F121" i="14" s="1"/>
  <c r="E121" i="10"/>
  <c r="F121" i="10" s="1"/>
  <c r="E121" i="12"/>
  <c r="F121" i="12" s="1"/>
  <c r="E122" i="9"/>
  <c r="F122" i="9" s="1"/>
  <c r="E121" i="11"/>
  <c r="F121" i="11" s="1"/>
  <c r="F122" i="7"/>
  <c r="E121" i="17"/>
  <c r="F121" i="17" s="1"/>
  <c r="E122" i="8"/>
  <c r="F122" i="8" s="1"/>
  <c r="E125" i="16"/>
  <c r="E125" i="17"/>
  <c r="F125" i="17" s="1"/>
  <c r="E125" i="10"/>
  <c r="F125" i="10" s="1"/>
  <c r="E125" i="11"/>
  <c r="F125" i="11" s="1"/>
  <c r="E126" i="9"/>
  <c r="F126" i="9" s="1"/>
  <c r="E125" i="14"/>
  <c r="F125" i="14" s="1"/>
  <c r="E125" i="12"/>
  <c r="F125" i="12" s="1"/>
  <c r="E126" i="8"/>
  <c r="F126" i="8" s="1"/>
  <c r="F126" i="7"/>
  <c r="E110" i="16"/>
  <c r="E110" i="17"/>
  <c r="F110" i="17" s="1"/>
  <c r="E110" i="12"/>
  <c r="F110" i="12" s="1"/>
  <c r="E110" i="11"/>
  <c r="F110" i="11" s="1"/>
  <c r="E110" i="10"/>
  <c r="F110" i="10" s="1"/>
  <c r="E110" i="14"/>
  <c r="F110" i="14" s="1"/>
  <c r="F111" i="7"/>
  <c r="E111" i="9"/>
  <c r="F111" i="9" s="1"/>
  <c r="E111" i="8"/>
  <c r="F111" i="8" s="1"/>
  <c r="E109" i="16"/>
  <c r="E109" i="17"/>
  <c r="F109" i="17" s="1"/>
  <c r="E109" i="10"/>
  <c r="F109" i="10" s="1"/>
  <c r="E110" i="9"/>
  <c r="F110" i="9" s="1"/>
  <c r="E109" i="11"/>
  <c r="F109" i="11" s="1"/>
  <c r="E109" i="12"/>
  <c r="F109" i="12" s="1"/>
  <c r="E110" i="8"/>
  <c r="F110" i="8" s="1"/>
  <c r="E109" i="14"/>
  <c r="F109" i="14" s="1"/>
  <c r="F110" i="7"/>
  <c r="E55" i="17"/>
  <c r="F55" i="17" s="1"/>
  <c r="E55" i="12"/>
  <c r="F55" i="12" s="1"/>
  <c r="E55" i="14"/>
  <c r="F55" i="14" s="1"/>
  <c r="E55" i="11"/>
  <c r="F55" i="11" s="1"/>
  <c r="E55" i="10"/>
  <c r="F55" i="10" s="1"/>
  <c r="E56" i="9"/>
  <c r="F56" i="9" s="1"/>
  <c r="E55" i="16"/>
  <c r="E56" i="8"/>
  <c r="F56" i="8" s="1"/>
  <c r="F56" i="7"/>
  <c r="E68" i="16"/>
  <c r="E68" i="17"/>
  <c r="F68" i="17" s="1"/>
  <c r="E68" i="14"/>
  <c r="F68" i="14" s="1"/>
  <c r="E68" i="10"/>
  <c r="F68" i="10" s="1"/>
  <c r="E69" i="8"/>
  <c r="F69" i="8" s="1"/>
  <c r="F69" i="7"/>
  <c r="E69" i="9"/>
  <c r="F69" i="9" s="1"/>
  <c r="E68" i="12"/>
  <c r="F68" i="12" s="1"/>
  <c r="E68" i="11"/>
  <c r="F68" i="11" s="1"/>
  <c r="E56" i="16"/>
  <c r="E56" i="17"/>
  <c r="F56" i="17" s="1"/>
  <c r="E56" i="14"/>
  <c r="F56" i="14" s="1"/>
  <c r="E56" i="12"/>
  <c r="F56" i="12" s="1"/>
  <c r="E56" i="11"/>
  <c r="F56" i="11" s="1"/>
  <c r="E57" i="8"/>
  <c r="F57" i="8" s="1"/>
  <c r="F57" i="7"/>
  <c r="E57" i="9"/>
  <c r="F57" i="9" s="1"/>
  <c r="E56" i="10"/>
  <c r="F56" i="10" s="1"/>
  <c r="P7" i="3"/>
  <c r="E24" i="16"/>
  <c r="E24" i="14"/>
  <c r="F24" i="14" s="1"/>
  <c r="E24" i="11"/>
  <c r="F24" i="11" s="1"/>
  <c r="E24" i="17"/>
  <c r="F24" i="17" s="1"/>
  <c r="E24" i="10"/>
  <c r="F24" i="10" s="1"/>
  <c r="E24" i="12"/>
  <c r="F24" i="12" s="1"/>
  <c r="E25" i="8"/>
  <c r="F25" i="8" s="1"/>
  <c r="F25" i="7"/>
  <c r="E25" i="9"/>
  <c r="F25" i="9" s="1"/>
  <c r="E122" i="16"/>
  <c r="E122" i="17"/>
  <c r="F122" i="17" s="1"/>
  <c r="E122" i="12"/>
  <c r="F122" i="12" s="1"/>
  <c r="E122" i="11"/>
  <c r="F122" i="11" s="1"/>
  <c r="E122" i="10"/>
  <c r="F122" i="10" s="1"/>
  <c r="E123" i="8"/>
  <c r="F123" i="8" s="1"/>
  <c r="F123" i="7"/>
  <c r="E123" i="9"/>
  <c r="F123" i="9" s="1"/>
  <c r="E122" i="14"/>
  <c r="F122" i="14" s="1"/>
  <c r="E31" i="17"/>
  <c r="F31" i="17" s="1"/>
  <c r="E31" i="12"/>
  <c r="F31" i="12" s="1"/>
  <c r="E31" i="11"/>
  <c r="F31" i="11" s="1"/>
  <c r="E31" i="16"/>
  <c r="E31" i="10"/>
  <c r="F31" i="10" s="1"/>
  <c r="E32" i="9"/>
  <c r="F32" i="9" s="1"/>
  <c r="E32" i="8"/>
  <c r="F32" i="8" s="1"/>
  <c r="E31" i="14"/>
  <c r="F31" i="14" s="1"/>
  <c r="F32" i="7"/>
  <c r="E76" i="16"/>
  <c r="E76" i="14"/>
  <c r="F76" i="14" s="1"/>
  <c r="E76" i="17"/>
  <c r="F76" i="17" s="1"/>
  <c r="E76" i="12"/>
  <c r="F76" i="12" s="1"/>
  <c r="E76" i="11"/>
  <c r="F76" i="11" s="1"/>
  <c r="E77" i="9"/>
  <c r="F77" i="9" s="1"/>
  <c r="E77" i="8"/>
  <c r="F77" i="8" s="1"/>
  <c r="F77" i="7"/>
  <c r="E76" i="10"/>
  <c r="F76" i="10" s="1"/>
  <c r="E52" i="16"/>
  <c r="E52" i="14"/>
  <c r="F52" i="14" s="1"/>
  <c r="E52" i="17"/>
  <c r="F52" i="17" s="1"/>
  <c r="E52" i="12"/>
  <c r="F52" i="12" s="1"/>
  <c r="E52" i="10"/>
  <c r="F52" i="10" s="1"/>
  <c r="E53" i="9"/>
  <c r="F53" i="9" s="1"/>
  <c r="E53" i="8"/>
  <c r="F53" i="8" s="1"/>
  <c r="F53" i="7"/>
  <c r="E52" i="11"/>
  <c r="F52" i="11" s="1"/>
  <c r="E63" i="17"/>
  <c r="F63" i="17" s="1"/>
  <c r="E63" i="12"/>
  <c r="F63" i="12" s="1"/>
  <c r="E63" i="16"/>
  <c r="E63" i="14"/>
  <c r="F63" i="14" s="1"/>
  <c r="E63" i="11"/>
  <c r="F63" i="11" s="1"/>
  <c r="E64" i="9"/>
  <c r="F64" i="9" s="1"/>
  <c r="E63" i="10"/>
  <c r="F63" i="10" s="1"/>
  <c r="E64" i="8"/>
  <c r="F64" i="8" s="1"/>
  <c r="F64" i="7"/>
  <c r="E90" i="16"/>
  <c r="E90" i="17"/>
  <c r="F90" i="17" s="1"/>
  <c r="E90" i="12"/>
  <c r="F90" i="12" s="1"/>
  <c r="E90" i="14"/>
  <c r="F90" i="14" s="1"/>
  <c r="E90" i="11"/>
  <c r="F90" i="11" s="1"/>
  <c r="E90" i="10"/>
  <c r="F90" i="10" s="1"/>
  <c r="F91" i="7"/>
  <c r="E91" i="9"/>
  <c r="F91" i="9" s="1"/>
  <c r="E91" i="8"/>
  <c r="F91" i="8" s="1"/>
  <c r="E25" i="16"/>
  <c r="E25" i="14"/>
  <c r="F25" i="14" s="1"/>
  <c r="E25" i="12"/>
  <c r="F25" i="12" s="1"/>
  <c r="E25" i="17"/>
  <c r="F25" i="17" s="1"/>
  <c r="E25" i="10"/>
  <c r="F25" i="10" s="1"/>
  <c r="E26" i="8"/>
  <c r="F26" i="8" s="1"/>
  <c r="F26" i="7"/>
  <c r="E26" i="9"/>
  <c r="F26" i="9" s="1"/>
  <c r="E25" i="11"/>
  <c r="F25" i="11" s="1"/>
  <c r="E124" i="16"/>
  <c r="E124" i="14"/>
  <c r="F124" i="14" s="1"/>
  <c r="E124" i="17"/>
  <c r="F124" i="17" s="1"/>
  <c r="E124" i="12"/>
  <c r="F124" i="12" s="1"/>
  <c r="E124" i="11"/>
  <c r="F124" i="11" s="1"/>
  <c r="E125" i="9"/>
  <c r="F125" i="9" s="1"/>
  <c r="E125" i="8"/>
  <c r="F125" i="8" s="1"/>
  <c r="F125" i="7"/>
  <c r="E124" i="10"/>
  <c r="F124" i="10" s="1"/>
  <c r="F16" i="8"/>
  <c r="E28" i="16"/>
  <c r="E28" i="17"/>
  <c r="F28" i="17" s="1"/>
  <c r="E28" i="14"/>
  <c r="F28" i="14" s="1"/>
  <c r="E28" i="12"/>
  <c r="F28" i="12" s="1"/>
  <c r="E29" i="8"/>
  <c r="F29" i="8" s="1"/>
  <c r="E28" i="11"/>
  <c r="F28" i="11" s="1"/>
  <c r="E28" i="10"/>
  <c r="F28" i="10" s="1"/>
  <c r="F29" i="7"/>
  <c r="E29" i="9"/>
  <c r="F29" i="9" s="1"/>
  <c r="E26" i="16"/>
  <c r="E26" i="17"/>
  <c r="F26" i="17" s="1"/>
  <c r="E26" i="12"/>
  <c r="F26" i="12" s="1"/>
  <c r="E26" i="14"/>
  <c r="F26" i="14" s="1"/>
  <c r="E27" i="9"/>
  <c r="F27" i="9" s="1"/>
  <c r="E26" i="11"/>
  <c r="F26" i="11" s="1"/>
  <c r="F27" i="7"/>
  <c r="E26" i="10"/>
  <c r="F26" i="10" s="1"/>
  <c r="E27" i="8"/>
  <c r="F27" i="8" s="1"/>
  <c r="E118" i="16"/>
  <c r="E118" i="17"/>
  <c r="F118" i="17" s="1"/>
  <c r="E118" i="12"/>
  <c r="F118" i="12" s="1"/>
  <c r="E118" i="14"/>
  <c r="F118" i="14" s="1"/>
  <c r="E119" i="9"/>
  <c r="F119" i="9" s="1"/>
  <c r="E118" i="11"/>
  <c r="F118" i="11" s="1"/>
  <c r="F119" i="7"/>
  <c r="E118" i="10"/>
  <c r="F118" i="10" s="1"/>
  <c r="E119" i="8"/>
  <c r="F119" i="8" s="1"/>
  <c r="E35" i="17"/>
  <c r="F35" i="17" s="1"/>
  <c r="E35" i="16"/>
  <c r="E35" i="12"/>
  <c r="F35" i="12" s="1"/>
  <c r="E35" i="14"/>
  <c r="F35" i="14" s="1"/>
  <c r="E35" i="11"/>
  <c r="F35" i="11" s="1"/>
  <c r="E36" i="9"/>
  <c r="F36" i="9" s="1"/>
  <c r="E36" i="8"/>
  <c r="F36" i="8" s="1"/>
  <c r="E35" i="10"/>
  <c r="F35" i="10" s="1"/>
  <c r="F36" i="7"/>
  <c r="E54" i="16"/>
  <c r="E54" i="17"/>
  <c r="F54" i="17" s="1"/>
  <c r="E54" i="12"/>
  <c r="F54" i="12" s="1"/>
  <c r="E54" i="14"/>
  <c r="F54" i="14" s="1"/>
  <c r="E54" i="10"/>
  <c r="F54" i="10" s="1"/>
  <c r="E55" i="9"/>
  <c r="F55" i="9" s="1"/>
  <c r="E54" i="11"/>
  <c r="F54" i="11" s="1"/>
  <c r="F55" i="7"/>
  <c r="E55" i="8"/>
  <c r="F55" i="8" s="1"/>
  <c r="E75" i="17"/>
  <c r="F75" i="17" s="1"/>
  <c r="E75" i="12"/>
  <c r="F75" i="12" s="1"/>
  <c r="E75" i="16"/>
  <c r="E75" i="10"/>
  <c r="F75" i="10" s="1"/>
  <c r="E76" i="9"/>
  <c r="F76" i="9" s="1"/>
  <c r="E76" i="8"/>
  <c r="F76" i="8" s="1"/>
  <c r="E75" i="14"/>
  <c r="F75" i="14" s="1"/>
  <c r="E75" i="11"/>
  <c r="F75" i="11" s="1"/>
  <c r="F76" i="7"/>
  <c r="E123" i="17"/>
  <c r="F123" i="17" s="1"/>
  <c r="E123" i="12"/>
  <c r="F123" i="12" s="1"/>
  <c r="E123" i="16"/>
  <c r="E124" i="9"/>
  <c r="F124" i="9" s="1"/>
  <c r="E123" i="14"/>
  <c r="F123" i="14" s="1"/>
  <c r="E123" i="10"/>
  <c r="F123" i="10" s="1"/>
  <c r="E124" i="8"/>
  <c r="F124" i="8" s="1"/>
  <c r="F124" i="7"/>
  <c r="E123" i="11"/>
  <c r="F123" i="11" s="1"/>
  <c r="E39" i="17"/>
  <c r="F39" i="17" s="1"/>
  <c r="E39" i="12"/>
  <c r="F39" i="12" s="1"/>
  <c r="E39" i="14"/>
  <c r="F39" i="14" s="1"/>
  <c r="E39" i="16"/>
  <c r="E39" i="11"/>
  <c r="F39" i="11" s="1"/>
  <c r="E40" i="9"/>
  <c r="F40" i="9" s="1"/>
  <c r="E39" i="10"/>
  <c r="F39" i="10" s="1"/>
  <c r="E40" i="8"/>
  <c r="F40" i="8" s="1"/>
  <c r="F40" i="7"/>
  <c r="E58" i="16"/>
  <c r="E58" i="17"/>
  <c r="F58" i="17" s="1"/>
  <c r="E58" i="14"/>
  <c r="F58" i="14" s="1"/>
  <c r="E58" i="12"/>
  <c r="F58" i="12" s="1"/>
  <c r="E58" i="10"/>
  <c r="F58" i="10" s="1"/>
  <c r="E58" i="11"/>
  <c r="F58" i="11" s="1"/>
  <c r="E59" i="8"/>
  <c r="F59" i="8" s="1"/>
  <c r="F59" i="7"/>
  <c r="E59" i="9"/>
  <c r="F59" i="9" s="1"/>
  <c r="E15" i="15"/>
  <c r="G16" i="7"/>
  <c r="R9" i="4"/>
  <c r="E94" i="16"/>
  <c r="E94" i="17"/>
  <c r="F94" i="17" s="1"/>
  <c r="E94" i="12"/>
  <c r="F94" i="12" s="1"/>
  <c r="E94" i="14"/>
  <c r="F94" i="14" s="1"/>
  <c r="E95" i="9"/>
  <c r="F95" i="9" s="1"/>
  <c r="E94" i="10"/>
  <c r="F94" i="10" s="1"/>
  <c r="F95" i="7"/>
  <c r="E94" i="11"/>
  <c r="F94" i="11" s="1"/>
  <c r="E95" i="8"/>
  <c r="F95" i="8" s="1"/>
  <c r="E48" i="16"/>
  <c r="E48" i="14"/>
  <c r="F48" i="14" s="1"/>
  <c r="E48" i="17"/>
  <c r="F48" i="17" s="1"/>
  <c r="E48" i="12"/>
  <c r="F48" i="12" s="1"/>
  <c r="E48" i="10"/>
  <c r="F48" i="10" s="1"/>
  <c r="E49" i="8"/>
  <c r="F49" i="8" s="1"/>
  <c r="F49" i="7"/>
  <c r="E49" i="9"/>
  <c r="F49" i="9" s="1"/>
  <c r="E48" i="11"/>
  <c r="F48" i="11" s="1"/>
  <c r="E87" i="17"/>
  <c r="F87" i="17" s="1"/>
  <c r="E87" i="14"/>
  <c r="F87" i="14" s="1"/>
  <c r="E87" i="12"/>
  <c r="F87" i="12" s="1"/>
  <c r="E87" i="11"/>
  <c r="F87" i="11" s="1"/>
  <c r="E88" i="9"/>
  <c r="F88" i="9" s="1"/>
  <c r="E87" i="16"/>
  <c r="E88" i="8"/>
  <c r="F88" i="8" s="1"/>
  <c r="E87" i="10"/>
  <c r="F87" i="10" s="1"/>
  <c r="F88" i="7"/>
  <c r="E111" i="17"/>
  <c r="F111" i="17" s="1"/>
  <c r="E111" i="14"/>
  <c r="F111" i="14" s="1"/>
  <c r="E112" i="9"/>
  <c r="F112" i="9" s="1"/>
  <c r="E111" i="11"/>
  <c r="F111" i="11" s="1"/>
  <c r="E111" i="16"/>
  <c r="E111" i="10"/>
  <c r="F111" i="10" s="1"/>
  <c r="E112" i="8"/>
  <c r="F112" i="8" s="1"/>
  <c r="F112" i="7"/>
  <c r="E111" i="12"/>
  <c r="F111" i="12" s="1"/>
  <c r="E43" i="17"/>
  <c r="F43" i="17" s="1"/>
  <c r="E43" i="12"/>
  <c r="F43" i="12" s="1"/>
  <c r="E43" i="16"/>
  <c r="E43" i="14"/>
  <c r="F43" i="14" s="1"/>
  <c r="E43" i="11"/>
  <c r="F43" i="11" s="1"/>
  <c r="E44" i="9"/>
  <c r="F44" i="9" s="1"/>
  <c r="E43" i="10"/>
  <c r="F43" i="10" s="1"/>
  <c r="E44" i="8"/>
  <c r="F44" i="8" s="1"/>
  <c r="F44" i="7"/>
  <c r="E67" i="17"/>
  <c r="F67" i="17" s="1"/>
  <c r="E67" i="16"/>
  <c r="E67" i="12"/>
  <c r="F67" i="12" s="1"/>
  <c r="E67" i="11"/>
  <c r="F67" i="11" s="1"/>
  <c r="E68" i="9"/>
  <c r="F68" i="9" s="1"/>
  <c r="E67" i="14"/>
  <c r="F67" i="14" s="1"/>
  <c r="E67" i="10"/>
  <c r="F67" i="10" s="1"/>
  <c r="E68" i="8"/>
  <c r="F68" i="8" s="1"/>
  <c r="F68" i="7"/>
  <c r="E20" i="16"/>
  <c r="E20" i="17"/>
  <c r="F20" i="17" s="1"/>
  <c r="E20" i="14"/>
  <c r="F20" i="14" s="1"/>
  <c r="E20" i="12"/>
  <c r="F20" i="12" s="1"/>
  <c r="E20" i="10"/>
  <c r="F20" i="10" s="1"/>
  <c r="E20" i="11"/>
  <c r="F20" i="11" s="1"/>
  <c r="E21" i="8"/>
  <c r="F21" i="8" s="1"/>
  <c r="E21" i="9"/>
  <c r="F21" i="9" s="1"/>
  <c r="F21" i="7"/>
  <c r="E115" i="17"/>
  <c r="F115" i="17" s="1"/>
  <c r="E115" i="16"/>
  <c r="E116" i="9"/>
  <c r="F116" i="9" s="1"/>
  <c r="E115" i="14"/>
  <c r="F115" i="14" s="1"/>
  <c r="E115" i="12"/>
  <c r="F115" i="12" s="1"/>
  <c r="E115" i="11"/>
  <c r="F115" i="11" s="1"/>
  <c r="E115" i="10"/>
  <c r="F115" i="10" s="1"/>
  <c r="E116" i="8"/>
  <c r="F116" i="8" s="1"/>
  <c r="F116" i="7"/>
  <c r="E107" i="17"/>
  <c r="F107" i="17" s="1"/>
  <c r="E107" i="16"/>
  <c r="E107" i="12"/>
  <c r="F107" i="12" s="1"/>
  <c r="E107" i="14"/>
  <c r="F107" i="14" s="1"/>
  <c r="E107" i="11"/>
  <c r="F107" i="11" s="1"/>
  <c r="E108" i="9"/>
  <c r="F108" i="9" s="1"/>
  <c r="E107" i="10"/>
  <c r="F107" i="10" s="1"/>
  <c r="E108" i="8"/>
  <c r="F108" i="8" s="1"/>
  <c r="F108" i="7"/>
  <c r="F15" i="14"/>
  <c r="X116" i="27" l="1"/>
  <c r="E14" i="16"/>
  <c r="E37" i="15"/>
  <c r="F37" i="15" s="1"/>
  <c r="G38" i="7"/>
  <c r="H38" i="7" s="1"/>
  <c r="F128" i="12"/>
  <c r="F14" i="12"/>
  <c r="E30" i="15"/>
  <c r="F30" i="15" s="1"/>
  <c r="G31" i="7"/>
  <c r="H31" i="7" s="1"/>
  <c r="N27" i="16"/>
  <c r="F27" i="16"/>
  <c r="E78" i="15"/>
  <c r="F78" i="15" s="1"/>
  <c r="G79" i="7"/>
  <c r="H79" i="7" s="1"/>
  <c r="E48" i="15"/>
  <c r="F48" i="15" s="1"/>
  <c r="G49" i="7"/>
  <c r="H49" i="7" s="1"/>
  <c r="E75" i="15"/>
  <c r="F75" i="15" s="1"/>
  <c r="G76" i="7"/>
  <c r="H76" i="7" s="1"/>
  <c r="E63" i="15"/>
  <c r="F63" i="15" s="1"/>
  <c r="G64" i="7"/>
  <c r="H64" i="7" s="1"/>
  <c r="N68" i="16"/>
  <c r="F68" i="16"/>
  <c r="N125" i="16"/>
  <c r="F125" i="16"/>
  <c r="N74" i="16"/>
  <c r="F74" i="16"/>
  <c r="E80" i="15"/>
  <c r="F80" i="15" s="1"/>
  <c r="G81" i="7"/>
  <c r="H81" i="7" s="1"/>
  <c r="N114" i="16"/>
  <c r="F114" i="16"/>
  <c r="E96" i="15"/>
  <c r="F96" i="15" s="1"/>
  <c r="G97" i="7"/>
  <c r="H97" i="7" s="1"/>
  <c r="N34" i="16"/>
  <c r="F34" i="16"/>
  <c r="E102" i="15"/>
  <c r="F102" i="15" s="1"/>
  <c r="G103" i="7"/>
  <c r="H103" i="7" s="1"/>
  <c r="N105" i="16"/>
  <c r="F105" i="16"/>
  <c r="N77" i="16"/>
  <c r="F77" i="16"/>
  <c r="E69" i="15"/>
  <c r="F69" i="15" s="1"/>
  <c r="G70" i="7"/>
  <c r="H70" i="7" s="1"/>
  <c r="N41" i="16"/>
  <c r="F41" i="16"/>
  <c r="N22" i="16"/>
  <c r="F22" i="16"/>
  <c r="N33" i="16"/>
  <c r="F33" i="16"/>
  <c r="E60" i="15"/>
  <c r="F60" i="15" s="1"/>
  <c r="G61" i="7"/>
  <c r="H61" i="7" s="1"/>
  <c r="N32" i="16"/>
  <c r="F32" i="16"/>
  <c r="E29" i="15"/>
  <c r="F29" i="15" s="1"/>
  <c r="G30" i="7"/>
  <c r="H30" i="7" s="1"/>
  <c r="E42" i="15"/>
  <c r="F42" i="15" s="1"/>
  <c r="G43" i="7"/>
  <c r="H43" i="7" s="1"/>
  <c r="E128" i="12"/>
  <c r="E128" i="11"/>
  <c r="E44" i="15"/>
  <c r="F44" i="15" s="1"/>
  <c r="G45" i="7"/>
  <c r="H45" i="7" s="1"/>
  <c r="E128" i="10"/>
  <c r="E86" i="15"/>
  <c r="F86" i="15" s="1"/>
  <c r="G87" i="7"/>
  <c r="H87" i="7" s="1"/>
  <c r="N118" i="16"/>
  <c r="F118" i="16"/>
  <c r="N119" i="16"/>
  <c r="F119" i="16"/>
  <c r="E20" i="15"/>
  <c r="F20" i="15" s="1"/>
  <c r="G21" i="7"/>
  <c r="H21" i="7" s="1"/>
  <c r="N43" i="16"/>
  <c r="F43" i="16"/>
  <c r="E87" i="15"/>
  <c r="F87" i="15" s="1"/>
  <c r="G88" i="7"/>
  <c r="H88" i="7" s="1"/>
  <c r="N35" i="16"/>
  <c r="F35" i="16"/>
  <c r="E55" i="15"/>
  <c r="F55" i="15" s="1"/>
  <c r="G56" i="7"/>
  <c r="H56" i="7" s="1"/>
  <c r="E97" i="15"/>
  <c r="F97" i="15" s="1"/>
  <c r="G98" i="7"/>
  <c r="H98" i="7" s="1"/>
  <c r="N83" i="16"/>
  <c r="F83" i="16"/>
  <c r="E100" i="15"/>
  <c r="F100" i="15" s="1"/>
  <c r="G101" i="7"/>
  <c r="H101" i="7" s="1"/>
  <c r="E73" i="15"/>
  <c r="F73" i="15" s="1"/>
  <c r="G74" i="7"/>
  <c r="H74" i="7" s="1"/>
  <c r="N82" i="16"/>
  <c r="F82" i="16"/>
  <c r="N53" i="16"/>
  <c r="F53" i="16"/>
  <c r="E14" i="12"/>
  <c r="E14" i="11"/>
  <c r="N106" i="16"/>
  <c r="F106" i="16"/>
  <c r="E14" i="10"/>
  <c r="N61" i="16"/>
  <c r="F61" i="16"/>
  <c r="E50" i="15"/>
  <c r="F50" i="15" s="1"/>
  <c r="G51" i="7"/>
  <c r="H51" i="7" s="1"/>
  <c r="N38" i="16"/>
  <c r="F38" i="16"/>
  <c r="N18" i="16"/>
  <c r="F18" i="16"/>
  <c r="N115" i="16"/>
  <c r="F115" i="16"/>
  <c r="F128" i="10"/>
  <c r="F14" i="10"/>
  <c r="N107" i="16"/>
  <c r="F107" i="16"/>
  <c r="E26" i="15"/>
  <c r="F26" i="15" s="1"/>
  <c r="G27" i="7"/>
  <c r="H27" i="7" s="1"/>
  <c r="N25" i="16"/>
  <c r="F25" i="16"/>
  <c r="N76" i="16"/>
  <c r="F76" i="16"/>
  <c r="E122" i="15"/>
  <c r="F122" i="15" s="1"/>
  <c r="G123" i="7"/>
  <c r="H123" i="7" s="1"/>
  <c r="E92" i="15"/>
  <c r="F92" i="15" s="1"/>
  <c r="G93" i="7"/>
  <c r="H93" i="7" s="1"/>
  <c r="E113" i="15"/>
  <c r="F113" i="15" s="1"/>
  <c r="G114" i="7"/>
  <c r="H114" i="7" s="1"/>
  <c r="E65" i="15"/>
  <c r="F65" i="15" s="1"/>
  <c r="G66" i="7"/>
  <c r="H66" i="7" s="1"/>
  <c r="E62" i="15"/>
  <c r="F62" i="15" s="1"/>
  <c r="G63" i="7"/>
  <c r="H63" i="7" s="1"/>
  <c r="E88" i="15"/>
  <c r="F88" i="15" s="1"/>
  <c r="G89" i="7"/>
  <c r="H89" i="7" s="1"/>
  <c r="N47" i="16"/>
  <c r="F47" i="16"/>
  <c r="E91" i="15"/>
  <c r="F91" i="15" s="1"/>
  <c r="G92" i="7"/>
  <c r="H92" i="7" s="1"/>
  <c r="E70" i="15"/>
  <c r="F70" i="15" s="1"/>
  <c r="G71" i="7"/>
  <c r="H71" i="7" s="1"/>
  <c r="E23" i="15"/>
  <c r="F23" i="15" s="1"/>
  <c r="G24" i="7"/>
  <c r="H24" i="7" s="1"/>
  <c r="E51" i="15"/>
  <c r="F51" i="15" s="1"/>
  <c r="G52" i="7"/>
  <c r="H52" i="7" s="1"/>
  <c r="E99" i="15"/>
  <c r="F99" i="15" s="1"/>
  <c r="G100" i="7"/>
  <c r="H100" i="7" s="1"/>
  <c r="E19" i="15"/>
  <c r="F19" i="15" s="1"/>
  <c r="G20" i="7"/>
  <c r="H20" i="7" s="1"/>
  <c r="N59" i="16"/>
  <c r="F59" i="16"/>
  <c r="E108" i="15"/>
  <c r="F108" i="15" s="1"/>
  <c r="G109" i="7"/>
  <c r="H109" i="7" s="1"/>
  <c r="N39" i="16"/>
  <c r="F39" i="16"/>
  <c r="E31" i="15"/>
  <c r="F31" i="15" s="1"/>
  <c r="G32" i="7"/>
  <c r="H32" i="7" s="1"/>
  <c r="N56" i="16"/>
  <c r="F56" i="16"/>
  <c r="N110" i="16"/>
  <c r="F110" i="16"/>
  <c r="E121" i="15"/>
  <c r="F121" i="15" s="1"/>
  <c r="G122" i="7"/>
  <c r="H122" i="7" s="1"/>
  <c r="N116" i="16"/>
  <c r="F116" i="16"/>
  <c r="N57" i="16"/>
  <c r="F57" i="16"/>
  <c r="N72" i="16"/>
  <c r="F72" i="16"/>
  <c r="E112" i="15"/>
  <c r="F112" i="15" s="1"/>
  <c r="G113" i="7"/>
  <c r="H113" i="7" s="1"/>
  <c r="N104" i="16"/>
  <c r="F104" i="16"/>
  <c r="N98" i="16"/>
  <c r="F98" i="16"/>
  <c r="N126" i="16"/>
  <c r="F126" i="16"/>
  <c r="N21" i="16"/>
  <c r="F21" i="16"/>
  <c r="N84" i="16"/>
  <c r="F84" i="16"/>
  <c r="N49" i="16"/>
  <c r="F49" i="16"/>
  <c r="E128" i="16"/>
  <c r="E47" i="15"/>
  <c r="F47" i="15" s="1"/>
  <c r="G48" i="7"/>
  <c r="H48" i="7" s="1"/>
  <c r="N103" i="16"/>
  <c r="F103" i="16"/>
  <c r="N51" i="16"/>
  <c r="F51" i="16"/>
  <c r="E17" i="15"/>
  <c r="F17" i="15" s="1"/>
  <c r="G18" i="7"/>
  <c r="H18" i="7" s="1"/>
  <c r="N94" i="16"/>
  <c r="F94" i="16"/>
  <c r="E125" i="15"/>
  <c r="F125" i="15" s="1"/>
  <c r="G126" i="7"/>
  <c r="H126" i="7" s="1"/>
  <c r="E34" i="15"/>
  <c r="F34" i="15" s="1"/>
  <c r="G35" i="7"/>
  <c r="H35" i="7" s="1"/>
  <c r="E105" i="15"/>
  <c r="F105" i="15" s="1"/>
  <c r="G106" i="7"/>
  <c r="H106" i="7" s="1"/>
  <c r="F128" i="17"/>
  <c r="F14" i="17"/>
  <c r="E71" i="15"/>
  <c r="F71" i="15" s="1"/>
  <c r="G72" i="7"/>
  <c r="H72" i="7" s="1"/>
  <c r="N117" i="16"/>
  <c r="F117" i="16"/>
  <c r="E45" i="15"/>
  <c r="F45" i="15" s="1"/>
  <c r="G46" i="7"/>
  <c r="H46" i="7" s="1"/>
  <c r="E85" i="15"/>
  <c r="F85" i="15" s="1"/>
  <c r="G86" i="7"/>
  <c r="H86" i="7" s="1"/>
  <c r="N120" i="16"/>
  <c r="F120" i="16"/>
  <c r="N64" i="16"/>
  <c r="F64" i="16"/>
  <c r="E40" i="15"/>
  <c r="F40" i="15" s="1"/>
  <c r="G41" i="7"/>
  <c r="H41" i="7" s="1"/>
  <c r="N16" i="16"/>
  <c r="F16" i="16"/>
  <c r="N46" i="16"/>
  <c r="F46" i="16"/>
  <c r="N36" i="16"/>
  <c r="F36" i="16"/>
  <c r="N55" i="16"/>
  <c r="F55" i="16"/>
  <c r="E115" i="15"/>
  <c r="F115" i="15" s="1"/>
  <c r="G116" i="7"/>
  <c r="H116" i="7" s="1"/>
  <c r="E123" i="15"/>
  <c r="F123" i="15" s="1"/>
  <c r="G124" i="7"/>
  <c r="H124" i="7" s="1"/>
  <c r="E14" i="14"/>
  <c r="N67" i="16"/>
  <c r="F67" i="16"/>
  <c r="E111" i="15"/>
  <c r="F111" i="15" s="1"/>
  <c r="G112" i="7"/>
  <c r="H112" i="7" s="1"/>
  <c r="H16" i="7"/>
  <c r="I16" i="7" s="1"/>
  <c r="N58" i="16"/>
  <c r="F58" i="16"/>
  <c r="N54" i="16"/>
  <c r="F54" i="16"/>
  <c r="E118" i="15"/>
  <c r="F118" i="15" s="1"/>
  <c r="G119" i="7"/>
  <c r="H119" i="7" s="1"/>
  <c r="N28" i="16"/>
  <c r="F28" i="16"/>
  <c r="N124" i="16"/>
  <c r="F124" i="16"/>
  <c r="E90" i="15"/>
  <c r="F90" i="15" s="1"/>
  <c r="G91" i="7"/>
  <c r="H91" i="7" s="1"/>
  <c r="N52" i="16"/>
  <c r="F52" i="16"/>
  <c r="N24" i="16"/>
  <c r="F24" i="16"/>
  <c r="E74" i="15"/>
  <c r="F74" i="15" s="1"/>
  <c r="G75" i="7"/>
  <c r="H75" i="7" s="1"/>
  <c r="E77" i="15"/>
  <c r="F77" i="15" s="1"/>
  <c r="G78" i="7"/>
  <c r="H78" i="7" s="1"/>
  <c r="E14" i="17"/>
  <c r="E22" i="15"/>
  <c r="F22" i="15" s="1"/>
  <c r="G23" i="7"/>
  <c r="H23" i="7" s="1"/>
  <c r="E33" i="15"/>
  <c r="F33" i="15" s="1"/>
  <c r="G34" i="7"/>
  <c r="H34" i="7" s="1"/>
  <c r="E127" i="15"/>
  <c r="F127" i="15" s="1"/>
  <c r="G128" i="7"/>
  <c r="H128" i="7" s="1"/>
  <c r="N91" i="16"/>
  <c r="F91" i="16"/>
  <c r="E27" i="15"/>
  <c r="F27" i="15" s="1"/>
  <c r="G28" i="7"/>
  <c r="H28" i="7" s="1"/>
  <c r="F129" i="9"/>
  <c r="F15" i="9"/>
  <c r="E79" i="15"/>
  <c r="F79" i="15" s="1"/>
  <c r="G80" i="7"/>
  <c r="H80" i="7" s="1"/>
  <c r="E81" i="15"/>
  <c r="F81" i="15" s="1"/>
  <c r="G82" i="7"/>
  <c r="H82" i="7" s="1"/>
  <c r="F14" i="14"/>
  <c r="F128" i="14"/>
  <c r="E128" i="14"/>
  <c r="N48" i="16"/>
  <c r="F48" i="16"/>
  <c r="F15" i="7"/>
  <c r="E39" i="15"/>
  <c r="F39" i="15" s="1"/>
  <c r="G40" i="7"/>
  <c r="H40" i="7" s="1"/>
  <c r="N75" i="16"/>
  <c r="F75" i="16"/>
  <c r="E35" i="15"/>
  <c r="F35" i="15" s="1"/>
  <c r="G36" i="7"/>
  <c r="H36" i="7" s="1"/>
  <c r="F129" i="8"/>
  <c r="F15" i="8"/>
  <c r="N63" i="16"/>
  <c r="F63" i="16"/>
  <c r="N109" i="16"/>
  <c r="F109" i="16"/>
  <c r="N93" i="16"/>
  <c r="F93" i="16"/>
  <c r="N80" i="16"/>
  <c r="F80" i="16"/>
  <c r="E114" i="15"/>
  <c r="F114" i="15" s="1"/>
  <c r="G115" i="7"/>
  <c r="H115" i="7" s="1"/>
  <c r="N96" i="16"/>
  <c r="F96" i="16"/>
  <c r="N102" i="16"/>
  <c r="F102" i="16"/>
  <c r="N66" i="16"/>
  <c r="F66" i="16"/>
  <c r="N69" i="16"/>
  <c r="F69" i="16"/>
  <c r="E41" i="15"/>
  <c r="F41" i="15" s="1"/>
  <c r="G42" i="7"/>
  <c r="H42" i="7" s="1"/>
  <c r="N101" i="16"/>
  <c r="F101" i="16"/>
  <c r="E128" i="17"/>
  <c r="N89" i="16"/>
  <c r="F89" i="16"/>
  <c r="N37" i="16"/>
  <c r="F37" i="16"/>
  <c r="N60" i="16"/>
  <c r="F60" i="16"/>
  <c r="E32" i="15"/>
  <c r="F32" i="15" s="1"/>
  <c r="G33" i="7"/>
  <c r="H33" i="7" s="1"/>
  <c r="E53" i="15"/>
  <c r="F53" i="15" s="1"/>
  <c r="G54" i="7"/>
  <c r="H54" i="7" s="1"/>
  <c r="E61" i="15"/>
  <c r="F61" i="15" s="1"/>
  <c r="G62" i="7"/>
  <c r="H62" i="7" s="1"/>
  <c r="E129" i="9"/>
  <c r="E18" i="15"/>
  <c r="F18" i="15" s="1"/>
  <c r="G19" i="7"/>
  <c r="H19" i="7" s="1"/>
  <c r="E98" i="15"/>
  <c r="F98" i="15" s="1"/>
  <c r="G99" i="7"/>
  <c r="H99" i="7" s="1"/>
  <c r="N87" i="16"/>
  <c r="F87" i="16"/>
  <c r="E43" i="15"/>
  <c r="F43" i="15" s="1"/>
  <c r="G44" i="7"/>
  <c r="H44" i="7" s="1"/>
  <c r="F129" i="7"/>
  <c r="E129" i="8"/>
  <c r="E76" i="15"/>
  <c r="F76" i="15" s="1"/>
  <c r="G77" i="7"/>
  <c r="H77" i="7" s="1"/>
  <c r="E68" i="15"/>
  <c r="F68" i="15" s="1"/>
  <c r="G69" i="7"/>
  <c r="H69" i="7" s="1"/>
  <c r="E116" i="15"/>
  <c r="F116" i="15" s="1"/>
  <c r="G117" i="7"/>
  <c r="H117" i="7" s="1"/>
  <c r="E57" i="15"/>
  <c r="F57" i="15" s="1"/>
  <c r="G58" i="7"/>
  <c r="H58" i="7" s="1"/>
  <c r="E83" i="15"/>
  <c r="F83" i="15" s="1"/>
  <c r="G84" i="7"/>
  <c r="H84" i="7" s="1"/>
  <c r="E104" i="15"/>
  <c r="F104" i="15" s="1"/>
  <c r="G105" i="7"/>
  <c r="H105" i="7" s="1"/>
  <c r="N95" i="16"/>
  <c r="F95" i="16"/>
  <c r="N71" i="16"/>
  <c r="F71" i="16"/>
  <c r="N29" i="16"/>
  <c r="F29" i="16"/>
  <c r="N42" i="16"/>
  <c r="F42" i="16"/>
  <c r="N44" i="16"/>
  <c r="F44" i="16"/>
  <c r="E106" i="15"/>
  <c r="F106" i="15" s="1"/>
  <c r="G107" i="7"/>
  <c r="H107" i="7" s="1"/>
  <c r="N30" i="16"/>
  <c r="F30" i="16"/>
  <c r="N99" i="16"/>
  <c r="F99" i="16"/>
  <c r="N86" i="16"/>
  <c r="F86" i="16"/>
  <c r="N50" i="16"/>
  <c r="F50" i="16"/>
  <c r="E15" i="9"/>
  <c r="E38" i="15"/>
  <c r="F38" i="15" s="1"/>
  <c r="G39" i="7"/>
  <c r="H39" i="7" s="1"/>
  <c r="N19" i="16"/>
  <c r="F19" i="16"/>
  <c r="N81" i="16"/>
  <c r="F81" i="16"/>
  <c r="N78" i="16"/>
  <c r="F78" i="16"/>
  <c r="E107" i="15"/>
  <c r="F107" i="15" s="1"/>
  <c r="G108" i="7"/>
  <c r="H108" i="7" s="1"/>
  <c r="N111" i="16"/>
  <c r="F111" i="16"/>
  <c r="F15" i="15"/>
  <c r="N26" i="16"/>
  <c r="F26" i="16"/>
  <c r="E15" i="8"/>
  <c r="E25" i="15"/>
  <c r="F25" i="15" s="1"/>
  <c r="G26" i="7"/>
  <c r="H26" i="7" s="1"/>
  <c r="N31" i="16"/>
  <c r="F31" i="16"/>
  <c r="N122" i="16"/>
  <c r="F122" i="16"/>
  <c r="E72" i="15"/>
  <c r="F72" i="15" s="1"/>
  <c r="G73" i="7"/>
  <c r="H73" i="7" s="1"/>
  <c r="E95" i="15"/>
  <c r="F95" i="15" s="1"/>
  <c r="G96" i="7"/>
  <c r="H96" i="7" s="1"/>
  <c r="E49" i="15"/>
  <c r="F49" i="15" s="1"/>
  <c r="G50" i="7"/>
  <c r="H50" i="7" s="1"/>
  <c r="E82" i="15"/>
  <c r="F82" i="15" s="1"/>
  <c r="G83" i="7"/>
  <c r="H83" i="7" s="1"/>
  <c r="E117" i="15"/>
  <c r="F117" i="15" s="1"/>
  <c r="G118" i="7"/>
  <c r="H118" i="7" s="1"/>
  <c r="E103" i="15"/>
  <c r="F103" i="15" s="1"/>
  <c r="G104" i="7"/>
  <c r="H104" i="7" s="1"/>
  <c r="E119" i="15"/>
  <c r="F119" i="15" s="1"/>
  <c r="G120" i="7"/>
  <c r="H120" i="7" s="1"/>
  <c r="E46" i="15"/>
  <c r="F46" i="15" s="1"/>
  <c r="G47" i="7"/>
  <c r="H47" i="7" s="1"/>
  <c r="E59" i="15"/>
  <c r="F59" i="15" s="1"/>
  <c r="G60" i="7"/>
  <c r="H60" i="7" s="1"/>
  <c r="E36" i="15"/>
  <c r="F36" i="15" s="1"/>
  <c r="G37" i="7"/>
  <c r="H37" i="7" s="1"/>
  <c r="F128" i="11"/>
  <c r="F14" i="11"/>
  <c r="N20" i="16"/>
  <c r="F20" i="16"/>
  <c r="E110" i="15"/>
  <c r="F110" i="15" s="1"/>
  <c r="G111" i="7"/>
  <c r="H111" i="7" s="1"/>
  <c r="N97" i="16"/>
  <c r="F97" i="16"/>
  <c r="N112" i="16"/>
  <c r="F112" i="16"/>
  <c r="N113" i="16"/>
  <c r="F113" i="16"/>
  <c r="N65" i="16"/>
  <c r="F65" i="16"/>
  <c r="N100" i="16"/>
  <c r="F100" i="16"/>
  <c r="E126" i="15"/>
  <c r="F126" i="15" s="1"/>
  <c r="G127" i="7"/>
  <c r="H127" i="7" s="1"/>
  <c r="N62" i="16"/>
  <c r="F62" i="16"/>
  <c r="E21" i="15"/>
  <c r="F21" i="15" s="1"/>
  <c r="G22" i="7"/>
  <c r="H22" i="7" s="1"/>
  <c r="N88" i="16"/>
  <c r="F88" i="16"/>
  <c r="E84" i="15"/>
  <c r="F84" i="15" s="1"/>
  <c r="G85" i="7"/>
  <c r="H85" i="7" s="1"/>
  <c r="N73" i="16"/>
  <c r="F73" i="16"/>
  <c r="N127" i="16"/>
  <c r="F127" i="16"/>
  <c r="E120" i="15"/>
  <c r="F120" i="15" s="1"/>
  <c r="G121" i="7"/>
  <c r="H121" i="7" s="1"/>
  <c r="N23" i="16"/>
  <c r="F23" i="16"/>
  <c r="E64" i="15"/>
  <c r="F64" i="15" s="1"/>
  <c r="G65" i="7"/>
  <c r="H65" i="7" s="1"/>
  <c r="N90" i="16"/>
  <c r="F90" i="16"/>
  <c r="E89" i="15"/>
  <c r="F89" i="15" s="1"/>
  <c r="G90" i="7"/>
  <c r="H90" i="7" s="1"/>
  <c r="E94" i="15"/>
  <c r="F94" i="15" s="1"/>
  <c r="G95" i="7"/>
  <c r="H95" i="7" s="1"/>
  <c r="N123" i="16"/>
  <c r="F123" i="16"/>
  <c r="E56" i="15"/>
  <c r="F56" i="15" s="1"/>
  <c r="G57" i="7"/>
  <c r="H57" i="7" s="1"/>
  <c r="N121" i="16"/>
  <c r="F121" i="16"/>
  <c r="N92" i="16"/>
  <c r="F92" i="16"/>
  <c r="E67" i="15"/>
  <c r="F67" i="15" s="1"/>
  <c r="G68" i="7"/>
  <c r="H68" i="7" s="1"/>
  <c r="E58" i="15"/>
  <c r="F58" i="15" s="1"/>
  <c r="G59" i="7"/>
  <c r="H59" i="7" s="1"/>
  <c r="E54" i="15"/>
  <c r="F54" i="15" s="1"/>
  <c r="G55" i="7"/>
  <c r="H55" i="7" s="1"/>
  <c r="E28" i="15"/>
  <c r="F28" i="15" s="1"/>
  <c r="G29" i="7"/>
  <c r="H29" i="7" s="1"/>
  <c r="E124" i="15"/>
  <c r="F124" i="15" s="1"/>
  <c r="G125" i="7"/>
  <c r="H125" i="7" s="1"/>
  <c r="E52" i="15"/>
  <c r="F52" i="15" s="1"/>
  <c r="G53" i="7"/>
  <c r="H53" i="7" s="1"/>
  <c r="E24" i="15"/>
  <c r="F24" i="15" s="1"/>
  <c r="G25" i="7"/>
  <c r="H25" i="7" s="1"/>
  <c r="E109" i="15"/>
  <c r="F109" i="15" s="1"/>
  <c r="G110" i="7"/>
  <c r="H110" i="7" s="1"/>
  <c r="E93" i="15"/>
  <c r="F93" i="15" s="1"/>
  <c r="G94" i="7"/>
  <c r="H94" i="7" s="1"/>
  <c r="E66" i="15"/>
  <c r="F66" i="15" s="1"/>
  <c r="G67" i="7"/>
  <c r="H67" i="7" s="1"/>
  <c r="E101" i="15"/>
  <c r="F101" i="15" s="1"/>
  <c r="G102" i="7"/>
  <c r="H102" i="7" s="1"/>
  <c r="N45" i="16"/>
  <c r="F45" i="16"/>
  <c r="N85" i="16"/>
  <c r="F85" i="16"/>
  <c r="N70" i="16"/>
  <c r="F70" i="16"/>
  <c r="N40" i="16"/>
  <c r="F40" i="16"/>
  <c r="E16" i="15"/>
  <c r="F16" i="15" s="1"/>
  <c r="G17" i="7"/>
  <c r="H17" i="7" s="1"/>
  <c r="I17" i="7" s="1"/>
  <c r="N17" i="16"/>
  <c r="F17" i="16"/>
  <c r="N79" i="16"/>
  <c r="F79" i="16"/>
  <c r="N108" i="16"/>
  <c r="F108" i="16"/>
  <c r="F128" i="16" l="1"/>
  <c r="F14" i="16"/>
  <c r="N14" i="16"/>
  <c r="I19" i="7"/>
  <c r="I91" i="7"/>
  <c r="I109" i="7"/>
  <c r="I114" i="7"/>
  <c r="I51" i="7"/>
  <c r="I87" i="7"/>
  <c r="I61" i="7"/>
  <c r="I81" i="7"/>
  <c r="I67" i="7"/>
  <c r="I32" i="7"/>
  <c r="I94" i="7"/>
  <c r="I53" i="7"/>
  <c r="I85" i="7"/>
  <c r="I60" i="7"/>
  <c r="I88" i="7"/>
  <c r="I76" i="7"/>
  <c r="I79" i="7"/>
  <c r="I55" i="7"/>
  <c r="I86" i="7"/>
  <c r="I120" i="7"/>
  <c r="I71" i="7"/>
  <c r="I43" i="7"/>
  <c r="I103" i="7"/>
  <c r="I115" i="7"/>
  <c r="I80" i="7"/>
  <c r="H15" i="7"/>
  <c r="H129" i="7"/>
  <c r="I46" i="7"/>
  <c r="I38" i="7"/>
  <c r="I39" i="7"/>
  <c r="I69" i="7"/>
  <c r="F128" i="15"/>
  <c r="F14" i="15"/>
  <c r="I33" i="7"/>
  <c r="G15" i="7"/>
  <c r="I100" i="7"/>
  <c r="I92" i="7"/>
  <c r="I63" i="7"/>
  <c r="I59" i="7"/>
  <c r="I90" i="7"/>
  <c r="I118" i="7"/>
  <c r="I108" i="7"/>
  <c r="I102" i="7"/>
  <c r="I110" i="7"/>
  <c r="I125" i="7"/>
  <c r="I47" i="7"/>
  <c r="E14" i="15"/>
  <c r="I58" i="7"/>
  <c r="I36" i="7"/>
  <c r="I34" i="7"/>
  <c r="G129" i="7"/>
  <c r="I124" i="7"/>
  <c r="I113" i="7"/>
  <c r="I101" i="7"/>
  <c r="I56" i="7"/>
  <c r="I70" i="7"/>
  <c r="I64" i="7"/>
  <c r="I104" i="7"/>
  <c r="I48" i="7"/>
  <c r="I99" i="7"/>
  <c r="I26" i="7"/>
  <c r="I105" i="7"/>
  <c r="I82" i="7"/>
  <c r="I72" i="7"/>
  <c r="I122" i="7"/>
  <c r="I52" i="7"/>
  <c r="I27" i="7"/>
  <c r="I74" i="7"/>
  <c r="I21" i="7"/>
  <c r="I30" i="7"/>
  <c r="I49" i="7"/>
  <c r="I35" i="7"/>
  <c r="I22" i="7"/>
  <c r="E128" i="15"/>
  <c r="I29" i="7"/>
  <c r="I121" i="7"/>
  <c r="I107" i="7"/>
  <c r="I62" i="7"/>
  <c r="I119" i="7"/>
  <c r="I106" i="7"/>
  <c r="I18" i="7"/>
  <c r="I93" i="7"/>
  <c r="I97" i="7"/>
  <c r="I31" i="7"/>
  <c r="I127" i="7"/>
  <c r="I83" i="7"/>
  <c r="I96" i="7"/>
  <c r="I77" i="7"/>
  <c r="I54" i="7"/>
  <c r="I28" i="7"/>
  <c r="I78" i="7"/>
  <c r="I112" i="7"/>
  <c r="I116" i="7"/>
  <c r="I41" i="7"/>
  <c r="I20" i="7"/>
  <c r="I89" i="7"/>
  <c r="I66" i="7"/>
  <c r="I123" i="7"/>
  <c r="I45" i="7"/>
  <c r="I95" i="7"/>
  <c r="I37" i="7"/>
  <c r="I128" i="7"/>
  <c r="I23" i="7"/>
  <c r="I75" i="7"/>
  <c r="I126" i="7"/>
  <c r="I44" i="7"/>
  <c r="I25" i="7"/>
  <c r="I68" i="7"/>
  <c r="I111" i="7"/>
  <c r="I50" i="7"/>
  <c r="I73" i="7"/>
  <c r="I117" i="7"/>
  <c r="I57" i="7"/>
  <c r="I65" i="7"/>
  <c r="I84" i="7"/>
  <c r="I42" i="7"/>
  <c r="I40" i="7"/>
  <c r="I24" i="7"/>
  <c r="I98" i="7"/>
  <c r="I129" i="7" l="1"/>
  <c r="I15" i="7"/>
  <c r="J23" i="7" s="1"/>
  <c r="J25" i="7" l="1"/>
  <c r="G24" i="15" s="1"/>
  <c r="H24" i="15" s="1"/>
  <c r="I24" i="15" s="1"/>
  <c r="J41" i="7"/>
  <c r="G41" i="9" s="1"/>
  <c r="H41" i="9" s="1"/>
  <c r="J41" i="9" s="1"/>
  <c r="J29" i="7"/>
  <c r="G28" i="16" s="1"/>
  <c r="J26" i="7"/>
  <c r="G25" i="11" s="1"/>
  <c r="H25" i="11" s="1"/>
  <c r="I25" i="11" s="1"/>
  <c r="J114" i="7"/>
  <c r="G113" i="15" s="1"/>
  <c r="H113" i="15" s="1"/>
  <c r="I113" i="15" s="1"/>
  <c r="J27" i="7"/>
  <c r="G26" i="16" s="1"/>
  <c r="J91" i="7"/>
  <c r="G90" i="17" s="1"/>
  <c r="H90" i="17" s="1"/>
  <c r="I90" i="17" s="1"/>
  <c r="J38" i="7"/>
  <c r="G37" i="11" s="1"/>
  <c r="H37" i="11" s="1"/>
  <c r="I37" i="11" s="1"/>
  <c r="J78" i="7"/>
  <c r="K78" i="7" s="1"/>
  <c r="L78" i="7" s="1"/>
  <c r="J70" i="7"/>
  <c r="K70" i="7" s="1"/>
  <c r="L70" i="7" s="1"/>
  <c r="J92" i="7"/>
  <c r="G92" i="8" s="1"/>
  <c r="H92" i="8" s="1"/>
  <c r="I92" i="8" s="1"/>
  <c r="C79" i="27" s="1"/>
  <c r="J128" i="7"/>
  <c r="G128" i="8" s="1"/>
  <c r="H128" i="8" s="1"/>
  <c r="I128" i="8" s="1"/>
  <c r="C115" i="27" s="1"/>
  <c r="J85" i="7"/>
  <c r="K85" i="7" s="1"/>
  <c r="L85" i="7" s="1"/>
  <c r="J93" i="7"/>
  <c r="G93" i="8" s="1"/>
  <c r="H93" i="8" s="1"/>
  <c r="I93" i="8" s="1"/>
  <c r="C80" i="27" s="1"/>
  <c r="J21" i="7"/>
  <c r="G20" i="15" s="1"/>
  <c r="H20" i="15" s="1"/>
  <c r="I20" i="15" s="1"/>
  <c r="J62" i="7"/>
  <c r="G61" i="12" s="1"/>
  <c r="H61" i="12" s="1"/>
  <c r="I61" i="12" s="1"/>
  <c r="J32" i="7"/>
  <c r="G31" i="14" s="1"/>
  <c r="H31" i="14" s="1"/>
  <c r="I31" i="14" s="1"/>
  <c r="J94" i="7"/>
  <c r="K94" i="7" s="1"/>
  <c r="L94" i="7" s="1"/>
  <c r="J36" i="7"/>
  <c r="G36" i="8" s="1"/>
  <c r="H36" i="8" s="1"/>
  <c r="I36" i="8" s="1"/>
  <c r="C23" i="27" s="1"/>
  <c r="J76" i="7"/>
  <c r="G76" i="9" s="1"/>
  <c r="H76" i="9" s="1"/>
  <c r="J76" i="9" s="1"/>
  <c r="J19" i="7"/>
  <c r="K19" i="7" s="1"/>
  <c r="L19" i="7" s="1"/>
  <c r="J42" i="7"/>
  <c r="G41" i="10" s="1"/>
  <c r="H41" i="10" s="1"/>
  <c r="I41" i="10" s="1"/>
  <c r="J87" i="7"/>
  <c r="G86" i="12" s="1"/>
  <c r="H86" i="12" s="1"/>
  <c r="I86" i="12" s="1"/>
  <c r="J86" i="7"/>
  <c r="G85" i="12" s="1"/>
  <c r="H85" i="12" s="1"/>
  <c r="I85" i="12" s="1"/>
  <c r="J100" i="7"/>
  <c r="K100" i="7" s="1"/>
  <c r="L100" i="7" s="1"/>
  <c r="J113" i="7"/>
  <c r="G112" i="15" s="1"/>
  <c r="H112" i="15" s="1"/>
  <c r="I112" i="15" s="1"/>
  <c r="J75" i="7"/>
  <c r="G74" i="17" s="1"/>
  <c r="H74" i="17" s="1"/>
  <c r="I74" i="17" s="1"/>
  <c r="J99" i="7"/>
  <c r="G98" i="14" s="1"/>
  <c r="H98" i="14" s="1"/>
  <c r="I98" i="14" s="1"/>
  <c r="J22" i="7"/>
  <c r="G21" i="12" s="1"/>
  <c r="H21" i="12" s="1"/>
  <c r="I21" i="12" s="1"/>
  <c r="J51" i="7"/>
  <c r="G51" i="8" s="1"/>
  <c r="H51" i="8" s="1"/>
  <c r="I51" i="8" s="1"/>
  <c r="C38" i="27" s="1"/>
  <c r="J80" i="7"/>
  <c r="G79" i="10" s="1"/>
  <c r="H79" i="10" s="1"/>
  <c r="I79" i="10" s="1"/>
  <c r="J30" i="7"/>
  <c r="G30" i="8" s="1"/>
  <c r="H30" i="8" s="1"/>
  <c r="I30" i="8" s="1"/>
  <c r="C17" i="27" s="1"/>
  <c r="J34" i="7"/>
  <c r="G34" i="9" s="1"/>
  <c r="H34" i="9" s="1"/>
  <c r="J34" i="9" s="1"/>
  <c r="J120" i="7"/>
  <c r="G119" i="17" s="1"/>
  <c r="H119" i="17" s="1"/>
  <c r="I119" i="17" s="1"/>
  <c r="J28" i="7"/>
  <c r="G28" i="8" s="1"/>
  <c r="H28" i="8" s="1"/>
  <c r="I28" i="8" s="1"/>
  <c r="C15" i="27" s="1"/>
  <c r="J64" i="7"/>
  <c r="G63" i="17" s="1"/>
  <c r="H63" i="17" s="1"/>
  <c r="I63" i="17" s="1"/>
  <c r="J121" i="7"/>
  <c r="G120" i="12" s="1"/>
  <c r="H120" i="12" s="1"/>
  <c r="I120" i="12" s="1"/>
  <c r="J105" i="7"/>
  <c r="G104" i="17" s="1"/>
  <c r="H104" i="17" s="1"/>
  <c r="I104" i="17" s="1"/>
  <c r="J47" i="7"/>
  <c r="G46" i="17" s="1"/>
  <c r="H46" i="17" s="1"/>
  <c r="I46" i="17" s="1"/>
  <c r="J43" i="7"/>
  <c r="G43" i="9" s="1"/>
  <c r="H43" i="9" s="1"/>
  <c r="J43" i="9" s="1"/>
  <c r="J108" i="7"/>
  <c r="K108" i="7" s="1"/>
  <c r="L108" i="7" s="1"/>
  <c r="J98" i="7"/>
  <c r="G97" i="12" s="1"/>
  <c r="H97" i="12" s="1"/>
  <c r="I97" i="12" s="1"/>
  <c r="J20" i="7"/>
  <c r="G19" i="17" s="1"/>
  <c r="H19" i="17" s="1"/>
  <c r="I19" i="17" s="1"/>
  <c r="J83" i="7"/>
  <c r="G82" i="17" s="1"/>
  <c r="H82" i="17" s="1"/>
  <c r="I82" i="17" s="1"/>
  <c r="J123" i="7"/>
  <c r="G122" i="17" s="1"/>
  <c r="H122" i="17" s="1"/>
  <c r="I122" i="17" s="1"/>
  <c r="J57" i="7"/>
  <c r="K57" i="7" s="1"/>
  <c r="L57" i="7" s="1"/>
  <c r="J16" i="7"/>
  <c r="J79" i="7"/>
  <c r="G79" i="8" s="1"/>
  <c r="H79" i="8" s="1"/>
  <c r="I79" i="8" s="1"/>
  <c r="C66" i="27" s="1"/>
  <c r="J37" i="7"/>
  <c r="G36" i="15" s="1"/>
  <c r="H36" i="15" s="1"/>
  <c r="I36" i="15" s="1"/>
  <c r="J84" i="7"/>
  <c r="G83" i="14" s="1"/>
  <c r="H83" i="14" s="1"/>
  <c r="I83" i="14" s="1"/>
  <c r="J65" i="7"/>
  <c r="J88" i="7"/>
  <c r="G87" i="16" s="1"/>
  <c r="J122" i="7"/>
  <c r="G121" i="10" s="1"/>
  <c r="H121" i="10" s="1"/>
  <c r="I121" i="10" s="1"/>
  <c r="J82" i="7"/>
  <c r="G81" i="10" s="1"/>
  <c r="H81" i="10" s="1"/>
  <c r="I81" i="10" s="1"/>
  <c r="J111" i="7"/>
  <c r="G110" i="15" s="1"/>
  <c r="H110" i="15" s="1"/>
  <c r="I110" i="15" s="1"/>
  <c r="J103" i="7"/>
  <c r="G102" i="11" s="1"/>
  <c r="H102" i="11" s="1"/>
  <c r="I102" i="11" s="1"/>
  <c r="J125" i="7"/>
  <c r="G125" i="8" s="1"/>
  <c r="H125" i="8" s="1"/>
  <c r="I125" i="8" s="1"/>
  <c r="C112" i="27" s="1"/>
  <c r="J60" i="7"/>
  <c r="G59" i="16" s="1"/>
  <c r="J63" i="7"/>
  <c r="G62" i="12" s="1"/>
  <c r="H62" i="12" s="1"/>
  <c r="I62" i="12" s="1"/>
  <c r="J102" i="7"/>
  <c r="G101" i="17" s="1"/>
  <c r="H101" i="17" s="1"/>
  <c r="I101" i="17" s="1"/>
  <c r="J67" i="7"/>
  <c r="G66" i="11" s="1"/>
  <c r="H66" i="11" s="1"/>
  <c r="I66" i="11" s="1"/>
  <c r="J39" i="7"/>
  <c r="G38" i="10" s="1"/>
  <c r="H38" i="10" s="1"/>
  <c r="I38" i="10" s="1"/>
  <c r="J31" i="7"/>
  <c r="G30" i="15" s="1"/>
  <c r="H30" i="15" s="1"/>
  <c r="I30" i="15" s="1"/>
  <c r="J101" i="7"/>
  <c r="G100" i="15" s="1"/>
  <c r="H100" i="15" s="1"/>
  <c r="I100" i="15" s="1"/>
  <c r="J115" i="7"/>
  <c r="G114" i="11" s="1"/>
  <c r="H114" i="11" s="1"/>
  <c r="I114" i="11" s="1"/>
  <c r="J124" i="7"/>
  <c r="G123" i="15" s="1"/>
  <c r="H123" i="15" s="1"/>
  <c r="I123" i="15" s="1"/>
  <c r="J61" i="7"/>
  <c r="G60" i="12" s="1"/>
  <c r="H60" i="12" s="1"/>
  <c r="I60" i="12" s="1"/>
  <c r="J24" i="7"/>
  <c r="G23" i="12" s="1"/>
  <c r="H23" i="12" s="1"/>
  <c r="I23" i="12" s="1"/>
  <c r="J126" i="7"/>
  <c r="G125" i="14" s="1"/>
  <c r="H125" i="14" s="1"/>
  <c r="I125" i="14" s="1"/>
  <c r="J116" i="7"/>
  <c r="G115" i="15" s="1"/>
  <c r="H115" i="15" s="1"/>
  <c r="I115" i="15" s="1"/>
  <c r="J104" i="7"/>
  <c r="G103" i="16" s="1"/>
  <c r="J56" i="7"/>
  <c r="G55" i="14" s="1"/>
  <c r="H55" i="14" s="1"/>
  <c r="I55" i="14" s="1"/>
  <c r="J48" i="7"/>
  <c r="G48" i="9" s="1"/>
  <c r="H48" i="9" s="1"/>
  <c r="J48" i="9" s="1"/>
  <c r="J72" i="7"/>
  <c r="G71" i="12" s="1"/>
  <c r="H71" i="12" s="1"/>
  <c r="I71" i="12" s="1"/>
  <c r="J95" i="7"/>
  <c r="G95" i="9" s="1"/>
  <c r="H95" i="9" s="1"/>
  <c r="J95" i="9" s="1"/>
  <c r="J109" i="7"/>
  <c r="G109" i="9" s="1"/>
  <c r="H109" i="9" s="1"/>
  <c r="J109" i="9" s="1"/>
  <c r="J66" i="7"/>
  <c r="G65" i="17" s="1"/>
  <c r="H65" i="17" s="1"/>
  <c r="I65" i="17" s="1"/>
  <c r="J127" i="7"/>
  <c r="G126" i="16" s="1"/>
  <c r="J74" i="7"/>
  <c r="G73" i="17" s="1"/>
  <c r="H73" i="17" s="1"/>
  <c r="I73" i="17" s="1"/>
  <c r="J49" i="7"/>
  <c r="G48" i="12" s="1"/>
  <c r="H48" i="12" s="1"/>
  <c r="I48" i="12" s="1"/>
  <c r="J35" i="7"/>
  <c r="G34" i="15" s="1"/>
  <c r="H34" i="15" s="1"/>
  <c r="I34" i="15" s="1"/>
  <c r="J68" i="7"/>
  <c r="G67" i="15" s="1"/>
  <c r="H67" i="15" s="1"/>
  <c r="I67" i="15" s="1"/>
  <c r="J110" i="7"/>
  <c r="G109" i="14" s="1"/>
  <c r="H109" i="14" s="1"/>
  <c r="I109" i="14" s="1"/>
  <c r="G22" i="17"/>
  <c r="H22" i="17" s="1"/>
  <c r="I22" i="17" s="1"/>
  <c r="G22" i="15"/>
  <c r="H22" i="15" s="1"/>
  <c r="I22" i="15" s="1"/>
  <c r="G22" i="16"/>
  <c r="G22" i="14"/>
  <c r="H22" i="14" s="1"/>
  <c r="I22" i="14" s="1"/>
  <c r="G22" i="12"/>
  <c r="H22" i="12" s="1"/>
  <c r="I22" i="12" s="1"/>
  <c r="G22" i="11"/>
  <c r="H22" i="11" s="1"/>
  <c r="I22" i="11" s="1"/>
  <c r="G23" i="9"/>
  <c r="H23" i="9" s="1"/>
  <c r="J23" i="9" s="1"/>
  <c r="G22" i="10"/>
  <c r="H22" i="10" s="1"/>
  <c r="I22" i="10" s="1"/>
  <c r="G23" i="8"/>
  <c r="H23" i="8" s="1"/>
  <c r="I23" i="8" s="1"/>
  <c r="C10" i="27" s="1"/>
  <c r="K23" i="7"/>
  <c r="L23" i="7" s="1"/>
  <c r="G98" i="15"/>
  <c r="H98" i="15" s="1"/>
  <c r="I98" i="15" s="1"/>
  <c r="G98" i="17"/>
  <c r="H98" i="17" s="1"/>
  <c r="I98" i="17" s="1"/>
  <c r="G98" i="12"/>
  <c r="H98" i="12" s="1"/>
  <c r="I98" i="12" s="1"/>
  <c r="G24" i="16"/>
  <c r="G28" i="14"/>
  <c r="H28" i="14" s="1"/>
  <c r="I28" i="14" s="1"/>
  <c r="G28" i="11"/>
  <c r="H28" i="11" s="1"/>
  <c r="I28" i="11" s="1"/>
  <c r="G28" i="10"/>
  <c r="H28" i="10" s="1"/>
  <c r="I28" i="10" s="1"/>
  <c r="G29" i="8"/>
  <c r="H29" i="8" s="1"/>
  <c r="I29" i="8" s="1"/>
  <c r="C16" i="27" s="1"/>
  <c r="G28" i="12"/>
  <c r="H28" i="12" s="1"/>
  <c r="I28" i="12" s="1"/>
  <c r="K29" i="7"/>
  <c r="L29" i="7" s="1"/>
  <c r="G112" i="17"/>
  <c r="H112" i="17" s="1"/>
  <c r="I112" i="17" s="1"/>
  <c r="G25" i="16"/>
  <c r="G25" i="17"/>
  <c r="H25" i="17" s="1"/>
  <c r="I25" i="17" s="1"/>
  <c r="G25" i="15"/>
  <c r="H25" i="15" s="1"/>
  <c r="I25" i="15" s="1"/>
  <c r="G25" i="14"/>
  <c r="H25" i="14" s="1"/>
  <c r="I25" i="14" s="1"/>
  <c r="G25" i="12"/>
  <c r="H25" i="12" s="1"/>
  <c r="I25" i="12" s="1"/>
  <c r="G26" i="9"/>
  <c r="H26" i="9" s="1"/>
  <c r="J26" i="9" s="1"/>
  <c r="G26" i="8"/>
  <c r="H26" i="8" s="1"/>
  <c r="I26" i="8" s="1"/>
  <c r="C13" i="27" s="1"/>
  <c r="K26" i="7"/>
  <c r="L26" i="7" s="1"/>
  <c r="G121" i="17"/>
  <c r="H121" i="17" s="1"/>
  <c r="I121" i="17" s="1"/>
  <c r="G121" i="12"/>
  <c r="H121" i="12" s="1"/>
  <c r="I121" i="12" s="1"/>
  <c r="G121" i="14"/>
  <c r="H121" i="14" s="1"/>
  <c r="I121" i="14" s="1"/>
  <c r="G122" i="8"/>
  <c r="H122" i="8" s="1"/>
  <c r="I122" i="8" s="1"/>
  <c r="C109" i="27" s="1"/>
  <c r="G94" i="16"/>
  <c r="G94" i="10"/>
  <c r="H94" i="10" s="1"/>
  <c r="I94" i="10" s="1"/>
  <c r="G21" i="10"/>
  <c r="H21" i="10" s="1"/>
  <c r="I21" i="10" s="1"/>
  <c r="G114" i="9"/>
  <c r="H114" i="9" s="1"/>
  <c r="J114" i="9" s="1"/>
  <c r="G113" i="11"/>
  <c r="H113" i="11" s="1"/>
  <c r="I113" i="11" s="1"/>
  <c r="K114" i="7"/>
  <c r="L114" i="7" s="1"/>
  <c r="G40" i="11"/>
  <c r="H40" i="11" s="1"/>
  <c r="I40" i="11" s="1"/>
  <c r="G40" i="10"/>
  <c r="H40" i="10" s="1"/>
  <c r="I40" i="10" s="1"/>
  <c r="J18" i="7"/>
  <c r="J17" i="7"/>
  <c r="J119" i="7"/>
  <c r="J97" i="7"/>
  <c r="J112" i="7"/>
  <c r="G84" i="12"/>
  <c r="H84" i="12" s="1"/>
  <c r="I84" i="12" s="1"/>
  <c r="G84" i="15"/>
  <c r="H84" i="15" s="1"/>
  <c r="I84" i="15" s="1"/>
  <c r="G74" i="15"/>
  <c r="H74" i="15" s="1"/>
  <c r="I74" i="15" s="1"/>
  <c r="G74" i="12"/>
  <c r="H74" i="12" s="1"/>
  <c r="I74" i="12" s="1"/>
  <c r="G74" i="11"/>
  <c r="H74" i="11" s="1"/>
  <c r="I74" i="11" s="1"/>
  <c r="G75" i="8"/>
  <c r="H75" i="8" s="1"/>
  <c r="I75" i="8" s="1"/>
  <c r="C62" i="27" s="1"/>
  <c r="K75" i="7"/>
  <c r="L75" i="7" s="1"/>
  <c r="G83" i="12"/>
  <c r="H83" i="12" s="1"/>
  <c r="I83" i="12" s="1"/>
  <c r="J117" i="7"/>
  <c r="K91" i="7"/>
  <c r="L91" i="7" s="1"/>
  <c r="J107" i="7"/>
  <c r="J50" i="7"/>
  <c r="J73" i="7"/>
  <c r="J53" i="7"/>
  <c r="J77" i="7"/>
  <c r="J33" i="7"/>
  <c r="K30" i="7"/>
  <c r="L30" i="7" s="1"/>
  <c r="J45" i="7"/>
  <c r="J106" i="7"/>
  <c r="J96" i="7"/>
  <c r="J81" i="7"/>
  <c r="J71" i="7"/>
  <c r="J89" i="7"/>
  <c r="J90" i="7"/>
  <c r="G87" i="15"/>
  <c r="H87" i="15" s="1"/>
  <c r="I87" i="15" s="1"/>
  <c r="G87" i="14"/>
  <c r="H87" i="14" s="1"/>
  <c r="I87" i="14" s="1"/>
  <c r="G88" i="8"/>
  <c r="H88" i="8" s="1"/>
  <c r="I88" i="8" s="1"/>
  <c r="C75" i="27" s="1"/>
  <c r="G87" i="12"/>
  <c r="H87" i="12" s="1"/>
  <c r="I87" i="12" s="1"/>
  <c r="G88" i="9"/>
  <c r="H88" i="9" s="1"/>
  <c r="J88" i="9" s="1"/>
  <c r="G87" i="11"/>
  <c r="H87" i="11" s="1"/>
  <c r="I87" i="11" s="1"/>
  <c r="G33" i="14"/>
  <c r="H33" i="14" s="1"/>
  <c r="I33" i="14" s="1"/>
  <c r="G50" i="15"/>
  <c r="H50" i="15" s="1"/>
  <c r="I50" i="15" s="1"/>
  <c r="G50" i="11"/>
  <c r="H50" i="11" s="1"/>
  <c r="I50" i="11" s="1"/>
  <c r="G51" i="9"/>
  <c r="H51" i="9" s="1"/>
  <c r="J51" i="9" s="1"/>
  <c r="G37" i="14"/>
  <c r="H37" i="14" s="1"/>
  <c r="I37" i="14" s="1"/>
  <c r="G64" i="17"/>
  <c r="H64" i="17" s="1"/>
  <c r="I64" i="17" s="1"/>
  <c r="G64" i="16"/>
  <c r="G64" i="15"/>
  <c r="H64" i="15" s="1"/>
  <c r="I64" i="15" s="1"/>
  <c r="G64" i="11"/>
  <c r="H64" i="11" s="1"/>
  <c r="I64" i="11" s="1"/>
  <c r="G64" i="12"/>
  <c r="H64" i="12" s="1"/>
  <c r="I64" i="12" s="1"/>
  <c r="G64" i="14"/>
  <c r="H64" i="14" s="1"/>
  <c r="I64" i="14" s="1"/>
  <c r="G65" i="9"/>
  <c r="H65" i="9" s="1"/>
  <c r="J65" i="9" s="1"/>
  <c r="G65" i="8"/>
  <c r="H65" i="8" s="1"/>
  <c r="I65" i="8" s="1"/>
  <c r="C52" i="27" s="1"/>
  <c r="G64" i="10"/>
  <c r="H64" i="10" s="1"/>
  <c r="I64" i="10" s="1"/>
  <c r="K65" i="7"/>
  <c r="L65" i="7" s="1"/>
  <c r="J40" i="7"/>
  <c r="J54" i="7"/>
  <c r="J52" i="7"/>
  <c r="J118" i="7"/>
  <c r="J55" i="7"/>
  <c r="J44" i="7"/>
  <c r="J69" i="7"/>
  <c r="J58" i="7"/>
  <c r="J59" i="7"/>
  <c r="J46" i="7"/>
  <c r="G100" i="8" l="1"/>
  <c r="H100" i="8" s="1"/>
  <c r="I100" i="8" s="1"/>
  <c r="C87" i="27" s="1"/>
  <c r="G99" i="17"/>
  <c r="H99" i="17" s="1"/>
  <c r="I99" i="17" s="1"/>
  <c r="G100" i="9"/>
  <c r="H100" i="9" s="1"/>
  <c r="J100" i="9" s="1"/>
  <c r="G99" i="15"/>
  <c r="H99" i="15" s="1"/>
  <c r="I99" i="15" s="1"/>
  <c r="G99" i="11"/>
  <c r="H99" i="11" s="1"/>
  <c r="I99" i="11" s="1"/>
  <c r="G29" i="11"/>
  <c r="H29" i="11" s="1"/>
  <c r="I29" i="11" s="1"/>
  <c r="G36" i="16"/>
  <c r="G114" i="8"/>
  <c r="H114" i="8" s="1"/>
  <c r="I114" i="8" s="1"/>
  <c r="C101" i="27" s="1"/>
  <c r="G24" i="11"/>
  <c r="H24" i="11" s="1"/>
  <c r="I24" i="11" s="1"/>
  <c r="G37" i="12"/>
  <c r="H37" i="12" s="1"/>
  <c r="I37" i="12" s="1"/>
  <c r="G113" i="16"/>
  <c r="G113" i="17"/>
  <c r="H113" i="17" s="1"/>
  <c r="I113" i="17" s="1"/>
  <c r="C1516" i="20" s="1"/>
  <c r="G33" i="11"/>
  <c r="H33" i="11" s="1"/>
  <c r="I33" i="11" s="1"/>
  <c r="C311" i="20" s="1"/>
  <c r="F311" i="20" s="1"/>
  <c r="G22" i="8"/>
  <c r="H22" i="8" s="1"/>
  <c r="I22" i="8" s="1"/>
  <c r="C9" i="27" s="1"/>
  <c r="G33" i="10"/>
  <c r="H33" i="10" s="1"/>
  <c r="I33" i="10" s="1"/>
  <c r="G21" i="14"/>
  <c r="H21" i="14" s="1"/>
  <c r="I21" i="14" s="1"/>
  <c r="C133" i="20" s="1"/>
  <c r="G61" i="11"/>
  <c r="H61" i="11" s="1"/>
  <c r="I61" i="11" s="1"/>
  <c r="K111" i="7"/>
  <c r="L111" i="7" s="1"/>
  <c r="G61" i="15"/>
  <c r="H61" i="15" s="1"/>
  <c r="I61" i="15" s="1"/>
  <c r="G111" i="9"/>
  <c r="H111" i="9" s="1"/>
  <c r="K88" i="7"/>
  <c r="L88" i="7" s="1"/>
  <c r="G62" i="9"/>
  <c r="H62" i="9" s="1"/>
  <c r="G110" i="12"/>
  <c r="H110" i="12" s="1"/>
  <c r="I110" i="12" s="1"/>
  <c r="C1467" i="20" s="1"/>
  <c r="E1467" i="20" s="1"/>
  <c r="G91" i="8"/>
  <c r="H91" i="8" s="1"/>
  <c r="I91" i="8" s="1"/>
  <c r="C78" i="27" s="1"/>
  <c r="G93" i="11"/>
  <c r="H93" i="11" s="1"/>
  <c r="I93" i="11" s="1"/>
  <c r="C1211" i="20" s="1"/>
  <c r="E1211" i="20" s="1"/>
  <c r="G91" i="9"/>
  <c r="H91" i="9" s="1"/>
  <c r="G90" i="16"/>
  <c r="G90" i="10"/>
  <c r="H90" i="10" s="1"/>
  <c r="I90" i="10" s="1"/>
  <c r="C1164" i="20" s="1"/>
  <c r="G90" i="14"/>
  <c r="H90" i="14" s="1"/>
  <c r="I90" i="14" s="1"/>
  <c r="O78" i="27" s="1"/>
  <c r="G87" i="17"/>
  <c r="H87" i="17" s="1"/>
  <c r="I87" i="17" s="1"/>
  <c r="U75" i="27" s="1"/>
  <c r="G90" i="12"/>
  <c r="H90" i="12" s="1"/>
  <c r="I90" i="12" s="1"/>
  <c r="C1167" i="20" s="1"/>
  <c r="G50" i="14"/>
  <c r="H50" i="14" s="1"/>
  <c r="I50" i="14" s="1"/>
  <c r="C568" i="20" s="1"/>
  <c r="G50" i="12"/>
  <c r="H50" i="12" s="1"/>
  <c r="I50" i="12" s="1"/>
  <c r="M38" i="27" s="1"/>
  <c r="G92" i="16"/>
  <c r="O92" i="16" s="1"/>
  <c r="G62" i="8"/>
  <c r="H62" i="8" s="1"/>
  <c r="I62" i="8" s="1"/>
  <c r="C49" i="27" s="1"/>
  <c r="G82" i="9"/>
  <c r="H82" i="9" s="1"/>
  <c r="G81" i="11"/>
  <c r="H81" i="11" s="1"/>
  <c r="I81" i="11" s="1"/>
  <c r="C1031" i="20" s="1"/>
  <c r="G93" i="16"/>
  <c r="G97" i="14"/>
  <c r="H97" i="14" s="1"/>
  <c r="I97" i="14" s="1"/>
  <c r="C1273" i="20" s="1"/>
  <c r="G97" i="11"/>
  <c r="H97" i="11" s="1"/>
  <c r="I97" i="11" s="1"/>
  <c r="K85" i="27" s="1"/>
  <c r="G98" i="8"/>
  <c r="H98" i="8" s="1"/>
  <c r="I98" i="8" s="1"/>
  <c r="C85" i="27" s="1"/>
  <c r="G97" i="17"/>
  <c r="H97" i="17" s="1"/>
  <c r="I97" i="17" s="1"/>
  <c r="G80" i="9"/>
  <c r="H80" i="9" s="1"/>
  <c r="G124" i="12"/>
  <c r="H124" i="12" s="1"/>
  <c r="I124" i="12" s="1"/>
  <c r="C1677" i="20" s="1"/>
  <c r="G21" i="15"/>
  <c r="H21" i="15" s="1"/>
  <c r="I21" i="15" s="1"/>
  <c r="Q9" i="27" s="1"/>
  <c r="G93" i="17"/>
  <c r="H93" i="17" s="1"/>
  <c r="I93" i="17" s="1"/>
  <c r="C1216" i="20" s="1"/>
  <c r="G98" i="9"/>
  <c r="H98" i="9" s="1"/>
  <c r="G97" i="16"/>
  <c r="O97" i="16" s="1"/>
  <c r="G121" i="8"/>
  <c r="H121" i="8" s="1"/>
  <c r="I121" i="8" s="1"/>
  <c r="C108" i="27" s="1"/>
  <c r="K32" i="7"/>
  <c r="L32" i="7" s="1"/>
  <c r="G31" i="10"/>
  <c r="H31" i="10" s="1"/>
  <c r="I31" i="10" s="1"/>
  <c r="G19" i="27" s="1"/>
  <c r="K124" i="7"/>
  <c r="L124" i="7" s="1"/>
  <c r="G31" i="16"/>
  <c r="G124" i="8"/>
  <c r="H124" i="8" s="1"/>
  <c r="I124" i="8" s="1"/>
  <c r="C111" i="27" s="1"/>
  <c r="G31" i="17"/>
  <c r="H31" i="17" s="1"/>
  <c r="I31" i="17" s="1"/>
  <c r="U19" i="27" s="1"/>
  <c r="G38" i="11"/>
  <c r="H38" i="11" s="1"/>
  <c r="I38" i="11" s="1"/>
  <c r="C386" i="20" s="1"/>
  <c r="G61" i="16"/>
  <c r="O61" i="16" s="1"/>
  <c r="G110" i="10"/>
  <c r="H110" i="10" s="1"/>
  <c r="I110" i="10" s="1"/>
  <c r="C1464" i="20" s="1"/>
  <c r="G121" i="11"/>
  <c r="H121" i="11" s="1"/>
  <c r="I121" i="11" s="1"/>
  <c r="C1631" i="20" s="1"/>
  <c r="G79" i="11"/>
  <c r="H79" i="11" s="1"/>
  <c r="I79" i="11" s="1"/>
  <c r="K67" i="27" s="1"/>
  <c r="K105" i="7"/>
  <c r="L105" i="7" s="1"/>
  <c r="G79" i="16"/>
  <c r="G105" i="9"/>
  <c r="H105" i="9" s="1"/>
  <c r="G94" i="9"/>
  <c r="H94" i="9" s="1"/>
  <c r="G110" i="11"/>
  <c r="H110" i="11" s="1"/>
  <c r="I110" i="11" s="1"/>
  <c r="C1466" i="20" s="1"/>
  <c r="G114" i="15"/>
  <c r="H114" i="15" s="1"/>
  <c r="I114" i="15" s="1"/>
  <c r="C1529" i="20" s="1"/>
  <c r="G93" i="12"/>
  <c r="H93" i="12" s="1"/>
  <c r="I93" i="12" s="1"/>
  <c r="M81" i="27" s="1"/>
  <c r="G110" i="17"/>
  <c r="H110" i="17" s="1"/>
  <c r="I110" i="17" s="1"/>
  <c r="C1471" i="20" s="1"/>
  <c r="K43" i="7"/>
  <c r="L43" i="7" s="1"/>
  <c r="K98" i="7"/>
  <c r="L98" i="7" s="1"/>
  <c r="G97" i="10"/>
  <c r="H97" i="10" s="1"/>
  <c r="I97" i="10" s="1"/>
  <c r="C1269" i="20" s="1"/>
  <c r="G93" i="14"/>
  <c r="H93" i="14" s="1"/>
  <c r="I93" i="14" s="1"/>
  <c r="O81" i="27" s="1"/>
  <c r="G29" i="17"/>
  <c r="H29" i="17" s="1"/>
  <c r="I29" i="17" s="1"/>
  <c r="C256" i="20" s="1"/>
  <c r="G35" i="10"/>
  <c r="H35" i="10" s="1"/>
  <c r="I35" i="10" s="1"/>
  <c r="C339" i="20" s="1"/>
  <c r="G61" i="14"/>
  <c r="H61" i="14" s="1"/>
  <c r="I61" i="14" s="1"/>
  <c r="C733" i="20" s="1"/>
  <c r="G97" i="15"/>
  <c r="H97" i="15" s="1"/>
  <c r="I97" i="15" s="1"/>
  <c r="C1274" i="20" s="1"/>
  <c r="G61" i="10"/>
  <c r="H61" i="10" s="1"/>
  <c r="I61" i="10" s="1"/>
  <c r="C729" i="20" s="1"/>
  <c r="K38" i="7"/>
  <c r="L38" i="7" s="1"/>
  <c r="G35" i="12"/>
  <c r="H35" i="12" s="1"/>
  <c r="I35" i="12" s="1"/>
  <c r="C342" i="20" s="1"/>
  <c r="G37" i="16"/>
  <c r="H37" i="16" s="1"/>
  <c r="I37" i="16" s="1"/>
  <c r="G35" i="14"/>
  <c r="H35" i="14" s="1"/>
  <c r="I35" i="14" s="1"/>
  <c r="C343" i="20" s="1"/>
  <c r="G35" i="16"/>
  <c r="H35" i="16" s="1"/>
  <c r="I35" i="16" s="1"/>
  <c r="K21" i="7"/>
  <c r="L21" i="7" s="1"/>
  <c r="G20" i="14"/>
  <c r="H20" i="14" s="1"/>
  <c r="I20" i="14" s="1"/>
  <c r="O8" i="27" s="1"/>
  <c r="G61" i="17"/>
  <c r="H61" i="17" s="1"/>
  <c r="I61" i="17" s="1"/>
  <c r="U49" i="27" s="1"/>
  <c r="G21" i="8"/>
  <c r="H21" i="8" s="1"/>
  <c r="I21" i="8" s="1"/>
  <c r="C8" i="27" s="1"/>
  <c r="G20" i="10"/>
  <c r="H20" i="10" s="1"/>
  <c r="I20" i="10" s="1"/>
  <c r="G8" i="27" s="1"/>
  <c r="G94" i="8"/>
  <c r="H94" i="8" s="1"/>
  <c r="I94" i="8" s="1"/>
  <c r="C81" i="27" s="1"/>
  <c r="G20" i="12"/>
  <c r="H20" i="12" s="1"/>
  <c r="I20" i="12" s="1"/>
  <c r="M8" i="27" s="1"/>
  <c r="G42" i="10"/>
  <c r="H42" i="10" s="1"/>
  <c r="I42" i="10" s="1"/>
  <c r="C444" i="20" s="1"/>
  <c r="G93" i="10"/>
  <c r="H93" i="10" s="1"/>
  <c r="I93" i="10" s="1"/>
  <c r="G81" i="27" s="1"/>
  <c r="G20" i="16"/>
  <c r="G20" i="17"/>
  <c r="H20" i="17" s="1"/>
  <c r="I20" i="17" s="1"/>
  <c r="U8" i="27" s="1"/>
  <c r="G90" i="15"/>
  <c r="H90" i="15" s="1"/>
  <c r="I90" i="15" s="1"/>
  <c r="C1169" i="20" s="1"/>
  <c r="G73" i="15"/>
  <c r="H73" i="15" s="1"/>
  <c r="I73" i="15" s="1"/>
  <c r="Q61" i="27" s="1"/>
  <c r="G122" i="12"/>
  <c r="H122" i="12" s="1"/>
  <c r="I122" i="12" s="1"/>
  <c r="C1647" i="20" s="1"/>
  <c r="G31" i="11"/>
  <c r="H31" i="11" s="1"/>
  <c r="I31" i="11" s="1"/>
  <c r="C281" i="20" s="1"/>
  <c r="G82" i="16"/>
  <c r="O82" i="16" s="1"/>
  <c r="G42" i="14"/>
  <c r="H42" i="14" s="1"/>
  <c r="I42" i="14" s="1"/>
  <c r="O30" i="27" s="1"/>
  <c r="G93" i="15"/>
  <c r="H93" i="15" s="1"/>
  <c r="I93" i="15" s="1"/>
  <c r="C1214" i="20" s="1"/>
  <c r="K20" i="7"/>
  <c r="L20" i="7" s="1"/>
  <c r="G100" i="11"/>
  <c r="H100" i="11" s="1"/>
  <c r="I100" i="11" s="1"/>
  <c r="C1316" i="20" s="1"/>
  <c r="G60" i="10"/>
  <c r="H60" i="10" s="1"/>
  <c r="I60" i="10" s="1"/>
  <c r="G48" i="27" s="1"/>
  <c r="G108" i="9"/>
  <c r="H108" i="9" s="1"/>
  <c r="G107" i="10"/>
  <c r="H107" i="10" s="1"/>
  <c r="I107" i="10" s="1"/>
  <c r="C1419" i="20" s="1"/>
  <c r="G107" i="12"/>
  <c r="H107" i="12" s="1"/>
  <c r="I107" i="12" s="1"/>
  <c r="C1422" i="20" s="1"/>
  <c r="G19" i="12"/>
  <c r="H19" i="12" s="1"/>
  <c r="I19" i="12" s="1"/>
  <c r="C102" i="20" s="1"/>
  <c r="G61" i="9"/>
  <c r="H61" i="9" s="1"/>
  <c r="K67" i="7"/>
  <c r="L67" i="7" s="1"/>
  <c r="G107" i="16"/>
  <c r="G19" i="15"/>
  <c r="H19" i="15" s="1"/>
  <c r="I19" i="15" s="1"/>
  <c r="Q7" i="27" s="1"/>
  <c r="G42" i="15"/>
  <c r="H42" i="15" s="1"/>
  <c r="I42" i="15" s="1"/>
  <c r="C449" i="20" s="1"/>
  <c r="G107" i="11"/>
  <c r="H107" i="11" s="1"/>
  <c r="I107" i="11" s="1"/>
  <c r="K95" i="27" s="1"/>
  <c r="K61" i="7"/>
  <c r="L61" i="7" s="1"/>
  <c r="G66" i="16"/>
  <c r="G61" i="8"/>
  <c r="H61" i="8" s="1"/>
  <c r="I61" i="8" s="1"/>
  <c r="C48" i="27" s="1"/>
  <c r="G60" i="11"/>
  <c r="H60" i="11" s="1"/>
  <c r="I60" i="11" s="1"/>
  <c r="C716" i="20" s="1"/>
  <c r="G60" i="14"/>
  <c r="H60" i="14" s="1"/>
  <c r="I60" i="14" s="1"/>
  <c r="O48" i="27" s="1"/>
  <c r="G105" i="8"/>
  <c r="H105" i="8" s="1"/>
  <c r="I105" i="8" s="1"/>
  <c r="C92" i="27" s="1"/>
  <c r="G123" i="16"/>
  <c r="O123" i="16" s="1"/>
  <c r="K109" i="7"/>
  <c r="L109" i="7" s="1"/>
  <c r="G60" i="17"/>
  <c r="H60" i="17" s="1"/>
  <c r="I60" i="17" s="1"/>
  <c r="C721" i="20" s="1"/>
  <c r="G104" i="12"/>
  <c r="H104" i="12" s="1"/>
  <c r="I104" i="12" s="1"/>
  <c r="M92" i="27" s="1"/>
  <c r="G110" i="14"/>
  <c r="H110" i="14" s="1"/>
  <c r="I110" i="14" s="1"/>
  <c r="C1468" i="20" s="1"/>
  <c r="G74" i="8"/>
  <c r="H74" i="8" s="1"/>
  <c r="I74" i="8" s="1"/>
  <c r="C61" i="27" s="1"/>
  <c r="G108" i="14"/>
  <c r="H108" i="14" s="1"/>
  <c r="I108" i="14" s="1"/>
  <c r="C1438" i="20" s="1"/>
  <c r="G50" i="10"/>
  <c r="H50" i="10" s="1"/>
  <c r="I50" i="10" s="1"/>
  <c r="C564" i="20" s="1"/>
  <c r="G81" i="15"/>
  <c r="H81" i="15" s="1"/>
  <c r="I81" i="15" s="1"/>
  <c r="Q69" i="27" s="1"/>
  <c r="G50" i="17"/>
  <c r="H50" i="17" s="1"/>
  <c r="I50" i="17" s="1"/>
  <c r="C571" i="20" s="1"/>
  <c r="G27" i="9"/>
  <c r="H27" i="9" s="1"/>
  <c r="G26" i="10"/>
  <c r="H26" i="10" s="1"/>
  <c r="I26" i="10" s="1"/>
  <c r="G14" i="27" s="1"/>
  <c r="G26" i="17"/>
  <c r="H26" i="17" s="1"/>
  <c r="I26" i="17" s="1"/>
  <c r="U14" i="27" s="1"/>
  <c r="G26" i="11"/>
  <c r="H26" i="11" s="1"/>
  <c r="I26" i="11" s="1"/>
  <c r="K14" i="27" s="1"/>
  <c r="G126" i="17"/>
  <c r="H126" i="17" s="1"/>
  <c r="I126" i="17" s="1"/>
  <c r="U114" i="27" s="1"/>
  <c r="G19" i="8"/>
  <c r="H19" i="8" s="1"/>
  <c r="I19" i="8" s="1"/>
  <c r="C6" i="27" s="1"/>
  <c r="G126" i="15"/>
  <c r="H126" i="15" s="1"/>
  <c r="I126" i="15" s="1"/>
  <c r="C1709" i="20" s="1"/>
  <c r="G18" i="10"/>
  <c r="H18" i="10" s="1"/>
  <c r="I18" i="10" s="1"/>
  <c r="G6" i="27" s="1"/>
  <c r="G18" i="16"/>
  <c r="G76" i="8"/>
  <c r="H76" i="8" s="1"/>
  <c r="I76" i="8" s="1"/>
  <c r="C63" i="27" s="1"/>
  <c r="G74" i="9"/>
  <c r="H74" i="9" s="1"/>
  <c r="G75" i="16"/>
  <c r="G123" i="9"/>
  <c r="H123" i="9" s="1"/>
  <c r="G57" i="8"/>
  <c r="H57" i="8" s="1"/>
  <c r="I57" i="8" s="1"/>
  <c r="C44" i="27" s="1"/>
  <c r="G75" i="10"/>
  <c r="H75" i="10" s="1"/>
  <c r="I75" i="10" s="1"/>
  <c r="C939" i="20" s="1"/>
  <c r="K126" i="7"/>
  <c r="L126" i="7" s="1"/>
  <c r="G126" i="8"/>
  <c r="H126" i="8" s="1"/>
  <c r="I126" i="8" s="1"/>
  <c r="C113" i="27" s="1"/>
  <c r="G126" i="9"/>
  <c r="H126" i="9" s="1"/>
  <c r="K51" i="7"/>
  <c r="L51" i="7" s="1"/>
  <c r="G107" i="17"/>
  <c r="H107" i="17" s="1"/>
  <c r="I107" i="17" s="1"/>
  <c r="U95" i="27" s="1"/>
  <c r="G82" i="12"/>
  <c r="H82" i="12" s="1"/>
  <c r="I82" i="12" s="1"/>
  <c r="M70" i="27" s="1"/>
  <c r="K82" i="7"/>
  <c r="L82" i="7" s="1"/>
  <c r="G122" i="11"/>
  <c r="H122" i="11" s="1"/>
  <c r="I122" i="11" s="1"/>
  <c r="K110" i="27" s="1"/>
  <c r="G99" i="9"/>
  <c r="H99" i="9" s="1"/>
  <c r="G47" i="8"/>
  <c r="H47" i="8" s="1"/>
  <c r="I47" i="8" s="1"/>
  <c r="C34" i="27" s="1"/>
  <c r="C643" i="20"/>
  <c r="M643" i="20" s="1"/>
  <c r="O43" i="27"/>
  <c r="C1092" i="20"/>
  <c r="G1092" i="20" s="1"/>
  <c r="M73" i="27"/>
  <c r="C193" i="20"/>
  <c r="E193" i="20" s="1"/>
  <c r="O13" i="27"/>
  <c r="G124" i="15"/>
  <c r="H124" i="15" s="1"/>
  <c r="I124" i="15" s="1"/>
  <c r="C194" i="20"/>
  <c r="I194" i="20" s="1"/>
  <c r="Q13" i="27"/>
  <c r="K31" i="7"/>
  <c r="L31" i="7" s="1"/>
  <c r="G15" i="14"/>
  <c r="K16" i="7"/>
  <c r="L16" i="7" s="1"/>
  <c r="C1107" i="20"/>
  <c r="K1107" i="20" s="1"/>
  <c r="M74" i="27"/>
  <c r="C1224" i="20"/>
  <c r="M1224" i="20" s="1"/>
  <c r="G82" i="27"/>
  <c r="C196" i="20"/>
  <c r="J196" i="20" s="1"/>
  <c r="U13" i="27"/>
  <c r="G30" i="12"/>
  <c r="H30" i="12" s="1"/>
  <c r="I30" i="12" s="1"/>
  <c r="C1544" i="20"/>
  <c r="H1544" i="20" s="1"/>
  <c r="Q103" i="27"/>
  <c r="C429" i="20"/>
  <c r="O429" i="20" s="1"/>
  <c r="G29" i="27"/>
  <c r="C251" i="20"/>
  <c r="D251" i="20" s="1"/>
  <c r="K17" i="27"/>
  <c r="C1693" i="20"/>
  <c r="G1693" i="20" s="1"/>
  <c r="O113" i="27"/>
  <c r="C1651" i="20"/>
  <c r="U110" i="27"/>
  <c r="C162" i="20"/>
  <c r="F162" i="20" s="1"/>
  <c r="M11" i="27"/>
  <c r="C1051" i="20"/>
  <c r="I1051" i="20" s="1"/>
  <c r="U70" i="27"/>
  <c r="C938" i="20"/>
  <c r="H938" i="20" s="1"/>
  <c r="E63" i="27"/>
  <c r="G123" i="10"/>
  <c r="H123" i="10" s="1"/>
  <c r="I123" i="10" s="1"/>
  <c r="G34" i="11"/>
  <c r="H34" i="11" s="1"/>
  <c r="I34" i="11" s="1"/>
  <c r="C144" i="20"/>
  <c r="M144" i="20" s="1"/>
  <c r="G10" i="27"/>
  <c r="C717" i="20"/>
  <c r="J717" i="20" s="1"/>
  <c r="M48" i="27"/>
  <c r="C106" i="20"/>
  <c r="H106" i="20" s="1"/>
  <c r="U7" i="27"/>
  <c r="C143" i="20"/>
  <c r="E143" i="20" s="1"/>
  <c r="E10" i="27"/>
  <c r="C1664" i="20"/>
  <c r="I1664" i="20" s="1"/>
  <c r="Q111" i="27"/>
  <c r="C1272" i="20"/>
  <c r="G1272" i="20" s="1"/>
  <c r="M85" i="27"/>
  <c r="C373" i="20"/>
  <c r="O373" i="20" s="1"/>
  <c r="O25" i="27"/>
  <c r="C1501" i="20"/>
  <c r="D1501" i="20" s="1"/>
  <c r="U100" i="27"/>
  <c r="C778" i="20"/>
  <c r="I778" i="20" s="1"/>
  <c r="O52" i="27"/>
  <c r="C563" i="20"/>
  <c r="M563" i="20" s="1"/>
  <c r="E38" i="27"/>
  <c r="C777" i="20"/>
  <c r="M777" i="20" s="1"/>
  <c r="M52" i="27"/>
  <c r="C414" i="20"/>
  <c r="L414" i="20" s="1"/>
  <c r="G28" i="27"/>
  <c r="G123" i="12"/>
  <c r="H123" i="12" s="1"/>
  <c r="I123" i="12" s="1"/>
  <c r="C146" i="20"/>
  <c r="N146" i="20" s="1"/>
  <c r="K10" i="27"/>
  <c r="C1526" i="20"/>
  <c r="H1526" i="20" s="1"/>
  <c r="K102" i="27"/>
  <c r="C283" i="20"/>
  <c r="N283" i="20" s="1"/>
  <c r="O19" i="27"/>
  <c r="C773" i="20"/>
  <c r="E773" i="20" s="1"/>
  <c r="E52" i="27"/>
  <c r="C776" i="20"/>
  <c r="M776" i="20" s="1"/>
  <c r="K52" i="27"/>
  <c r="C566" i="20"/>
  <c r="M566" i="20" s="1"/>
  <c r="K38" i="27"/>
  <c r="C416" i="20"/>
  <c r="K416" i="20" s="1"/>
  <c r="K28" i="27"/>
  <c r="C147" i="20"/>
  <c r="H147" i="20" s="1"/>
  <c r="M10" i="27"/>
  <c r="C1319" i="20"/>
  <c r="Q88" i="27"/>
  <c r="C443" i="20"/>
  <c r="D443" i="20" s="1"/>
  <c r="E30" i="27"/>
  <c r="C732" i="20"/>
  <c r="L732" i="20" s="1"/>
  <c r="M49" i="27"/>
  <c r="C119" i="20"/>
  <c r="D119" i="20" s="1"/>
  <c r="Q8" i="27"/>
  <c r="C779" i="20"/>
  <c r="O779" i="20" s="1"/>
  <c r="Q52" i="27"/>
  <c r="C1062" i="20"/>
  <c r="K1062" i="20" s="1"/>
  <c r="M71" i="27"/>
  <c r="C237" i="20"/>
  <c r="H237" i="20" s="1"/>
  <c r="M16" i="27"/>
  <c r="C148" i="20"/>
  <c r="N148" i="20" s="1"/>
  <c r="O10" i="27"/>
  <c r="C269" i="20"/>
  <c r="O269" i="20" s="1"/>
  <c r="Q18" i="27"/>
  <c r="C511" i="20"/>
  <c r="E511" i="20" s="1"/>
  <c r="U34" i="27"/>
  <c r="C384" i="20"/>
  <c r="D384" i="20" s="1"/>
  <c r="G26" i="27"/>
  <c r="C1381" i="20"/>
  <c r="K1381" i="20" s="1"/>
  <c r="U92" i="27"/>
  <c r="C149" i="20"/>
  <c r="K149" i="20" s="1"/>
  <c r="Q10" i="27"/>
  <c r="C806" i="20"/>
  <c r="F806" i="20" s="1"/>
  <c r="K54" i="27"/>
  <c r="C1617" i="20"/>
  <c r="H1617" i="20" s="1"/>
  <c r="M108" i="27"/>
  <c r="C926" i="20"/>
  <c r="I926" i="20" s="1"/>
  <c r="K62" i="27"/>
  <c r="C236" i="20"/>
  <c r="E236" i="20" s="1"/>
  <c r="K16" i="27"/>
  <c r="G42" i="16"/>
  <c r="H42" i="16" s="1"/>
  <c r="I42" i="16" s="1"/>
  <c r="C151" i="20"/>
  <c r="G151" i="20" s="1"/>
  <c r="U10" i="27"/>
  <c r="C1336" i="20"/>
  <c r="D1336" i="20" s="1"/>
  <c r="U89" i="27"/>
  <c r="C766" i="20"/>
  <c r="E766" i="20" s="1"/>
  <c r="U51" i="27"/>
  <c r="C747" i="20"/>
  <c r="N747" i="20" s="1"/>
  <c r="M50" i="27"/>
  <c r="C372" i="20"/>
  <c r="L372" i="20" s="1"/>
  <c r="M25" i="27"/>
  <c r="K21" i="27"/>
  <c r="C309" i="20"/>
  <c r="D309" i="20" s="1"/>
  <c r="G21" i="27"/>
  <c r="C824" i="20"/>
  <c r="N824" i="20" s="1"/>
  <c r="Q55" i="27"/>
  <c r="C1606" i="20"/>
  <c r="J1606" i="20" s="1"/>
  <c r="U107" i="27"/>
  <c r="C308" i="20"/>
  <c r="I308" i="20" s="1"/>
  <c r="E21" i="27"/>
  <c r="C537" i="20"/>
  <c r="K537" i="20" s="1"/>
  <c r="M36" i="27"/>
  <c r="C1346" i="20"/>
  <c r="F1346" i="20" s="1"/>
  <c r="K90" i="27"/>
  <c r="C371" i="20"/>
  <c r="I371" i="20" s="1"/>
  <c r="K25" i="27"/>
  <c r="C234" i="20"/>
  <c r="K234" i="20" s="1"/>
  <c r="G16" i="27"/>
  <c r="C927" i="20"/>
  <c r="G927" i="20" s="1"/>
  <c r="M62" i="27"/>
  <c r="C1453" i="20"/>
  <c r="K1453" i="20" s="1"/>
  <c r="O97" i="27"/>
  <c r="C1298" i="20"/>
  <c r="K1298" i="20" s="1"/>
  <c r="E87" i="27"/>
  <c r="C176" i="20"/>
  <c r="N176" i="20" s="1"/>
  <c r="K12" i="27"/>
  <c r="C329" i="20"/>
  <c r="E329" i="20" s="1"/>
  <c r="Q22" i="27"/>
  <c r="C1633" i="20"/>
  <c r="K1633" i="20" s="1"/>
  <c r="O109" i="27"/>
  <c r="U98" i="27"/>
  <c r="C1508" i="20"/>
  <c r="E1508" i="20" s="1"/>
  <c r="E101" i="27"/>
  <c r="C916" i="20"/>
  <c r="O916" i="20" s="1"/>
  <c r="U61" i="27"/>
  <c r="C1469" i="20"/>
  <c r="L1469" i="20" s="1"/>
  <c r="Q98" i="27"/>
  <c r="C999" i="20"/>
  <c r="K999" i="20" s="1"/>
  <c r="G67" i="27"/>
  <c r="C1171" i="20"/>
  <c r="L1171" i="20" s="1"/>
  <c r="U78" i="27"/>
  <c r="C774" i="20"/>
  <c r="G774" i="20" s="1"/>
  <c r="G52" i="27"/>
  <c r="C781" i="20"/>
  <c r="M781" i="20" s="1"/>
  <c r="U52" i="27"/>
  <c r="C569" i="20"/>
  <c r="H569" i="20" s="1"/>
  <c r="Q38" i="27"/>
  <c r="C731" i="20"/>
  <c r="N731" i="20" s="1"/>
  <c r="K49" i="27"/>
  <c r="C1118" i="20"/>
  <c r="L1118" i="20" s="1"/>
  <c r="E75" i="27"/>
  <c r="C1632" i="20"/>
  <c r="L1632" i="20" s="1"/>
  <c r="M109" i="27"/>
  <c r="C1029" i="20"/>
  <c r="F1029" i="20" s="1"/>
  <c r="G69" i="27"/>
  <c r="C734" i="20"/>
  <c r="K734" i="20" s="1"/>
  <c r="Q49" i="27"/>
  <c r="C1079" i="20"/>
  <c r="I1079" i="20" s="1"/>
  <c r="Q72" i="27"/>
  <c r="C1636" i="20"/>
  <c r="H1636" i="20" s="1"/>
  <c r="U109" i="27"/>
  <c r="G39" i="8"/>
  <c r="H39" i="8" s="1"/>
  <c r="I39" i="8" s="1"/>
  <c r="C26" i="27" s="1"/>
  <c r="C796" i="20"/>
  <c r="M796" i="20" s="1"/>
  <c r="U53" i="27"/>
  <c r="C1629" i="20"/>
  <c r="G1629" i="20" s="1"/>
  <c r="G109" i="27"/>
  <c r="C132" i="20"/>
  <c r="M132" i="20" s="1"/>
  <c r="M9" i="27"/>
  <c r="C1514" i="20"/>
  <c r="O1514" i="20" s="1"/>
  <c r="Q101" i="27"/>
  <c r="C1287" i="20"/>
  <c r="M1287" i="20" s="1"/>
  <c r="M86" i="27"/>
  <c r="C1433" i="20"/>
  <c r="J1433" i="20" s="1"/>
  <c r="E96" i="27"/>
  <c r="C1288" i="20"/>
  <c r="M1288" i="20" s="1"/>
  <c r="O86" i="27"/>
  <c r="C191" i="20"/>
  <c r="H191" i="20" s="1"/>
  <c r="K13" i="27"/>
  <c r="C1276" i="20"/>
  <c r="H1276" i="20" s="1"/>
  <c r="U85" i="27"/>
  <c r="C1123" i="20"/>
  <c r="I1123" i="20" s="1"/>
  <c r="O75" i="27"/>
  <c r="G23" i="11"/>
  <c r="H23" i="11" s="1"/>
  <c r="I23" i="11" s="1"/>
  <c r="G38" i="12"/>
  <c r="H38" i="12" s="1"/>
  <c r="I38" i="12" s="1"/>
  <c r="C1291" i="20"/>
  <c r="J1291" i="20" s="1"/>
  <c r="U86" i="27"/>
  <c r="C1223" i="20"/>
  <c r="M1223" i="20" s="1"/>
  <c r="E82" i="27"/>
  <c r="C931" i="20"/>
  <c r="K931" i="20" s="1"/>
  <c r="U62" i="27"/>
  <c r="C238" i="20"/>
  <c r="K238" i="20" s="1"/>
  <c r="O16" i="27"/>
  <c r="C929" i="20"/>
  <c r="I929" i="20" s="1"/>
  <c r="Q62" i="27"/>
  <c r="C1301" i="20"/>
  <c r="O1301" i="20" s="1"/>
  <c r="K87" i="27"/>
  <c r="C1511" i="20"/>
  <c r="L1511" i="20" s="1"/>
  <c r="K101" i="27"/>
  <c r="C279" i="20"/>
  <c r="O279" i="20" s="1"/>
  <c r="C1306" i="20"/>
  <c r="D1306" i="20" s="1"/>
  <c r="U87" i="27"/>
  <c r="C1121" i="20"/>
  <c r="E1121" i="20" s="1"/>
  <c r="K75" i="27"/>
  <c r="C1077" i="20"/>
  <c r="K1077" i="20" s="1"/>
  <c r="M72" i="27"/>
  <c r="G60" i="15"/>
  <c r="H60" i="15" s="1"/>
  <c r="I60" i="15" s="1"/>
  <c r="C1126" i="20"/>
  <c r="E1126" i="20" s="1"/>
  <c r="G127" i="9"/>
  <c r="H127" i="9" s="1"/>
  <c r="J127" i="9" s="1"/>
  <c r="C129" i="20"/>
  <c r="M129" i="20" s="1"/>
  <c r="G9" i="27"/>
  <c r="C188" i="20"/>
  <c r="E188" i="20" s="1"/>
  <c r="E13" i="27"/>
  <c r="G115" i="9"/>
  <c r="H115" i="9" s="1"/>
  <c r="J115" i="9" s="1"/>
  <c r="C1289" i="20"/>
  <c r="O1289" i="20" s="1"/>
  <c r="Q86" i="27"/>
  <c r="C882" i="20"/>
  <c r="K882" i="20" s="1"/>
  <c r="M59" i="27"/>
  <c r="C1063" i="20"/>
  <c r="N1063" i="20" s="1"/>
  <c r="O71" i="27"/>
  <c r="C1499" i="20"/>
  <c r="G1499" i="20" s="1"/>
  <c r="Q100" i="27"/>
  <c r="C413" i="20"/>
  <c r="H413" i="20" s="1"/>
  <c r="E28" i="27"/>
  <c r="C313" i="20"/>
  <c r="D313" i="20" s="1"/>
  <c r="O21" i="27"/>
  <c r="C1304" i="20"/>
  <c r="G1304" i="20" s="1"/>
  <c r="Q87" i="27"/>
  <c r="C1122" i="20"/>
  <c r="J1122" i="20" s="1"/>
  <c r="M75" i="27"/>
  <c r="C1124" i="20"/>
  <c r="H1124" i="20" s="1"/>
  <c r="Q75" i="27"/>
  <c r="G124" i="10"/>
  <c r="H124" i="10" s="1"/>
  <c r="I124" i="10" s="1"/>
  <c r="G127" i="8"/>
  <c r="H127" i="8" s="1"/>
  <c r="I127" i="8" s="1"/>
  <c r="C114" i="27" s="1"/>
  <c r="G21" i="17"/>
  <c r="H21" i="17" s="1"/>
  <c r="I21" i="17" s="1"/>
  <c r="C192" i="20"/>
  <c r="M192" i="20" s="1"/>
  <c r="M13" i="27"/>
  <c r="G114" i="14"/>
  <c r="H114" i="14" s="1"/>
  <c r="I114" i="14" s="1"/>
  <c r="K47" i="7"/>
  <c r="L47" i="7" s="1"/>
  <c r="C518" i="20"/>
  <c r="O518" i="20" s="1"/>
  <c r="E35" i="27"/>
  <c r="C359" i="20"/>
  <c r="H359" i="20" s="1"/>
  <c r="Q24" i="27"/>
  <c r="C179" i="20"/>
  <c r="J179" i="20" s="1"/>
  <c r="Q12" i="27"/>
  <c r="G23" i="14"/>
  <c r="H23" i="14" s="1"/>
  <c r="I23" i="14" s="1"/>
  <c r="G31" i="8"/>
  <c r="H31" i="8" s="1"/>
  <c r="I31" i="8" s="1"/>
  <c r="C18" i="27" s="1"/>
  <c r="G19" i="10"/>
  <c r="H19" i="10" s="1"/>
  <c r="I19" i="10" s="1"/>
  <c r="G34" i="14"/>
  <c r="H34" i="14" s="1"/>
  <c r="I34" i="14" s="1"/>
  <c r="G30" i="17"/>
  <c r="H30" i="17" s="1"/>
  <c r="I30" i="17" s="1"/>
  <c r="G94" i="14"/>
  <c r="H94" i="14" s="1"/>
  <c r="I94" i="14" s="1"/>
  <c r="G73" i="16"/>
  <c r="O73" i="16" s="1"/>
  <c r="G79" i="15"/>
  <c r="H79" i="15" s="1"/>
  <c r="I79" i="15" s="1"/>
  <c r="G94" i="11"/>
  <c r="H94" i="11" s="1"/>
  <c r="I94" i="11" s="1"/>
  <c r="G94" i="12"/>
  <c r="H94" i="12" s="1"/>
  <c r="I94" i="12" s="1"/>
  <c r="G57" i="9"/>
  <c r="H57" i="9" s="1"/>
  <c r="J57" i="9" s="1"/>
  <c r="G15" i="11"/>
  <c r="H15" i="11" s="1"/>
  <c r="K68" i="7"/>
  <c r="L68" i="7" s="1"/>
  <c r="G34" i="10"/>
  <c r="H34" i="10" s="1"/>
  <c r="I34" i="10" s="1"/>
  <c r="G100" i="14"/>
  <c r="H100" i="14" s="1"/>
  <c r="I100" i="14" s="1"/>
  <c r="G56" i="15"/>
  <c r="H56" i="15" s="1"/>
  <c r="I56" i="15" s="1"/>
  <c r="G15" i="10"/>
  <c r="H15" i="10" s="1"/>
  <c r="G56" i="10"/>
  <c r="H56" i="10" s="1"/>
  <c r="I56" i="10" s="1"/>
  <c r="G41" i="17"/>
  <c r="H41" i="17" s="1"/>
  <c r="I41" i="17" s="1"/>
  <c r="G33" i="12"/>
  <c r="H33" i="12" s="1"/>
  <c r="I33" i="12" s="1"/>
  <c r="G19" i="9"/>
  <c r="H19" i="9" s="1"/>
  <c r="J19" i="9" s="1"/>
  <c r="G124" i="14"/>
  <c r="H124" i="14" s="1"/>
  <c r="I124" i="14" s="1"/>
  <c r="G48" i="14"/>
  <c r="H48" i="14" s="1"/>
  <c r="I48" i="14" s="1"/>
  <c r="G102" i="14"/>
  <c r="H102" i="14" s="1"/>
  <c r="I102" i="14" s="1"/>
  <c r="G123" i="8"/>
  <c r="H123" i="8" s="1"/>
  <c r="I123" i="8" s="1"/>
  <c r="G35" i="9"/>
  <c r="H35" i="9" s="1"/>
  <c r="J35" i="9" s="1"/>
  <c r="G86" i="16"/>
  <c r="O86" i="16" s="1"/>
  <c r="G34" i="17"/>
  <c r="H34" i="17" s="1"/>
  <c r="I34" i="17" s="1"/>
  <c r="G15" i="17"/>
  <c r="H15" i="17" s="1"/>
  <c r="G122" i="15"/>
  <c r="H122" i="15" s="1"/>
  <c r="I122" i="15" s="1"/>
  <c r="G59" i="15"/>
  <c r="H59" i="15" s="1"/>
  <c r="I59" i="15" s="1"/>
  <c r="G125" i="11"/>
  <c r="H125" i="11" s="1"/>
  <c r="I125" i="11" s="1"/>
  <c r="G33" i="15"/>
  <c r="H33" i="15" s="1"/>
  <c r="I33" i="15" s="1"/>
  <c r="G18" i="11"/>
  <c r="H18" i="11" s="1"/>
  <c r="I18" i="11" s="1"/>
  <c r="G124" i="16"/>
  <c r="O124" i="16" s="1"/>
  <c r="G69" i="11"/>
  <c r="H69" i="11" s="1"/>
  <c r="I69" i="11" s="1"/>
  <c r="G119" i="15"/>
  <c r="H119" i="15" s="1"/>
  <c r="I119" i="15" s="1"/>
  <c r="G78" i="8"/>
  <c r="H78" i="8" s="1"/>
  <c r="I78" i="8" s="1"/>
  <c r="G56" i="14"/>
  <c r="H56" i="14" s="1"/>
  <c r="I56" i="14" s="1"/>
  <c r="G68" i="8"/>
  <c r="H68" i="8" s="1"/>
  <c r="I68" i="8" s="1"/>
  <c r="C55" i="27" s="1"/>
  <c r="G125" i="10"/>
  <c r="H125" i="10" s="1"/>
  <c r="I125" i="10" s="1"/>
  <c r="G33" i="17"/>
  <c r="H33" i="17" s="1"/>
  <c r="I33" i="17" s="1"/>
  <c r="G59" i="17"/>
  <c r="H59" i="17" s="1"/>
  <c r="I59" i="17" s="1"/>
  <c r="G125" i="12"/>
  <c r="H125" i="12" s="1"/>
  <c r="I125" i="12" s="1"/>
  <c r="G33" i="16"/>
  <c r="O33" i="16" s="1"/>
  <c r="G18" i="14"/>
  <c r="H18" i="14" s="1"/>
  <c r="I18" i="14" s="1"/>
  <c r="G124" i="17"/>
  <c r="H124" i="17" s="1"/>
  <c r="I124" i="17" s="1"/>
  <c r="G69" i="12"/>
  <c r="H69" i="12" s="1"/>
  <c r="I69" i="12" s="1"/>
  <c r="G77" i="10"/>
  <c r="H77" i="10" s="1"/>
  <c r="I77" i="10" s="1"/>
  <c r="G15" i="15"/>
  <c r="H15" i="15" s="1"/>
  <c r="G69" i="10"/>
  <c r="H69" i="10" s="1"/>
  <c r="I69" i="10" s="1"/>
  <c r="G18" i="15"/>
  <c r="H18" i="15" s="1"/>
  <c r="I18" i="15" s="1"/>
  <c r="G69" i="17"/>
  <c r="H69" i="17" s="1"/>
  <c r="I69" i="17" s="1"/>
  <c r="G78" i="9"/>
  <c r="H78" i="9" s="1"/>
  <c r="J78" i="9" s="1"/>
  <c r="G15" i="16"/>
  <c r="O15" i="16" s="1"/>
  <c r="G59" i="14"/>
  <c r="H59" i="14" s="1"/>
  <c r="I59" i="14" s="1"/>
  <c r="G18" i="12"/>
  <c r="H18" i="12" s="1"/>
  <c r="I18" i="12" s="1"/>
  <c r="G18" i="17"/>
  <c r="H18" i="17" s="1"/>
  <c r="I18" i="17" s="1"/>
  <c r="K28" i="7"/>
  <c r="L28" i="7" s="1"/>
  <c r="G77" i="16"/>
  <c r="O77" i="16" s="1"/>
  <c r="G59" i="11"/>
  <c r="H59" i="11" s="1"/>
  <c r="I59" i="11" s="1"/>
  <c r="G125" i="17"/>
  <c r="H125" i="17" s="1"/>
  <c r="I125" i="17" s="1"/>
  <c r="G41" i="14"/>
  <c r="H41" i="14" s="1"/>
  <c r="I41" i="14" s="1"/>
  <c r="K34" i="7"/>
  <c r="L34" i="7" s="1"/>
  <c r="K125" i="7"/>
  <c r="L125" i="7" s="1"/>
  <c r="G27" i="11"/>
  <c r="H27" i="11" s="1"/>
  <c r="I27" i="11" s="1"/>
  <c r="G77" i="12"/>
  <c r="H77" i="12" s="1"/>
  <c r="I77" i="12" s="1"/>
  <c r="G101" i="9"/>
  <c r="H101" i="9" s="1"/>
  <c r="J101" i="9" s="1"/>
  <c r="G125" i="16"/>
  <c r="O125" i="16" s="1"/>
  <c r="G125" i="15"/>
  <c r="H125" i="15" s="1"/>
  <c r="I125" i="15" s="1"/>
  <c r="G41" i="16"/>
  <c r="H41" i="16" s="1"/>
  <c r="I41" i="16" s="1"/>
  <c r="G34" i="8"/>
  <c r="H34" i="8" s="1"/>
  <c r="I34" i="8" s="1"/>
  <c r="G125" i="9"/>
  <c r="H125" i="9" s="1"/>
  <c r="J125" i="9" s="1"/>
  <c r="G27" i="17"/>
  <c r="H27" i="17" s="1"/>
  <c r="I27" i="17" s="1"/>
  <c r="K123" i="7"/>
  <c r="L123" i="7" s="1"/>
  <c r="K35" i="7"/>
  <c r="L35" i="7" s="1"/>
  <c r="G77" i="14"/>
  <c r="H77" i="14" s="1"/>
  <c r="I77" i="14" s="1"/>
  <c r="G124" i="11"/>
  <c r="H124" i="11" s="1"/>
  <c r="I124" i="11" s="1"/>
  <c r="G119" i="10"/>
  <c r="H119" i="10" s="1"/>
  <c r="I119" i="10" s="1"/>
  <c r="G16" i="9"/>
  <c r="H16" i="9" s="1"/>
  <c r="J16" i="9" s="1"/>
  <c r="G41" i="15"/>
  <c r="H41" i="15" s="1"/>
  <c r="I41" i="15" s="1"/>
  <c r="K49" i="7"/>
  <c r="L49" i="7" s="1"/>
  <c r="G122" i="14"/>
  <c r="H122" i="14" s="1"/>
  <c r="I122" i="14" s="1"/>
  <c r="G35" i="8"/>
  <c r="H35" i="8" s="1"/>
  <c r="I35" i="8" s="1"/>
  <c r="G77" i="15"/>
  <c r="H77" i="15" s="1"/>
  <c r="I77" i="15" s="1"/>
  <c r="G67" i="9"/>
  <c r="H67" i="9" s="1"/>
  <c r="J67" i="9" s="1"/>
  <c r="G75" i="12"/>
  <c r="H75" i="12" s="1"/>
  <c r="I75" i="12" s="1"/>
  <c r="G49" i="8"/>
  <c r="H49" i="8" s="1"/>
  <c r="I49" i="8" s="1"/>
  <c r="C36" i="27" s="1"/>
  <c r="G85" i="8"/>
  <c r="H85" i="8" s="1"/>
  <c r="I85" i="8" s="1"/>
  <c r="C72" i="27" s="1"/>
  <c r="G23" i="15"/>
  <c r="H23" i="15" s="1"/>
  <c r="I23" i="15" s="1"/>
  <c r="K37" i="7"/>
  <c r="L37" i="7" s="1"/>
  <c r="K103" i="7"/>
  <c r="L103" i="7" s="1"/>
  <c r="G24" i="17"/>
  <c r="H24" i="17" s="1"/>
  <c r="I24" i="17" s="1"/>
  <c r="G75" i="11"/>
  <c r="H75" i="11" s="1"/>
  <c r="I75" i="11" s="1"/>
  <c r="G48" i="10"/>
  <c r="H48" i="10" s="1"/>
  <c r="I48" i="10" s="1"/>
  <c r="K27" i="7"/>
  <c r="L27" i="7" s="1"/>
  <c r="G85" i="9"/>
  <c r="H85" i="9" s="1"/>
  <c r="J85" i="9" s="1"/>
  <c r="G23" i="17"/>
  <c r="H23" i="17" s="1"/>
  <c r="I23" i="17" s="1"/>
  <c r="G37" i="9"/>
  <c r="H37" i="9" s="1"/>
  <c r="J37" i="9" s="1"/>
  <c r="G81" i="14"/>
  <c r="H81" i="14" s="1"/>
  <c r="I81" i="14" s="1"/>
  <c r="G103" i="9"/>
  <c r="H103" i="9" s="1"/>
  <c r="J103" i="9" s="1"/>
  <c r="G124" i="9"/>
  <c r="H124" i="9" s="1"/>
  <c r="J124" i="9" s="1"/>
  <c r="G82" i="15"/>
  <c r="H82" i="15" s="1"/>
  <c r="I82" i="15" s="1"/>
  <c r="G99" i="12"/>
  <c r="H99" i="12" s="1"/>
  <c r="I99" i="12" s="1"/>
  <c r="G67" i="8"/>
  <c r="H67" i="8" s="1"/>
  <c r="I67" i="8" s="1"/>
  <c r="C54" i="27" s="1"/>
  <c r="G37" i="15"/>
  <c r="H37" i="15" s="1"/>
  <c r="I37" i="15" s="1"/>
  <c r="G99" i="16"/>
  <c r="O99" i="16" s="1"/>
  <c r="G66" i="10"/>
  <c r="H66" i="10" s="1"/>
  <c r="I66" i="10" s="1"/>
  <c r="G37" i="17"/>
  <c r="H37" i="17" s="1"/>
  <c r="I37" i="17" s="1"/>
  <c r="G50" i="16"/>
  <c r="O50" i="16" s="1"/>
  <c r="G75" i="14"/>
  <c r="H75" i="14" s="1"/>
  <c r="I75" i="14" s="1"/>
  <c r="G48" i="11"/>
  <c r="H48" i="11" s="1"/>
  <c r="I48" i="11" s="1"/>
  <c r="G27" i="8"/>
  <c r="H27" i="8" s="1"/>
  <c r="I27" i="8" s="1"/>
  <c r="G84" i="10"/>
  <c r="H84" i="10" s="1"/>
  <c r="I84" i="10" s="1"/>
  <c r="K127" i="7"/>
  <c r="L127" i="7" s="1"/>
  <c r="G36" i="12"/>
  <c r="H36" i="12" s="1"/>
  <c r="I36" i="12" s="1"/>
  <c r="G81" i="16"/>
  <c r="O81" i="16" s="1"/>
  <c r="K121" i="7"/>
  <c r="L121" i="7" s="1"/>
  <c r="G102" i="10"/>
  <c r="H102" i="10" s="1"/>
  <c r="I102" i="10" s="1"/>
  <c r="G123" i="11"/>
  <c r="H123" i="11" s="1"/>
  <c r="I123" i="11" s="1"/>
  <c r="G100" i="12"/>
  <c r="H100" i="12" s="1"/>
  <c r="I100" i="12" s="1"/>
  <c r="G108" i="10"/>
  <c r="H108" i="10" s="1"/>
  <c r="I108" i="10" s="1"/>
  <c r="G66" i="12"/>
  <c r="H66" i="12" s="1"/>
  <c r="I66" i="12" s="1"/>
  <c r="G30" i="9"/>
  <c r="H30" i="9" s="1"/>
  <c r="J30" i="9" s="1"/>
  <c r="G75" i="17"/>
  <c r="H75" i="17" s="1"/>
  <c r="I75" i="17" s="1"/>
  <c r="G48" i="15"/>
  <c r="H48" i="15" s="1"/>
  <c r="I48" i="15" s="1"/>
  <c r="G84" i="11"/>
  <c r="H84" i="11" s="1"/>
  <c r="I84" i="11" s="1"/>
  <c r="G126" i="10"/>
  <c r="H126" i="10" s="1"/>
  <c r="I126" i="10" s="1"/>
  <c r="G36" i="17"/>
  <c r="H36" i="17" s="1"/>
  <c r="I36" i="17" s="1"/>
  <c r="G120" i="10"/>
  <c r="H120" i="10" s="1"/>
  <c r="I120" i="10" s="1"/>
  <c r="G102" i="12"/>
  <c r="H102" i="12" s="1"/>
  <c r="I102" i="12" s="1"/>
  <c r="G123" i="14"/>
  <c r="H123" i="14" s="1"/>
  <c r="I123" i="14" s="1"/>
  <c r="G120" i="11"/>
  <c r="H120" i="11" s="1"/>
  <c r="I120" i="11" s="1"/>
  <c r="G48" i="16"/>
  <c r="O48" i="16" s="1"/>
  <c r="G66" i="15"/>
  <c r="H66" i="15" s="1"/>
  <c r="I66" i="15" s="1"/>
  <c r="G38" i="8"/>
  <c r="H38" i="8" s="1"/>
  <c r="I38" i="8" s="1"/>
  <c r="C25" i="27" s="1"/>
  <c r="G29" i="10"/>
  <c r="H29" i="10" s="1"/>
  <c r="I29" i="10" s="1"/>
  <c r="K83" i="7"/>
  <c r="L83" i="7" s="1"/>
  <c r="G48" i="17"/>
  <c r="H48" i="17" s="1"/>
  <c r="I48" i="17" s="1"/>
  <c r="G26" i="14"/>
  <c r="H26" i="14" s="1"/>
  <c r="I26" i="14" s="1"/>
  <c r="K24" i="7"/>
  <c r="L24" i="7" s="1"/>
  <c r="G126" i="11"/>
  <c r="H126" i="11" s="1"/>
  <c r="I126" i="11" s="1"/>
  <c r="G47" i="10"/>
  <c r="H47" i="10" s="1"/>
  <c r="I47" i="10" s="1"/>
  <c r="G82" i="8"/>
  <c r="H82" i="8" s="1"/>
  <c r="I82" i="8" s="1"/>
  <c r="G120" i="17"/>
  <c r="H120" i="17" s="1"/>
  <c r="I120" i="17" s="1"/>
  <c r="G102" i="17"/>
  <c r="H102" i="17" s="1"/>
  <c r="I102" i="17" s="1"/>
  <c r="G123" i="17"/>
  <c r="H123" i="17" s="1"/>
  <c r="I123" i="17" s="1"/>
  <c r="G103" i="12"/>
  <c r="H103" i="12" s="1"/>
  <c r="I103" i="12" s="1"/>
  <c r="G86" i="17"/>
  <c r="H86" i="17" s="1"/>
  <c r="I86" i="17" s="1"/>
  <c r="G66" i="14"/>
  <c r="H66" i="14" s="1"/>
  <c r="I66" i="14" s="1"/>
  <c r="G66" i="17"/>
  <c r="H66" i="17" s="1"/>
  <c r="I66" i="17" s="1"/>
  <c r="G38" i="9"/>
  <c r="H38" i="9" s="1"/>
  <c r="J38" i="9" s="1"/>
  <c r="G29" i="12"/>
  <c r="H29" i="12" s="1"/>
  <c r="I29" i="12" s="1"/>
  <c r="G83" i="8"/>
  <c r="H83" i="8" s="1"/>
  <c r="I83" i="8" s="1"/>
  <c r="G26" i="12"/>
  <c r="H26" i="12" s="1"/>
  <c r="I26" i="12" s="1"/>
  <c r="G24" i="9"/>
  <c r="H24" i="9" s="1"/>
  <c r="J24" i="9" s="1"/>
  <c r="G126" i="12"/>
  <c r="H126" i="12" s="1"/>
  <c r="I126" i="12" s="1"/>
  <c r="G47" i="14"/>
  <c r="H47" i="14" s="1"/>
  <c r="I47" i="14" s="1"/>
  <c r="G81" i="12"/>
  <c r="H81" i="12" s="1"/>
  <c r="I81" i="12" s="1"/>
  <c r="G102" i="15"/>
  <c r="H102" i="15" s="1"/>
  <c r="I102" i="15" s="1"/>
  <c r="G25" i="9"/>
  <c r="H25" i="9" s="1"/>
  <c r="J25" i="9" s="1"/>
  <c r="G37" i="10"/>
  <c r="H37" i="10" s="1"/>
  <c r="I37" i="10" s="1"/>
  <c r="G29" i="14"/>
  <c r="H29" i="14" s="1"/>
  <c r="I29" i="14" s="1"/>
  <c r="G82" i="10"/>
  <c r="H82" i="10" s="1"/>
  <c r="I82" i="10" s="1"/>
  <c r="G28" i="9"/>
  <c r="H28" i="9" s="1"/>
  <c r="J28" i="9" s="1"/>
  <c r="G26" i="15"/>
  <c r="H26" i="15" s="1"/>
  <c r="I26" i="15" s="1"/>
  <c r="G24" i="8"/>
  <c r="H24" i="8" s="1"/>
  <c r="I24" i="8" s="1"/>
  <c r="G126" i="14"/>
  <c r="H126" i="14" s="1"/>
  <c r="I126" i="14" s="1"/>
  <c r="G47" i="16"/>
  <c r="O47" i="16" s="1"/>
  <c r="G81" i="17"/>
  <c r="H81" i="17" s="1"/>
  <c r="I81" i="17" s="1"/>
  <c r="G62" i="14"/>
  <c r="H62" i="14" s="1"/>
  <c r="I62" i="14" s="1"/>
  <c r="G24" i="10"/>
  <c r="H24" i="10" s="1"/>
  <c r="I24" i="10" s="1"/>
  <c r="G84" i="16"/>
  <c r="O84" i="16" s="1"/>
  <c r="G48" i="8"/>
  <c r="H48" i="8" s="1"/>
  <c r="I48" i="8" s="1"/>
  <c r="C35" i="27" s="1"/>
  <c r="G102" i="16"/>
  <c r="O102" i="16" s="1"/>
  <c r="G99" i="10"/>
  <c r="H99" i="10" s="1"/>
  <c r="I99" i="10" s="1"/>
  <c r="G29" i="15"/>
  <c r="H29" i="15" s="1"/>
  <c r="I29" i="15" s="1"/>
  <c r="K76" i="7"/>
  <c r="L76" i="7" s="1"/>
  <c r="G82" i="14"/>
  <c r="H82" i="14" s="1"/>
  <c r="I82" i="14" s="1"/>
  <c r="G23" i="10"/>
  <c r="H23" i="10" s="1"/>
  <c r="I23" i="10" s="1"/>
  <c r="G47" i="17"/>
  <c r="H47" i="17" s="1"/>
  <c r="I47" i="17" s="1"/>
  <c r="G62" i="16"/>
  <c r="O62" i="16" s="1"/>
  <c r="G109" i="12"/>
  <c r="H109" i="12" s="1"/>
  <c r="I109" i="12" s="1"/>
  <c r="G24" i="14"/>
  <c r="H24" i="14" s="1"/>
  <c r="I24" i="14" s="1"/>
  <c r="G103" i="14"/>
  <c r="H103" i="14" s="1"/>
  <c r="I103" i="14" s="1"/>
  <c r="G109" i="10"/>
  <c r="H109" i="10" s="1"/>
  <c r="I109" i="10" s="1"/>
  <c r="G65" i="15"/>
  <c r="H65" i="15" s="1"/>
  <c r="I65" i="15" s="1"/>
  <c r="G31" i="9"/>
  <c r="H31" i="9" s="1"/>
  <c r="J31" i="9" s="1"/>
  <c r="G127" i="11"/>
  <c r="H127" i="11" s="1"/>
  <c r="I127" i="11" s="1"/>
  <c r="G20" i="11"/>
  <c r="H20" i="11" s="1"/>
  <c r="I20" i="11" s="1"/>
  <c r="G27" i="12"/>
  <c r="H27" i="12" s="1"/>
  <c r="I27" i="12" s="1"/>
  <c r="G84" i="9"/>
  <c r="H84" i="9" s="1"/>
  <c r="J84" i="9" s="1"/>
  <c r="G40" i="14"/>
  <c r="H40" i="14" s="1"/>
  <c r="I40" i="14" s="1"/>
  <c r="G113" i="12"/>
  <c r="H113" i="12" s="1"/>
  <c r="I113" i="12" s="1"/>
  <c r="G121" i="9"/>
  <c r="H121" i="9" s="1"/>
  <c r="J121" i="9" s="1"/>
  <c r="G94" i="17"/>
  <c r="H94" i="17" s="1"/>
  <c r="I94" i="17" s="1"/>
  <c r="G62" i="15"/>
  <c r="H62" i="15" s="1"/>
  <c r="I62" i="15" s="1"/>
  <c r="K74" i="7"/>
  <c r="L74" i="7" s="1"/>
  <c r="G122" i="10"/>
  <c r="H122" i="10" s="1"/>
  <c r="I122" i="10" s="1"/>
  <c r="G121" i="16"/>
  <c r="O121" i="16" s="1"/>
  <c r="G20" i="9"/>
  <c r="H20" i="9" s="1"/>
  <c r="J20" i="9" s="1"/>
  <c r="G28" i="17"/>
  <c r="H28" i="17" s="1"/>
  <c r="I28" i="17" s="1"/>
  <c r="K115" i="7"/>
  <c r="L115" i="7" s="1"/>
  <c r="K66" i="7"/>
  <c r="L66" i="7" s="1"/>
  <c r="G109" i="16"/>
  <c r="O109" i="16" s="1"/>
  <c r="G34" i="16"/>
  <c r="O34" i="16" s="1"/>
  <c r="G77" i="11"/>
  <c r="H77" i="11" s="1"/>
  <c r="I77" i="11" s="1"/>
  <c r="K25" i="7"/>
  <c r="L25" i="7" s="1"/>
  <c r="G46" i="10"/>
  <c r="H46" i="10" s="1"/>
  <c r="I46" i="10" s="1"/>
  <c r="G55" i="15"/>
  <c r="H55" i="15" s="1"/>
  <c r="I55" i="15" s="1"/>
  <c r="G127" i="10"/>
  <c r="H127" i="10" s="1"/>
  <c r="I127" i="10" s="1"/>
  <c r="G62" i="17"/>
  <c r="H62" i="17" s="1"/>
  <c r="I62" i="17" s="1"/>
  <c r="G115" i="8"/>
  <c r="H115" i="8" s="1"/>
  <c r="I115" i="8" s="1"/>
  <c r="G66" i="8"/>
  <c r="H66" i="8" s="1"/>
  <c r="I66" i="8" s="1"/>
  <c r="G91" i="12"/>
  <c r="H91" i="12" s="1"/>
  <c r="I91" i="12" s="1"/>
  <c r="G46" i="11"/>
  <c r="H46" i="11" s="1"/>
  <c r="I46" i="11" s="1"/>
  <c r="G27" i="14"/>
  <c r="H27" i="14" s="1"/>
  <c r="I27" i="14" s="1"/>
  <c r="G16" i="8"/>
  <c r="H16" i="8" s="1"/>
  <c r="K79" i="7"/>
  <c r="L79" i="7" s="1"/>
  <c r="G27" i="15"/>
  <c r="H27" i="15" s="1"/>
  <c r="I27" i="15" s="1"/>
  <c r="G83" i="17"/>
  <c r="H83" i="17" s="1"/>
  <c r="I83" i="17" s="1"/>
  <c r="K48" i="7"/>
  <c r="L48" i="7" s="1"/>
  <c r="G36" i="10"/>
  <c r="H36" i="10" s="1"/>
  <c r="I36" i="10" s="1"/>
  <c r="K22" i="7"/>
  <c r="L22" i="7" s="1"/>
  <c r="G120" i="14"/>
  <c r="H120" i="14" s="1"/>
  <c r="I120" i="14" s="1"/>
  <c r="G73" i="12"/>
  <c r="H73" i="12" s="1"/>
  <c r="I73" i="12" s="1"/>
  <c r="G122" i="16"/>
  <c r="O122" i="16" s="1"/>
  <c r="G19" i="11"/>
  <c r="H19" i="11" s="1"/>
  <c r="I19" i="11" s="1"/>
  <c r="G32" i="8"/>
  <c r="H32" i="8" s="1"/>
  <c r="I32" i="8" s="1"/>
  <c r="C19" i="27" s="1"/>
  <c r="G114" i="10"/>
  <c r="H114" i="10" s="1"/>
  <c r="I114" i="10" s="1"/>
  <c r="G66" i="9"/>
  <c r="H66" i="9" s="1"/>
  <c r="J66" i="9" s="1"/>
  <c r="G36" i="9"/>
  <c r="H36" i="9" s="1"/>
  <c r="J36" i="9" s="1"/>
  <c r="G34" i="12"/>
  <c r="H34" i="12" s="1"/>
  <c r="I34" i="12" s="1"/>
  <c r="G77" i="17"/>
  <c r="H77" i="17" s="1"/>
  <c r="I77" i="17" s="1"/>
  <c r="G25" i="8"/>
  <c r="H25" i="8" s="1"/>
  <c r="I25" i="8" s="1"/>
  <c r="G91" i="14"/>
  <c r="H91" i="14" s="1"/>
  <c r="I91" i="14" s="1"/>
  <c r="G46" i="14"/>
  <c r="H46" i="14" s="1"/>
  <c r="I46" i="14" s="1"/>
  <c r="K128" i="7"/>
  <c r="L128" i="7" s="1"/>
  <c r="G79" i="9"/>
  <c r="H79" i="9" s="1"/>
  <c r="J79" i="9" s="1"/>
  <c r="G65" i="12"/>
  <c r="H65" i="12" s="1"/>
  <c r="I65" i="12" s="1"/>
  <c r="G91" i="17"/>
  <c r="H91" i="17" s="1"/>
  <c r="I91" i="17" s="1"/>
  <c r="G46" i="15"/>
  <c r="H46" i="15" s="1"/>
  <c r="I46" i="15" s="1"/>
  <c r="G15" i="12"/>
  <c r="H15" i="12" s="1"/>
  <c r="G92" i="14"/>
  <c r="H92" i="14" s="1"/>
  <c r="I92" i="14" s="1"/>
  <c r="G86" i="8"/>
  <c r="H86" i="8" s="1"/>
  <c r="I86" i="8" s="1"/>
  <c r="C73" i="27" s="1"/>
  <c r="G74" i="10"/>
  <c r="H74" i="10" s="1"/>
  <c r="I74" i="10" s="1"/>
  <c r="G47" i="12"/>
  <c r="H47" i="12" s="1"/>
  <c r="I47" i="12" s="1"/>
  <c r="G37" i="8"/>
  <c r="H37" i="8" s="1"/>
  <c r="I37" i="8" s="1"/>
  <c r="G22" i="9"/>
  <c r="H22" i="9" s="1"/>
  <c r="J22" i="9" s="1"/>
  <c r="G120" i="16"/>
  <c r="O120" i="16" s="1"/>
  <c r="G73" i="10"/>
  <c r="H73" i="10" s="1"/>
  <c r="I73" i="10" s="1"/>
  <c r="G19" i="16"/>
  <c r="H19" i="16" s="1"/>
  <c r="I19" i="16" s="1"/>
  <c r="G32" i="9"/>
  <c r="H32" i="9" s="1"/>
  <c r="J32" i="9" s="1"/>
  <c r="G114" i="12"/>
  <c r="H114" i="12" s="1"/>
  <c r="I114" i="12" s="1"/>
  <c r="G65" i="16"/>
  <c r="H65" i="16" s="1"/>
  <c r="I65" i="16" s="1"/>
  <c r="G35" i="11"/>
  <c r="H35" i="11" s="1"/>
  <c r="I35" i="11" s="1"/>
  <c r="K80" i="7"/>
  <c r="L80" i="7" s="1"/>
  <c r="G101" i="8"/>
  <c r="H101" i="8" s="1"/>
  <c r="I101" i="8" s="1"/>
  <c r="G24" i="12"/>
  <c r="H24" i="12" s="1"/>
  <c r="I24" i="12" s="1"/>
  <c r="G91" i="15"/>
  <c r="H91" i="15" s="1"/>
  <c r="I91" i="15" s="1"/>
  <c r="G46" i="16"/>
  <c r="O46" i="16" s="1"/>
  <c r="G86" i="9"/>
  <c r="H86" i="9" s="1"/>
  <c r="J86" i="9" s="1"/>
  <c r="G101" i="15"/>
  <c r="H101" i="15" s="1"/>
  <c r="I101" i="15" s="1"/>
  <c r="G108" i="8"/>
  <c r="H108" i="8" s="1"/>
  <c r="I108" i="8" s="1"/>
  <c r="C95" i="27" s="1"/>
  <c r="G75" i="9"/>
  <c r="H75" i="9" s="1"/>
  <c r="J75" i="9" s="1"/>
  <c r="G47" i="11"/>
  <c r="H47" i="11" s="1"/>
  <c r="I47" i="11" s="1"/>
  <c r="G36" i="11"/>
  <c r="H36" i="11" s="1"/>
  <c r="I36" i="11" s="1"/>
  <c r="G21" i="11"/>
  <c r="H21" i="11" s="1"/>
  <c r="I21" i="11" s="1"/>
  <c r="G95" i="8"/>
  <c r="H95" i="8" s="1"/>
  <c r="I95" i="8" s="1"/>
  <c r="C82" i="27" s="1"/>
  <c r="G73" i="11"/>
  <c r="H73" i="11" s="1"/>
  <c r="I73" i="11" s="1"/>
  <c r="G122" i="9"/>
  <c r="H122" i="9" s="1"/>
  <c r="J122" i="9" s="1"/>
  <c r="G29" i="9"/>
  <c r="H29" i="9" s="1"/>
  <c r="J29" i="9" s="1"/>
  <c r="G31" i="12"/>
  <c r="H31" i="12" s="1"/>
  <c r="I31" i="12" s="1"/>
  <c r="G114" i="17"/>
  <c r="H114" i="17" s="1"/>
  <c r="I114" i="17" s="1"/>
  <c r="G35" i="15"/>
  <c r="H35" i="15" s="1"/>
  <c r="I35" i="15" s="1"/>
  <c r="G80" i="8"/>
  <c r="H80" i="8" s="1"/>
  <c r="I80" i="8" s="1"/>
  <c r="C67" i="27" s="1"/>
  <c r="G30" i="16"/>
  <c r="O30" i="16" s="1"/>
  <c r="K104" i="7"/>
  <c r="L104" i="7" s="1"/>
  <c r="G110" i="8"/>
  <c r="H110" i="8" s="1"/>
  <c r="I110" i="8" s="1"/>
  <c r="C97" i="27" s="1"/>
  <c r="G86" i="10"/>
  <c r="H86" i="10" s="1"/>
  <c r="I86" i="10" s="1"/>
  <c r="G27" i="10"/>
  <c r="H27" i="10" s="1"/>
  <c r="I27" i="10" s="1"/>
  <c r="K63" i="7"/>
  <c r="L63" i="7" s="1"/>
  <c r="G103" i="11"/>
  <c r="H103" i="11" s="1"/>
  <c r="I103" i="11" s="1"/>
  <c r="G110" i="9"/>
  <c r="H110" i="9" s="1"/>
  <c r="J110" i="9" s="1"/>
  <c r="G86" i="11"/>
  <c r="H86" i="11" s="1"/>
  <c r="I86" i="11" s="1"/>
  <c r="G30" i="10"/>
  <c r="H30" i="10" s="1"/>
  <c r="I30" i="10" s="1"/>
  <c r="G128" i="9"/>
  <c r="H128" i="9" s="1"/>
  <c r="J128" i="9" s="1"/>
  <c r="G92" i="17"/>
  <c r="H92" i="17" s="1"/>
  <c r="I92" i="17" s="1"/>
  <c r="G78" i="10"/>
  <c r="H78" i="10" s="1"/>
  <c r="I78" i="10" s="1"/>
  <c r="G85" i="11"/>
  <c r="H85" i="11" s="1"/>
  <c r="I85" i="11" s="1"/>
  <c r="G70" i="9"/>
  <c r="H70" i="9" s="1"/>
  <c r="J70" i="9" s="1"/>
  <c r="G83" i="16"/>
  <c r="H83" i="16" s="1"/>
  <c r="I83" i="16" s="1"/>
  <c r="G41" i="8"/>
  <c r="H41" i="8" s="1"/>
  <c r="I41" i="8" s="1"/>
  <c r="C28" i="27" s="1"/>
  <c r="G38" i="14"/>
  <c r="H38" i="14" s="1"/>
  <c r="I38" i="14" s="1"/>
  <c r="K72" i="7"/>
  <c r="L72" i="7" s="1"/>
  <c r="G55" i="16"/>
  <c r="O55" i="16" s="1"/>
  <c r="G78" i="11"/>
  <c r="H78" i="11" s="1"/>
  <c r="I78" i="11" s="1"/>
  <c r="G85" i="14"/>
  <c r="H85" i="14" s="1"/>
  <c r="I85" i="14" s="1"/>
  <c r="K64" i="7"/>
  <c r="L64" i="7" s="1"/>
  <c r="G72" i="9"/>
  <c r="H72" i="9" s="1"/>
  <c r="J72" i="9" s="1"/>
  <c r="G55" i="17"/>
  <c r="H55" i="17" s="1"/>
  <c r="I55" i="17" s="1"/>
  <c r="G104" i="15"/>
  <c r="H104" i="15" s="1"/>
  <c r="I104" i="15" s="1"/>
  <c r="G127" i="12"/>
  <c r="H127" i="12" s="1"/>
  <c r="I127" i="12" s="1"/>
  <c r="G56" i="12"/>
  <c r="H56" i="12" s="1"/>
  <c r="I56" i="12" s="1"/>
  <c r="G78" i="16"/>
  <c r="O78" i="16" s="1"/>
  <c r="G85" i="17"/>
  <c r="H85" i="17" s="1"/>
  <c r="I85" i="17" s="1"/>
  <c r="G68" i="9"/>
  <c r="H68" i="9" s="1"/>
  <c r="J68" i="9" s="1"/>
  <c r="G69" i="14"/>
  <c r="H69" i="14" s="1"/>
  <c r="I69" i="14" s="1"/>
  <c r="G83" i="15"/>
  <c r="H83" i="15" s="1"/>
  <c r="I83" i="15" s="1"/>
  <c r="G40" i="15"/>
  <c r="H40" i="15" s="1"/>
  <c r="I40" i="15" s="1"/>
  <c r="G63" i="9"/>
  <c r="H63" i="9" s="1"/>
  <c r="J63" i="9" s="1"/>
  <c r="G38" i="15"/>
  <c r="H38" i="15" s="1"/>
  <c r="I38" i="15" s="1"/>
  <c r="G104" i="8"/>
  <c r="H104" i="8" s="1"/>
  <c r="I104" i="8" s="1"/>
  <c r="K120" i="7"/>
  <c r="L120" i="7" s="1"/>
  <c r="G109" i="11"/>
  <c r="H109" i="11" s="1"/>
  <c r="I109" i="11" s="1"/>
  <c r="G64" i="8"/>
  <c r="H64" i="8" s="1"/>
  <c r="I64" i="8" s="1"/>
  <c r="G43" i="8"/>
  <c r="H43" i="8" s="1"/>
  <c r="I43" i="8" s="1"/>
  <c r="C30" i="27" s="1"/>
  <c r="G100" i="16"/>
  <c r="O100" i="16" s="1"/>
  <c r="G86" i="15"/>
  <c r="H86" i="15" s="1"/>
  <c r="I86" i="15" s="1"/>
  <c r="G108" i="15"/>
  <c r="H108" i="15" s="1"/>
  <c r="I108" i="15" s="1"/>
  <c r="K102" i="7"/>
  <c r="L102" i="7" s="1"/>
  <c r="G71" i="10"/>
  <c r="H71" i="10" s="1"/>
  <c r="I71" i="10" s="1"/>
  <c r="G30" i="11"/>
  <c r="H30" i="11" s="1"/>
  <c r="I30" i="11" s="1"/>
  <c r="K113" i="7"/>
  <c r="L113" i="7" s="1"/>
  <c r="G38" i="16"/>
  <c r="O38" i="16" s="1"/>
  <c r="G64" i="9"/>
  <c r="H64" i="9" s="1"/>
  <c r="J64" i="9" s="1"/>
  <c r="G116" i="9"/>
  <c r="H116" i="9" s="1"/>
  <c r="J116" i="9" s="1"/>
  <c r="G102" i="8"/>
  <c r="H102" i="8" s="1"/>
  <c r="I102" i="8" s="1"/>
  <c r="C89" i="27" s="1"/>
  <c r="G71" i="11"/>
  <c r="H71" i="11" s="1"/>
  <c r="I71" i="11" s="1"/>
  <c r="G104" i="10"/>
  <c r="H104" i="10" s="1"/>
  <c r="I104" i="10" s="1"/>
  <c r="G78" i="12"/>
  <c r="H78" i="12" s="1"/>
  <c r="I78" i="12" s="1"/>
  <c r="G85" i="15"/>
  <c r="H85" i="15" s="1"/>
  <c r="I85" i="15" s="1"/>
  <c r="G67" i="10"/>
  <c r="H67" i="10" s="1"/>
  <c r="I67" i="10" s="1"/>
  <c r="G40" i="16"/>
  <c r="O40" i="16" s="1"/>
  <c r="G113" i="8"/>
  <c r="H113" i="8" s="1"/>
  <c r="I113" i="8" s="1"/>
  <c r="G119" i="12"/>
  <c r="H119" i="12" s="1"/>
  <c r="I119" i="12" s="1"/>
  <c r="G63" i="12"/>
  <c r="H63" i="12" s="1"/>
  <c r="I63" i="12" s="1"/>
  <c r="G115" i="10"/>
  <c r="H115" i="10" s="1"/>
  <c r="I115" i="10" s="1"/>
  <c r="G101" i="12"/>
  <c r="H101" i="12" s="1"/>
  <c r="I101" i="12" s="1"/>
  <c r="G71" i="14"/>
  <c r="H71" i="14" s="1"/>
  <c r="I71" i="14" s="1"/>
  <c r="K56" i="7"/>
  <c r="L56" i="7" s="1"/>
  <c r="G104" i="14"/>
  <c r="H104" i="14" s="1"/>
  <c r="I104" i="14" s="1"/>
  <c r="G127" i="15"/>
  <c r="H127" i="15" s="1"/>
  <c r="I127" i="15" s="1"/>
  <c r="G56" i="16"/>
  <c r="O56" i="16" s="1"/>
  <c r="K42" i="7"/>
  <c r="L42" i="7" s="1"/>
  <c r="K93" i="7"/>
  <c r="L93" i="7" s="1"/>
  <c r="G78" i="17"/>
  <c r="H78" i="17" s="1"/>
  <c r="I78" i="17" s="1"/>
  <c r="G67" i="11"/>
  <c r="H67" i="11" s="1"/>
  <c r="I67" i="11" s="1"/>
  <c r="G62" i="11"/>
  <c r="H62" i="11" s="1"/>
  <c r="I62" i="11" s="1"/>
  <c r="G112" i="12"/>
  <c r="H112" i="12" s="1"/>
  <c r="I112" i="12" s="1"/>
  <c r="G103" i="17"/>
  <c r="H103" i="17" s="1"/>
  <c r="I103" i="17" s="1"/>
  <c r="G120" i="8"/>
  <c r="H120" i="8" s="1"/>
  <c r="I120" i="8" s="1"/>
  <c r="C107" i="27" s="1"/>
  <c r="G109" i="15"/>
  <c r="H109" i="15" s="1"/>
  <c r="I109" i="15" s="1"/>
  <c r="G63" i="10"/>
  <c r="H63" i="10" s="1"/>
  <c r="I63" i="10" s="1"/>
  <c r="G42" i="11"/>
  <c r="H42" i="11" s="1"/>
  <c r="I42" i="11" s="1"/>
  <c r="G115" i="11"/>
  <c r="H115" i="11" s="1"/>
  <c r="I115" i="11" s="1"/>
  <c r="G108" i="17"/>
  <c r="H108" i="17" s="1"/>
  <c r="I108" i="17" s="1"/>
  <c r="G101" i="10"/>
  <c r="H101" i="10" s="1"/>
  <c r="I101" i="10" s="1"/>
  <c r="G71" i="16"/>
  <c r="O71" i="16" s="1"/>
  <c r="G55" i="10"/>
  <c r="H55" i="10" s="1"/>
  <c r="I55" i="10" s="1"/>
  <c r="G85" i="16"/>
  <c r="H85" i="16" s="1"/>
  <c r="I85" i="16" s="1"/>
  <c r="G93" i="9"/>
  <c r="H93" i="9" s="1"/>
  <c r="J93" i="9" s="1"/>
  <c r="G78" i="15"/>
  <c r="H78" i="15" s="1"/>
  <c r="I78" i="15" s="1"/>
  <c r="G67" i="14"/>
  <c r="H67" i="14" s="1"/>
  <c r="I67" i="14" s="1"/>
  <c r="G112" i="10"/>
  <c r="H112" i="10" s="1"/>
  <c r="I112" i="10" s="1"/>
  <c r="G103" i="15"/>
  <c r="H103" i="15" s="1"/>
  <c r="I103" i="15" s="1"/>
  <c r="G119" i="11"/>
  <c r="H119" i="11" s="1"/>
  <c r="I119" i="11" s="1"/>
  <c r="G63" i="11"/>
  <c r="H63" i="11" s="1"/>
  <c r="I63" i="11" s="1"/>
  <c r="G115" i="14"/>
  <c r="H115" i="14" s="1"/>
  <c r="I115" i="14" s="1"/>
  <c r="K92" i="7"/>
  <c r="L92" i="7" s="1"/>
  <c r="G102" i="9"/>
  <c r="H102" i="9" s="1"/>
  <c r="J102" i="9" s="1"/>
  <c r="G71" i="17"/>
  <c r="H71" i="17" s="1"/>
  <c r="I71" i="17" s="1"/>
  <c r="G56" i="9"/>
  <c r="H56" i="9" s="1"/>
  <c r="J56" i="9" s="1"/>
  <c r="G78" i="14"/>
  <c r="H78" i="14" s="1"/>
  <c r="I78" i="14" s="1"/>
  <c r="K60" i="7"/>
  <c r="L60" i="7" s="1"/>
  <c r="G104" i="11"/>
  <c r="H104" i="11" s="1"/>
  <c r="I104" i="11" s="1"/>
  <c r="G127" i="17"/>
  <c r="H127" i="17" s="1"/>
  <c r="I127" i="17" s="1"/>
  <c r="G42" i="8"/>
  <c r="H42" i="8" s="1"/>
  <c r="I42" i="8" s="1"/>
  <c r="G92" i="12"/>
  <c r="H92" i="12" s="1"/>
  <c r="I92" i="12" s="1"/>
  <c r="K86" i="7"/>
  <c r="L86" i="7" s="1"/>
  <c r="G67" i="16"/>
  <c r="O67" i="16" s="1"/>
  <c r="G112" i="11"/>
  <c r="H112" i="11" s="1"/>
  <c r="I112" i="11" s="1"/>
  <c r="G119" i="14"/>
  <c r="H119" i="14" s="1"/>
  <c r="I119" i="14" s="1"/>
  <c r="G63" i="14"/>
  <c r="H63" i="14" s="1"/>
  <c r="I63" i="14" s="1"/>
  <c r="G115" i="16"/>
  <c r="O115" i="16" s="1"/>
  <c r="G92" i="9"/>
  <c r="H92" i="9" s="1"/>
  <c r="J92" i="9" s="1"/>
  <c r="G101" i="16"/>
  <c r="O101" i="16" s="1"/>
  <c r="G71" i="15"/>
  <c r="H71" i="15" s="1"/>
  <c r="I71" i="15" s="1"/>
  <c r="G56" i="8"/>
  <c r="H56" i="8" s="1"/>
  <c r="I56" i="8" s="1"/>
  <c r="C43" i="27" s="1"/>
  <c r="G127" i="14"/>
  <c r="H127" i="14" s="1"/>
  <c r="I127" i="14" s="1"/>
  <c r="G127" i="16"/>
  <c r="O127" i="16" s="1"/>
  <c r="G56" i="17"/>
  <c r="H56" i="17" s="1"/>
  <c r="I56" i="17" s="1"/>
  <c r="G59" i="10"/>
  <c r="H59" i="10" s="1"/>
  <c r="I59" i="10" s="1"/>
  <c r="G104" i="16"/>
  <c r="O104" i="16" s="1"/>
  <c r="G41" i="11"/>
  <c r="H41" i="11" s="1"/>
  <c r="I41" i="11" s="1"/>
  <c r="G60" i="8"/>
  <c r="H60" i="8" s="1"/>
  <c r="I60" i="8" s="1"/>
  <c r="C47" i="27" s="1"/>
  <c r="G42" i="9"/>
  <c r="H42" i="9" s="1"/>
  <c r="J42" i="9" s="1"/>
  <c r="G92" i="10"/>
  <c r="H92" i="10" s="1"/>
  <c r="I92" i="10" s="1"/>
  <c r="G85" i="10"/>
  <c r="H85" i="10" s="1"/>
  <c r="I85" i="10" s="1"/>
  <c r="G67" i="17"/>
  <c r="H67" i="17" s="1"/>
  <c r="I67" i="17" s="1"/>
  <c r="G84" i="8"/>
  <c r="H84" i="8" s="1"/>
  <c r="I84" i="8" s="1"/>
  <c r="G112" i="16"/>
  <c r="O112" i="16" s="1"/>
  <c r="G65" i="11"/>
  <c r="H65" i="11" s="1"/>
  <c r="I65" i="11" s="1"/>
  <c r="G119" i="16"/>
  <c r="O119" i="16" s="1"/>
  <c r="G63" i="15"/>
  <c r="H63" i="15" s="1"/>
  <c r="I63" i="15" s="1"/>
  <c r="G42" i="17"/>
  <c r="H42" i="17" s="1"/>
  <c r="I42" i="17" s="1"/>
  <c r="K87" i="7"/>
  <c r="L87" i="7" s="1"/>
  <c r="G91" i="10"/>
  <c r="H91" i="10" s="1"/>
  <c r="I91" i="10" s="1"/>
  <c r="G101" i="11"/>
  <c r="H101" i="11" s="1"/>
  <c r="I101" i="11" s="1"/>
  <c r="K99" i="7"/>
  <c r="L99" i="7" s="1"/>
  <c r="G55" i="12"/>
  <c r="H55" i="12" s="1"/>
  <c r="I55" i="12" s="1"/>
  <c r="G63" i="16"/>
  <c r="H63" i="16" s="1"/>
  <c r="I63" i="16" s="1"/>
  <c r="G101" i="14"/>
  <c r="H101" i="14" s="1"/>
  <c r="I101" i="14" s="1"/>
  <c r="G55" i="11"/>
  <c r="H55" i="11" s="1"/>
  <c r="I55" i="11" s="1"/>
  <c r="G59" i="12"/>
  <c r="H59" i="12" s="1"/>
  <c r="I59" i="12" s="1"/>
  <c r="G41" i="12"/>
  <c r="H41" i="12" s="1"/>
  <c r="I41" i="12" s="1"/>
  <c r="G92" i="15"/>
  <c r="H92" i="15" s="1"/>
  <c r="I92" i="15" s="1"/>
  <c r="G70" i="8"/>
  <c r="H70" i="8" s="1"/>
  <c r="I70" i="8" s="1"/>
  <c r="G83" i="11"/>
  <c r="H83" i="11" s="1"/>
  <c r="I83" i="11" s="1"/>
  <c r="G40" i="12"/>
  <c r="H40" i="12" s="1"/>
  <c r="I40" i="12" s="1"/>
  <c r="G39" i="9"/>
  <c r="H39" i="9" s="1"/>
  <c r="J39" i="9" s="1"/>
  <c r="K110" i="7"/>
  <c r="L110" i="7" s="1"/>
  <c r="G87" i="8"/>
  <c r="H87" i="8" s="1"/>
  <c r="I87" i="8" s="1"/>
  <c r="G91" i="11"/>
  <c r="H91" i="11" s="1"/>
  <c r="I91" i="11" s="1"/>
  <c r="G99" i="14"/>
  <c r="H99" i="14" s="1"/>
  <c r="I99" i="14" s="1"/>
  <c r="G60" i="16"/>
  <c r="H60" i="16" s="1"/>
  <c r="I60" i="16" s="1"/>
  <c r="K62" i="7"/>
  <c r="L62" i="7" s="1"/>
  <c r="G60" i="9"/>
  <c r="H60" i="9" s="1"/>
  <c r="J60" i="9" s="1"/>
  <c r="G56" i="11"/>
  <c r="H56" i="11" s="1"/>
  <c r="I56" i="11" s="1"/>
  <c r="G87" i="10"/>
  <c r="H87" i="10" s="1"/>
  <c r="I87" i="10" s="1"/>
  <c r="G107" i="14"/>
  <c r="H107" i="14" s="1"/>
  <c r="I107" i="14" s="1"/>
  <c r="G21" i="9"/>
  <c r="H21" i="9" s="1"/>
  <c r="J21" i="9" s="1"/>
  <c r="G29" i="16"/>
  <c r="O29" i="16" s="1"/>
  <c r="G111" i="8"/>
  <c r="H111" i="8" s="1"/>
  <c r="I111" i="8" s="1"/>
  <c r="G90" i="11"/>
  <c r="H90" i="11" s="1"/>
  <c r="I90" i="11" s="1"/>
  <c r="G92" i="11"/>
  <c r="H92" i="11" s="1"/>
  <c r="I92" i="11" s="1"/>
  <c r="G75" i="15"/>
  <c r="H75" i="15" s="1"/>
  <c r="I75" i="15" s="1"/>
  <c r="G83" i="9"/>
  <c r="H83" i="9" s="1"/>
  <c r="J83" i="9" s="1"/>
  <c r="G67" i="12"/>
  <c r="H67" i="12" s="1"/>
  <c r="I67" i="12" s="1"/>
  <c r="G69" i="15"/>
  <c r="H69" i="15" s="1"/>
  <c r="I69" i="15" s="1"/>
  <c r="G27" i="16"/>
  <c r="O27" i="16" s="1"/>
  <c r="K84" i="7"/>
  <c r="L84" i="7" s="1"/>
  <c r="G74" i="14"/>
  <c r="H74" i="14" s="1"/>
  <c r="I74" i="14" s="1"/>
  <c r="G84" i="14"/>
  <c r="H84" i="14" s="1"/>
  <c r="I84" i="14" s="1"/>
  <c r="G23" i="16"/>
  <c r="H23" i="16" s="1"/>
  <c r="I23" i="16" s="1"/>
  <c r="G47" i="15"/>
  <c r="H47" i="15" s="1"/>
  <c r="I47" i="15" s="1"/>
  <c r="G40" i="17"/>
  <c r="H40" i="17" s="1"/>
  <c r="I40" i="17" s="1"/>
  <c r="G113" i="10"/>
  <c r="H113" i="10" s="1"/>
  <c r="I113" i="10" s="1"/>
  <c r="G21" i="16"/>
  <c r="O21" i="16" s="1"/>
  <c r="G120" i="15"/>
  <c r="H120" i="15" s="1"/>
  <c r="I120" i="15" s="1"/>
  <c r="G94" i="15"/>
  <c r="H94" i="15" s="1"/>
  <c r="I94" i="15" s="1"/>
  <c r="G63" i="8"/>
  <c r="H63" i="8" s="1"/>
  <c r="I63" i="8" s="1"/>
  <c r="G73" i="14"/>
  <c r="H73" i="14" s="1"/>
  <c r="I73" i="14" s="1"/>
  <c r="G121" i="15"/>
  <c r="H121" i="15" s="1"/>
  <c r="I121" i="15" s="1"/>
  <c r="G113" i="9"/>
  <c r="H113" i="9" s="1"/>
  <c r="J113" i="9" s="1"/>
  <c r="G20" i="8"/>
  <c r="H20" i="8" s="1"/>
  <c r="I20" i="8" s="1"/>
  <c r="C7" i="27" s="1"/>
  <c r="G28" i="15"/>
  <c r="H28" i="15" s="1"/>
  <c r="I28" i="15" s="1"/>
  <c r="G31" i="15"/>
  <c r="H31" i="15" s="1"/>
  <c r="I31" i="15" s="1"/>
  <c r="G38" i="17"/>
  <c r="H38" i="17" s="1"/>
  <c r="I38" i="17" s="1"/>
  <c r="G103" i="10"/>
  <c r="H103" i="10" s="1"/>
  <c r="I103" i="10" s="1"/>
  <c r="G65" i="10"/>
  <c r="H65" i="10" s="1"/>
  <c r="I65" i="10" s="1"/>
  <c r="G120" i="9"/>
  <c r="H120" i="9" s="1"/>
  <c r="J120" i="9" s="1"/>
  <c r="G109" i="17"/>
  <c r="H109" i="17" s="1"/>
  <c r="I109" i="17" s="1"/>
  <c r="G35" i="17"/>
  <c r="H35" i="17" s="1"/>
  <c r="I35" i="17" s="1"/>
  <c r="G79" i="12"/>
  <c r="H79" i="12" s="1"/>
  <c r="I79" i="12" s="1"/>
  <c r="G42" i="12"/>
  <c r="H42" i="12" s="1"/>
  <c r="I42" i="12" s="1"/>
  <c r="G100" i="17"/>
  <c r="H100" i="17" s="1"/>
  <c r="I100" i="17" s="1"/>
  <c r="G87" i="9"/>
  <c r="H87" i="9" s="1"/>
  <c r="J87" i="9" s="1"/>
  <c r="G108" i="12"/>
  <c r="H108" i="12" s="1"/>
  <c r="I108" i="12" s="1"/>
  <c r="G91" i="16"/>
  <c r="O91" i="16" s="1"/>
  <c r="G98" i="10"/>
  <c r="H98" i="10" s="1"/>
  <c r="I98" i="10" s="1"/>
  <c r="G47" i="9"/>
  <c r="H47" i="9" s="1"/>
  <c r="J47" i="9" s="1"/>
  <c r="G30" i="14"/>
  <c r="H30" i="14" s="1"/>
  <c r="I30" i="14" s="1"/>
  <c r="G79" i="14"/>
  <c r="H79" i="14" s="1"/>
  <c r="I79" i="14" s="1"/>
  <c r="K116" i="7"/>
  <c r="L116" i="7" s="1"/>
  <c r="G108" i="11"/>
  <c r="H108" i="11" s="1"/>
  <c r="I108" i="11" s="1"/>
  <c r="G99" i="8"/>
  <c r="H99" i="8" s="1"/>
  <c r="I99" i="8" s="1"/>
  <c r="G107" i="15"/>
  <c r="H107" i="15" s="1"/>
  <c r="I107" i="15" s="1"/>
  <c r="G110" i="16"/>
  <c r="O110" i="16" s="1"/>
  <c r="G82" i="11"/>
  <c r="H82" i="11" s="1"/>
  <c r="I82" i="11" s="1"/>
  <c r="G69" i="16"/>
  <c r="O69" i="16" s="1"/>
  <c r="G49" i="9"/>
  <c r="H49" i="9" s="1"/>
  <c r="J49" i="9" s="1"/>
  <c r="G83" i="10"/>
  <c r="H83" i="10" s="1"/>
  <c r="I83" i="10" s="1"/>
  <c r="G74" i="16"/>
  <c r="O74" i="16" s="1"/>
  <c r="G84" i="17"/>
  <c r="H84" i="17" s="1"/>
  <c r="I84" i="17" s="1"/>
  <c r="K41" i="7"/>
  <c r="L41" i="7" s="1"/>
  <c r="G36" i="14"/>
  <c r="H36" i="14" s="1"/>
  <c r="I36" i="14" s="1"/>
  <c r="G113" i="14"/>
  <c r="H113" i="14" s="1"/>
  <c r="I113" i="14" s="1"/>
  <c r="K95" i="7"/>
  <c r="L95" i="7" s="1"/>
  <c r="G103" i="8"/>
  <c r="H103" i="8" s="1"/>
  <c r="I103" i="8" s="1"/>
  <c r="G62" i="10"/>
  <c r="H62" i="10" s="1"/>
  <c r="I62" i="10" s="1"/>
  <c r="K122" i="7"/>
  <c r="L122" i="7" s="1"/>
  <c r="G25" i="10"/>
  <c r="H25" i="10" s="1"/>
  <c r="I25" i="10" s="1"/>
  <c r="G112" i="14"/>
  <c r="H112" i="14" s="1"/>
  <c r="I112" i="14" s="1"/>
  <c r="G19" i="14"/>
  <c r="H19" i="14" s="1"/>
  <c r="I19" i="14" s="1"/>
  <c r="K39" i="7"/>
  <c r="L39" i="7" s="1"/>
  <c r="G114" i="16"/>
  <c r="H114" i="16" s="1"/>
  <c r="I114" i="16" s="1"/>
  <c r="G104" i="9"/>
  <c r="H104" i="9" s="1"/>
  <c r="J104" i="9" s="1"/>
  <c r="G65" i="14"/>
  <c r="H65" i="14" s="1"/>
  <c r="I65" i="14" s="1"/>
  <c r="K36" i="7"/>
  <c r="L36" i="7" s="1"/>
  <c r="G79" i="17"/>
  <c r="H79" i="17" s="1"/>
  <c r="I79" i="17" s="1"/>
  <c r="K101" i="7"/>
  <c r="L101" i="7" s="1"/>
  <c r="G116" i="8"/>
  <c r="H116" i="8" s="1"/>
  <c r="I116" i="8" s="1"/>
  <c r="G86" i="14"/>
  <c r="H86" i="14" s="1"/>
  <c r="I86" i="14" s="1"/>
  <c r="G108" i="16"/>
  <c r="O108" i="16" s="1"/>
  <c r="G72" i="8"/>
  <c r="H72" i="8" s="1"/>
  <c r="I72" i="8" s="1"/>
  <c r="G98" i="16"/>
  <c r="O98" i="16" s="1"/>
  <c r="G46" i="12"/>
  <c r="H46" i="12" s="1"/>
  <c r="I46" i="12" s="1"/>
  <c r="G98" i="11"/>
  <c r="H98" i="11" s="1"/>
  <c r="I98" i="11" s="1"/>
  <c r="G100" i="10"/>
  <c r="H100" i="10" s="1"/>
  <c r="I100" i="10" s="1"/>
  <c r="G115" i="12"/>
  <c r="H115" i="12" s="1"/>
  <c r="I115" i="12" s="1"/>
  <c r="G115" i="17"/>
  <c r="H115" i="17" s="1"/>
  <c r="I115" i="17" s="1"/>
  <c r="G109" i="8"/>
  <c r="H109" i="8" s="1"/>
  <c r="I109" i="8" s="1"/>
  <c r="C96" i="27" s="1"/>
  <c r="G51" i="17"/>
  <c r="H51" i="17" s="1"/>
  <c r="I51" i="17" s="1"/>
  <c r="G51" i="16"/>
  <c r="G51" i="15"/>
  <c r="H51" i="15" s="1"/>
  <c r="I51" i="15" s="1"/>
  <c r="G51" i="14"/>
  <c r="H51" i="14" s="1"/>
  <c r="I51" i="14" s="1"/>
  <c r="G51" i="12"/>
  <c r="H51" i="12" s="1"/>
  <c r="I51" i="12" s="1"/>
  <c r="G51" i="11"/>
  <c r="H51" i="11" s="1"/>
  <c r="I51" i="11" s="1"/>
  <c r="G52" i="9"/>
  <c r="H52" i="9" s="1"/>
  <c r="J52" i="9" s="1"/>
  <c r="G52" i="8"/>
  <c r="H52" i="8" s="1"/>
  <c r="I52" i="8" s="1"/>
  <c r="C39" i="27" s="1"/>
  <c r="G51" i="10"/>
  <c r="H51" i="10" s="1"/>
  <c r="I51" i="10" s="1"/>
  <c r="K52" i="7"/>
  <c r="L52" i="7" s="1"/>
  <c r="G53" i="17"/>
  <c r="H53" i="17" s="1"/>
  <c r="I53" i="17" s="1"/>
  <c r="G53" i="15"/>
  <c r="H53" i="15" s="1"/>
  <c r="I53" i="15" s="1"/>
  <c r="G53" i="14"/>
  <c r="H53" i="14" s="1"/>
  <c r="I53" i="14" s="1"/>
  <c r="G53" i="10"/>
  <c r="H53" i="10" s="1"/>
  <c r="I53" i="10" s="1"/>
  <c r="G54" i="9"/>
  <c r="H54" i="9" s="1"/>
  <c r="J54" i="9" s="1"/>
  <c r="G53" i="16"/>
  <c r="G53" i="11"/>
  <c r="H53" i="11" s="1"/>
  <c r="I53" i="11" s="1"/>
  <c r="G54" i="8"/>
  <c r="H54" i="8" s="1"/>
  <c r="I54" i="8" s="1"/>
  <c r="C41" i="27" s="1"/>
  <c r="G53" i="12"/>
  <c r="H53" i="12" s="1"/>
  <c r="I53" i="12" s="1"/>
  <c r="K54" i="7"/>
  <c r="L54" i="7" s="1"/>
  <c r="C772" i="20"/>
  <c r="I563" i="20"/>
  <c r="O563" i="20"/>
  <c r="C112" i="20"/>
  <c r="C982" i="20"/>
  <c r="G118" i="15"/>
  <c r="H118" i="15" s="1"/>
  <c r="I118" i="15" s="1"/>
  <c r="G118" i="17"/>
  <c r="H118" i="17" s="1"/>
  <c r="I118" i="17" s="1"/>
  <c r="G118" i="16"/>
  <c r="G118" i="12"/>
  <c r="H118" i="12" s="1"/>
  <c r="I118" i="12" s="1"/>
  <c r="G118" i="11"/>
  <c r="H118" i="11" s="1"/>
  <c r="I118" i="11" s="1"/>
  <c r="G118" i="10"/>
  <c r="H118" i="10" s="1"/>
  <c r="I118" i="10" s="1"/>
  <c r="G118" i="14"/>
  <c r="H118" i="14" s="1"/>
  <c r="I118" i="14" s="1"/>
  <c r="G119" i="9"/>
  <c r="H119" i="9" s="1"/>
  <c r="J119" i="9" s="1"/>
  <c r="G119" i="8"/>
  <c r="H119" i="8" s="1"/>
  <c r="I119" i="8" s="1"/>
  <c r="C106" i="27" s="1"/>
  <c r="K119" i="7"/>
  <c r="L119" i="7" s="1"/>
  <c r="O113" i="16"/>
  <c r="H113" i="16"/>
  <c r="I113" i="16" s="1"/>
  <c r="C187" i="20"/>
  <c r="O79" i="16"/>
  <c r="H79" i="16"/>
  <c r="I79" i="16" s="1"/>
  <c r="C1717" i="20"/>
  <c r="O87" i="16"/>
  <c r="H87" i="16"/>
  <c r="I87" i="16" s="1"/>
  <c r="G32" i="17"/>
  <c r="H32" i="17" s="1"/>
  <c r="I32" i="17" s="1"/>
  <c r="G32" i="16"/>
  <c r="G32" i="15"/>
  <c r="H32" i="15" s="1"/>
  <c r="I32" i="15" s="1"/>
  <c r="G32" i="12"/>
  <c r="H32" i="12" s="1"/>
  <c r="I32" i="12" s="1"/>
  <c r="G32" i="11"/>
  <c r="H32" i="11" s="1"/>
  <c r="I32" i="11" s="1"/>
  <c r="G32" i="14"/>
  <c r="H32" i="14" s="1"/>
  <c r="I32" i="14" s="1"/>
  <c r="G33" i="8"/>
  <c r="H33" i="8" s="1"/>
  <c r="I33" i="8" s="1"/>
  <c r="C20" i="27" s="1"/>
  <c r="G33" i="9"/>
  <c r="H33" i="9" s="1"/>
  <c r="J33" i="9" s="1"/>
  <c r="G32" i="10"/>
  <c r="H32" i="10" s="1"/>
  <c r="I32" i="10" s="1"/>
  <c r="K33" i="7"/>
  <c r="L33" i="7" s="1"/>
  <c r="G16" i="17"/>
  <c r="H16" i="17" s="1"/>
  <c r="I16" i="17" s="1"/>
  <c r="G16" i="16"/>
  <c r="G16" i="11"/>
  <c r="H16" i="11" s="1"/>
  <c r="I16" i="11" s="1"/>
  <c r="G16" i="12"/>
  <c r="H16" i="12" s="1"/>
  <c r="I16" i="12" s="1"/>
  <c r="G16" i="14"/>
  <c r="H16" i="14" s="1"/>
  <c r="I16" i="14" s="1"/>
  <c r="G17" i="8"/>
  <c r="H17" i="8" s="1"/>
  <c r="I17" i="8" s="1"/>
  <c r="C4" i="27" s="1"/>
  <c r="G17" i="9"/>
  <c r="H17" i="9" s="1"/>
  <c r="J17" i="9" s="1"/>
  <c r="G16" i="15"/>
  <c r="H16" i="15" s="1"/>
  <c r="I16" i="15" s="1"/>
  <c r="G16" i="10"/>
  <c r="H16" i="10" s="1"/>
  <c r="I16" i="10" s="1"/>
  <c r="K17" i="7"/>
  <c r="L17" i="7" s="1"/>
  <c r="J1029" i="20"/>
  <c r="I1029" i="20"/>
  <c r="H1029" i="20"/>
  <c r="E132" i="20"/>
  <c r="L132" i="20"/>
  <c r="J132" i="20"/>
  <c r="I132" i="20"/>
  <c r="H132" i="20"/>
  <c r="F132" i="20"/>
  <c r="O28" i="16"/>
  <c r="H28" i="16"/>
  <c r="I28" i="16" s="1"/>
  <c r="C1687" i="20"/>
  <c r="G96" i="17"/>
  <c r="H96" i="17" s="1"/>
  <c r="I96" i="17" s="1"/>
  <c r="G96" i="16"/>
  <c r="G96" i="11"/>
  <c r="H96" i="11" s="1"/>
  <c r="I96" i="11" s="1"/>
  <c r="G96" i="15"/>
  <c r="H96" i="15" s="1"/>
  <c r="I96" i="15" s="1"/>
  <c r="G96" i="10"/>
  <c r="H96" i="10" s="1"/>
  <c r="I96" i="10" s="1"/>
  <c r="G96" i="12"/>
  <c r="H96" i="12" s="1"/>
  <c r="I96" i="12" s="1"/>
  <c r="G97" i="9"/>
  <c r="H97" i="9" s="1"/>
  <c r="J97" i="9" s="1"/>
  <c r="G96" i="14"/>
  <c r="H96" i="14" s="1"/>
  <c r="I96" i="14" s="1"/>
  <c r="G97" i="8"/>
  <c r="H97" i="8" s="1"/>
  <c r="I97" i="8" s="1"/>
  <c r="C84" i="27" s="1"/>
  <c r="K97" i="7"/>
  <c r="L97" i="7" s="1"/>
  <c r="M236" i="20"/>
  <c r="K236" i="20"/>
  <c r="I236" i="20"/>
  <c r="D778" i="20"/>
  <c r="L778" i="20"/>
  <c r="J778" i="20"/>
  <c r="D732" i="20"/>
  <c r="O59" i="16"/>
  <c r="H59" i="16"/>
  <c r="I59" i="16" s="1"/>
  <c r="G89" i="15"/>
  <c r="H89" i="15" s="1"/>
  <c r="I89" i="15" s="1"/>
  <c r="G89" i="17"/>
  <c r="H89" i="17" s="1"/>
  <c r="I89" i="17" s="1"/>
  <c r="G89" i="16"/>
  <c r="G89" i="14"/>
  <c r="H89" i="14" s="1"/>
  <c r="I89" i="14" s="1"/>
  <c r="G89" i="12"/>
  <c r="H89" i="12" s="1"/>
  <c r="I89" i="12" s="1"/>
  <c r="G89" i="10"/>
  <c r="H89" i="10" s="1"/>
  <c r="I89" i="10" s="1"/>
  <c r="G90" i="9"/>
  <c r="H90" i="9" s="1"/>
  <c r="J90" i="9" s="1"/>
  <c r="G89" i="11"/>
  <c r="H89" i="11" s="1"/>
  <c r="I89" i="11" s="1"/>
  <c r="G90" i="8"/>
  <c r="H90" i="8" s="1"/>
  <c r="I90" i="8" s="1"/>
  <c r="C77" i="27" s="1"/>
  <c r="K90" i="7"/>
  <c r="L90" i="7" s="1"/>
  <c r="G76" i="17"/>
  <c r="H76" i="17" s="1"/>
  <c r="I76" i="17" s="1"/>
  <c r="G76" i="16"/>
  <c r="G76" i="15"/>
  <c r="H76" i="15" s="1"/>
  <c r="I76" i="15" s="1"/>
  <c r="G76" i="11"/>
  <c r="H76" i="11" s="1"/>
  <c r="I76" i="11" s="1"/>
  <c r="G76" i="10"/>
  <c r="H76" i="10" s="1"/>
  <c r="I76" i="10" s="1"/>
  <c r="G76" i="14"/>
  <c r="H76" i="14" s="1"/>
  <c r="I76" i="14" s="1"/>
  <c r="G76" i="12"/>
  <c r="H76" i="12" s="1"/>
  <c r="I76" i="12" s="1"/>
  <c r="G77" i="9"/>
  <c r="H77" i="9" s="1"/>
  <c r="J77" i="9" s="1"/>
  <c r="G77" i="8"/>
  <c r="H77" i="8" s="1"/>
  <c r="I77" i="8" s="1"/>
  <c r="C64" i="27" s="1"/>
  <c r="K77" i="7"/>
  <c r="L77" i="7" s="1"/>
  <c r="O26" i="16"/>
  <c r="H26" i="16"/>
  <c r="I26" i="16" s="1"/>
  <c r="G17" i="17"/>
  <c r="H17" i="17" s="1"/>
  <c r="I17" i="17" s="1"/>
  <c r="G17" i="16"/>
  <c r="G17" i="15"/>
  <c r="H17" i="15" s="1"/>
  <c r="I17" i="15" s="1"/>
  <c r="G17" i="14"/>
  <c r="H17" i="14" s="1"/>
  <c r="I17" i="14" s="1"/>
  <c r="G17" i="12"/>
  <c r="H17" i="12" s="1"/>
  <c r="I17" i="12" s="1"/>
  <c r="G17" i="11"/>
  <c r="H17" i="11" s="1"/>
  <c r="I17" i="11" s="1"/>
  <c r="G17" i="10"/>
  <c r="H17" i="10" s="1"/>
  <c r="I17" i="10" s="1"/>
  <c r="G18" i="8"/>
  <c r="H18" i="8" s="1"/>
  <c r="I18" i="8" s="1"/>
  <c r="C5" i="27" s="1"/>
  <c r="G18" i="9"/>
  <c r="H18" i="9" s="1"/>
  <c r="J18" i="9" s="1"/>
  <c r="K18" i="7"/>
  <c r="L18" i="7" s="1"/>
  <c r="D176" i="20"/>
  <c r="C142" i="20"/>
  <c r="O18" i="16"/>
  <c r="H18" i="16"/>
  <c r="I18" i="16" s="1"/>
  <c r="G39" i="17"/>
  <c r="H39" i="17" s="1"/>
  <c r="I39" i="17" s="1"/>
  <c r="G39" i="16"/>
  <c r="G39" i="15"/>
  <c r="H39" i="15" s="1"/>
  <c r="I39" i="15" s="1"/>
  <c r="G39" i="14"/>
  <c r="H39" i="14" s="1"/>
  <c r="I39" i="14" s="1"/>
  <c r="G39" i="11"/>
  <c r="H39" i="11" s="1"/>
  <c r="I39" i="11" s="1"/>
  <c r="G39" i="10"/>
  <c r="H39" i="10" s="1"/>
  <c r="I39" i="10" s="1"/>
  <c r="G39" i="12"/>
  <c r="H39" i="12" s="1"/>
  <c r="I39" i="12" s="1"/>
  <c r="G40" i="8"/>
  <c r="H40" i="8" s="1"/>
  <c r="I40" i="8" s="1"/>
  <c r="C27" i="27" s="1"/>
  <c r="G40" i="9"/>
  <c r="H40" i="9" s="1"/>
  <c r="J40" i="9" s="1"/>
  <c r="K40" i="7"/>
  <c r="L40" i="7" s="1"/>
  <c r="G88" i="17"/>
  <c r="H88" i="17" s="1"/>
  <c r="I88" i="17" s="1"/>
  <c r="G88" i="16"/>
  <c r="G88" i="15"/>
  <c r="H88" i="15" s="1"/>
  <c r="I88" i="15" s="1"/>
  <c r="G88" i="11"/>
  <c r="H88" i="11" s="1"/>
  <c r="I88" i="11" s="1"/>
  <c r="G88" i="10"/>
  <c r="H88" i="10" s="1"/>
  <c r="I88" i="10" s="1"/>
  <c r="G88" i="14"/>
  <c r="H88" i="14" s="1"/>
  <c r="I88" i="14" s="1"/>
  <c r="G88" i="12"/>
  <c r="H88" i="12" s="1"/>
  <c r="I88" i="12" s="1"/>
  <c r="G89" i="8"/>
  <c r="H89" i="8" s="1"/>
  <c r="I89" i="8" s="1"/>
  <c r="C76" i="27" s="1"/>
  <c r="G89" i="9"/>
  <c r="H89" i="9" s="1"/>
  <c r="J89" i="9" s="1"/>
  <c r="K89" i="7"/>
  <c r="L89" i="7" s="1"/>
  <c r="G52" i="17"/>
  <c r="H52" i="17" s="1"/>
  <c r="I52" i="17" s="1"/>
  <c r="G52" i="16"/>
  <c r="G52" i="14"/>
  <c r="H52" i="14" s="1"/>
  <c r="I52" i="14" s="1"/>
  <c r="G52" i="11"/>
  <c r="H52" i="11" s="1"/>
  <c r="I52" i="11" s="1"/>
  <c r="G52" i="15"/>
  <c r="H52" i="15" s="1"/>
  <c r="I52" i="15" s="1"/>
  <c r="G52" i="12"/>
  <c r="H52" i="12" s="1"/>
  <c r="I52" i="12" s="1"/>
  <c r="G52" i="10"/>
  <c r="H52" i="10" s="1"/>
  <c r="I52" i="10" s="1"/>
  <c r="G53" i="9"/>
  <c r="H53" i="9" s="1"/>
  <c r="J53" i="9" s="1"/>
  <c r="G53" i="8"/>
  <c r="H53" i="8" s="1"/>
  <c r="I53" i="8" s="1"/>
  <c r="C40" i="27" s="1"/>
  <c r="K53" i="7"/>
  <c r="L53" i="7" s="1"/>
  <c r="C937" i="20"/>
  <c r="L1062" i="20"/>
  <c r="J1062" i="20"/>
  <c r="I1062" i="20"/>
  <c r="E1062" i="20"/>
  <c r="D1062" i="20"/>
  <c r="D414" i="20"/>
  <c r="K1224" i="20"/>
  <c r="O1224" i="20"/>
  <c r="L1224" i="20"/>
  <c r="J1224" i="20"/>
  <c r="H1224" i="20"/>
  <c r="G1224" i="20"/>
  <c r="F1224" i="20"/>
  <c r="D1224" i="20"/>
  <c r="C1627" i="20"/>
  <c r="F192" i="20"/>
  <c r="O24" i="16"/>
  <c r="H24" i="16"/>
  <c r="I24" i="16" s="1"/>
  <c r="G45" i="16"/>
  <c r="G45" i="15"/>
  <c r="H45" i="15" s="1"/>
  <c r="I45" i="15" s="1"/>
  <c r="G45" i="14"/>
  <c r="H45" i="14" s="1"/>
  <c r="I45" i="14" s="1"/>
  <c r="G45" i="10"/>
  <c r="H45" i="10" s="1"/>
  <c r="I45" i="10" s="1"/>
  <c r="G45" i="17"/>
  <c r="H45" i="17" s="1"/>
  <c r="I45" i="17" s="1"/>
  <c r="G46" i="9"/>
  <c r="H46" i="9" s="1"/>
  <c r="J46" i="9" s="1"/>
  <c r="G45" i="12"/>
  <c r="H45" i="12" s="1"/>
  <c r="I45" i="12" s="1"/>
  <c r="G45" i="11"/>
  <c r="H45" i="11" s="1"/>
  <c r="I45" i="11" s="1"/>
  <c r="G46" i="8"/>
  <c r="H46" i="8" s="1"/>
  <c r="I46" i="8" s="1"/>
  <c r="C33" i="27" s="1"/>
  <c r="K46" i="7"/>
  <c r="L46" i="7" s="1"/>
  <c r="C1372" i="20"/>
  <c r="H15" i="14"/>
  <c r="O93" i="16"/>
  <c r="H93" i="16"/>
  <c r="I93" i="16" s="1"/>
  <c r="G70" i="17"/>
  <c r="H70" i="17" s="1"/>
  <c r="I70" i="17" s="1"/>
  <c r="G70" i="16"/>
  <c r="G70" i="15"/>
  <c r="H70" i="15" s="1"/>
  <c r="I70" i="15" s="1"/>
  <c r="G70" i="12"/>
  <c r="H70" i="12" s="1"/>
  <c r="I70" i="12" s="1"/>
  <c r="G70" i="11"/>
  <c r="H70" i="11" s="1"/>
  <c r="I70" i="11" s="1"/>
  <c r="G70" i="14"/>
  <c r="H70" i="14" s="1"/>
  <c r="I70" i="14" s="1"/>
  <c r="G70" i="10"/>
  <c r="H70" i="10" s="1"/>
  <c r="I70" i="10" s="1"/>
  <c r="G71" i="9"/>
  <c r="H71" i="9" s="1"/>
  <c r="J71" i="9" s="1"/>
  <c r="G71" i="8"/>
  <c r="H71" i="8" s="1"/>
  <c r="I71" i="8" s="1"/>
  <c r="C58" i="27" s="1"/>
  <c r="K71" i="7"/>
  <c r="L71" i="7" s="1"/>
  <c r="C247" i="20"/>
  <c r="G72" i="17"/>
  <c r="H72" i="17" s="1"/>
  <c r="I72" i="17" s="1"/>
  <c r="G72" i="16"/>
  <c r="G72" i="11"/>
  <c r="H72" i="11" s="1"/>
  <c r="I72" i="11" s="1"/>
  <c r="G72" i="14"/>
  <c r="H72" i="14" s="1"/>
  <c r="I72" i="14" s="1"/>
  <c r="G72" i="12"/>
  <c r="H72" i="12" s="1"/>
  <c r="I72" i="12" s="1"/>
  <c r="G72" i="10"/>
  <c r="H72" i="10" s="1"/>
  <c r="I72" i="10" s="1"/>
  <c r="G72" i="15"/>
  <c r="H72" i="15" s="1"/>
  <c r="I72" i="15" s="1"/>
  <c r="G73" i="8"/>
  <c r="H73" i="8" s="1"/>
  <c r="I73" i="8" s="1"/>
  <c r="C60" i="27" s="1"/>
  <c r="G73" i="9"/>
  <c r="H73" i="9" s="1"/>
  <c r="J73" i="9" s="1"/>
  <c r="K73" i="7"/>
  <c r="L73" i="7" s="1"/>
  <c r="O1469" i="20"/>
  <c r="I1469" i="20"/>
  <c r="N1469" i="20"/>
  <c r="G1469" i="20"/>
  <c r="F1469" i="20"/>
  <c r="D1469" i="20"/>
  <c r="K1469" i="20"/>
  <c r="H1469" i="20"/>
  <c r="E1469" i="20"/>
  <c r="C1192" i="20"/>
  <c r="O1051" i="20"/>
  <c r="N1051" i="20"/>
  <c r="M1051" i="20"/>
  <c r="K1051" i="20"/>
  <c r="J1051" i="20"/>
  <c r="H1051" i="20"/>
  <c r="G1051" i="20"/>
  <c r="D1051" i="20"/>
  <c r="C217" i="20"/>
  <c r="G931" i="20"/>
  <c r="E931" i="20"/>
  <c r="O931" i="20"/>
  <c r="L931" i="20"/>
  <c r="J931" i="20"/>
  <c r="I162" i="20"/>
  <c r="K162" i="20"/>
  <c r="L1514" i="20"/>
  <c r="K1514" i="20"/>
  <c r="J1514" i="20"/>
  <c r="G1514" i="20"/>
  <c r="E1514" i="20"/>
  <c r="E1617" i="20"/>
  <c r="G1223" i="20"/>
  <c r="D1499" i="20"/>
  <c r="J1499" i="20"/>
  <c r="O1499" i="20"/>
  <c r="L1499" i="20"/>
  <c r="I1499" i="20"/>
  <c r="H1499" i="20"/>
  <c r="E1499" i="20"/>
  <c r="I106" i="20"/>
  <c r="D106" i="20"/>
  <c r="O106" i="20"/>
  <c r="N106" i="20"/>
  <c r="G283" i="20"/>
  <c r="E283" i="20"/>
  <c r="M384" i="20"/>
  <c r="J384" i="20"/>
  <c r="F384" i="20"/>
  <c r="O103" i="16"/>
  <c r="H103" i="16"/>
  <c r="I103" i="16" s="1"/>
  <c r="J796" i="20"/>
  <c r="C337" i="20"/>
  <c r="O443" i="20"/>
  <c r="E1107" i="20"/>
  <c r="C1177" i="20"/>
  <c r="L882" i="20"/>
  <c r="E1381" i="20"/>
  <c r="G1381" i="20"/>
  <c r="D1381" i="20"/>
  <c r="N1381" i="20"/>
  <c r="H1381" i="20"/>
  <c r="F1381" i="20"/>
  <c r="O1381" i="20"/>
  <c r="M1381" i="20"/>
  <c r="J1381" i="20"/>
  <c r="I1381" i="20"/>
  <c r="O107" i="16"/>
  <c r="H107" i="16"/>
  <c r="I107" i="16" s="1"/>
  <c r="C922" i="20"/>
  <c r="K1693" i="20"/>
  <c r="E1693" i="20"/>
  <c r="G58" i="17"/>
  <c r="H58" i="17" s="1"/>
  <c r="I58" i="17" s="1"/>
  <c r="G58" i="16"/>
  <c r="G58" i="15"/>
  <c r="H58" i="15" s="1"/>
  <c r="I58" i="15" s="1"/>
  <c r="G58" i="14"/>
  <c r="H58" i="14" s="1"/>
  <c r="I58" i="14" s="1"/>
  <c r="G58" i="12"/>
  <c r="H58" i="12" s="1"/>
  <c r="I58" i="12" s="1"/>
  <c r="G58" i="11"/>
  <c r="H58" i="11" s="1"/>
  <c r="I58" i="11" s="1"/>
  <c r="G58" i="10"/>
  <c r="H58" i="10" s="1"/>
  <c r="I58" i="10" s="1"/>
  <c r="G59" i="9"/>
  <c r="H59" i="9" s="1"/>
  <c r="J59" i="9" s="1"/>
  <c r="G59" i="8"/>
  <c r="H59" i="8" s="1"/>
  <c r="I59" i="8" s="1"/>
  <c r="C46" i="27" s="1"/>
  <c r="K59" i="7"/>
  <c r="L59" i="7" s="1"/>
  <c r="J1298" i="20"/>
  <c r="G1298" i="20"/>
  <c r="D1298" i="20"/>
  <c r="H1298" i="20"/>
  <c r="E1298" i="20"/>
  <c r="D779" i="20"/>
  <c r="G80" i="17"/>
  <c r="H80" i="17" s="1"/>
  <c r="I80" i="17" s="1"/>
  <c r="G80" i="16"/>
  <c r="G80" i="15"/>
  <c r="H80" i="15" s="1"/>
  <c r="I80" i="15" s="1"/>
  <c r="G80" i="11"/>
  <c r="H80" i="11" s="1"/>
  <c r="I80" i="11" s="1"/>
  <c r="G80" i="14"/>
  <c r="H80" i="14" s="1"/>
  <c r="I80" i="14" s="1"/>
  <c r="G80" i="10"/>
  <c r="H80" i="10" s="1"/>
  <c r="I80" i="10" s="1"/>
  <c r="G80" i="12"/>
  <c r="H80" i="12" s="1"/>
  <c r="I80" i="12" s="1"/>
  <c r="G81" i="8"/>
  <c r="H81" i="8" s="1"/>
  <c r="I81" i="8" s="1"/>
  <c r="C68" i="27" s="1"/>
  <c r="G81" i="9"/>
  <c r="H81" i="9" s="1"/>
  <c r="J81" i="9" s="1"/>
  <c r="K81" i="7"/>
  <c r="L81" i="7" s="1"/>
  <c r="O20" i="16"/>
  <c r="H20" i="16"/>
  <c r="I20" i="16" s="1"/>
  <c r="G49" i="16"/>
  <c r="G49" i="17"/>
  <c r="H49" i="17" s="1"/>
  <c r="I49" i="17" s="1"/>
  <c r="G49" i="15"/>
  <c r="H49" i="15" s="1"/>
  <c r="I49" i="15" s="1"/>
  <c r="G49" i="12"/>
  <c r="H49" i="12" s="1"/>
  <c r="I49" i="12" s="1"/>
  <c r="G49" i="14"/>
  <c r="H49" i="14" s="1"/>
  <c r="I49" i="14" s="1"/>
  <c r="G50" i="9"/>
  <c r="H50" i="9" s="1"/>
  <c r="J50" i="9" s="1"/>
  <c r="G49" i="11"/>
  <c r="H49" i="11" s="1"/>
  <c r="I49" i="11" s="1"/>
  <c r="G49" i="10"/>
  <c r="H49" i="10" s="1"/>
  <c r="I49" i="10" s="1"/>
  <c r="G50" i="8"/>
  <c r="H50" i="8" s="1"/>
  <c r="I50" i="8" s="1"/>
  <c r="C37" i="27" s="1"/>
  <c r="K50" i="7"/>
  <c r="L50" i="7" s="1"/>
  <c r="H929" i="20"/>
  <c r="G929" i="20"/>
  <c r="O929" i="20"/>
  <c r="J929" i="20"/>
  <c r="F929" i="20"/>
  <c r="D929" i="20"/>
  <c r="N929" i="20"/>
  <c r="L929" i="20"/>
  <c r="H1079" i="20"/>
  <c r="F1079" i="20"/>
  <c r="C1612" i="20"/>
  <c r="J1633" i="20"/>
  <c r="N1633" i="20"/>
  <c r="L1633" i="20"/>
  <c r="I1633" i="20"/>
  <c r="H1633" i="20"/>
  <c r="L193" i="20"/>
  <c r="K193" i="20"/>
  <c r="I193" i="20"/>
  <c r="H193" i="20"/>
  <c r="G193" i="20"/>
  <c r="F193" i="20"/>
  <c r="F329" i="20"/>
  <c r="G1291" i="20"/>
  <c r="J146" i="20"/>
  <c r="H146" i="20"/>
  <c r="G146" i="20"/>
  <c r="F146" i="20"/>
  <c r="E146" i="20"/>
  <c r="D146" i="20"/>
  <c r="L146" i="20"/>
  <c r="K146" i="20"/>
  <c r="O146" i="20"/>
  <c r="D1651" i="20"/>
  <c r="L1651" i="20"/>
  <c r="J1651" i="20"/>
  <c r="I1651" i="20"/>
  <c r="M1651" i="20"/>
  <c r="F1651" i="20"/>
  <c r="O1651" i="20"/>
  <c r="E1651" i="20"/>
  <c r="H1651" i="20"/>
  <c r="N1651" i="20"/>
  <c r="K1651" i="20"/>
  <c r="G1651" i="20"/>
  <c r="L569" i="20"/>
  <c r="I569" i="20"/>
  <c r="G95" i="15"/>
  <c r="H95" i="15" s="1"/>
  <c r="I95" i="15" s="1"/>
  <c r="G95" i="17"/>
  <c r="H95" i="17" s="1"/>
  <c r="I95" i="17" s="1"/>
  <c r="G95" i="16"/>
  <c r="G95" i="14"/>
  <c r="H95" i="14" s="1"/>
  <c r="I95" i="14" s="1"/>
  <c r="G95" i="12"/>
  <c r="H95" i="12" s="1"/>
  <c r="I95" i="12" s="1"/>
  <c r="G95" i="11"/>
  <c r="H95" i="11" s="1"/>
  <c r="I95" i="11" s="1"/>
  <c r="G96" i="9"/>
  <c r="H96" i="9" s="1"/>
  <c r="J96" i="9" s="1"/>
  <c r="G95" i="10"/>
  <c r="H95" i="10" s="1"/>
  <c r="I95" i="10" s="1"/>
  <c r="G96" i="8"/>
  <c r="H96" i="8" s="1"/>
  <c r="I96" i="8" s="1"/>
  <c r="C83" i="27" s="1"/>
  <c r="K96" i="7"/>
  <c r="L96" i="7" s="1"/>
  <c r="I251" i="20"/>
  <c r="H251" i="20"/>
  <c r="G106" i="15"/>
  <c r="H106" i="15" s="1"/>
  <c r="I106" i="15" s="1"/>
  <c r="G106" i="17"/>
  <c r="H106" i="17" s="1"/>
  <c r="I106" i="17" s="1"/>
  <c r="G106" i="16"/>
  <c r="G106" i="14"/>
  <c r="H106" i="14" s="1"/>
  <c r="I106" i="14" s="1"/>
  <c r="G106" i="11"/>
  <c r="H106" i="11" s="1"/>
  <c r="I106" i="11" s="1"/>
  <c r="G106" i="12"/>
  <c r="H106" i="12" s="1"/>
  <c r="I106" i="12" s="1"/>
  <c r="G107" i="8"/>
  <c r="H107" i="8" s="1"/>
  <c r="I107" i="8" s="1"/>
  <c r="C94" i="27" s="1"/>
  <c r="G106" i="10"/>
  <c r="H106" i="10" s="1"/>
  <c r="I106" i="10" s="1"/>
  <c r="G107" i="9"/>
  <c r="H107" i="9" s="1"/>
  <c r="J107" i="9" s="1"/>
  <c r="K107" i="7"/>
  <c r="L107" i="7" s="1"/>
  <c r="I416" i="20"/>
  <c r="F416" i="20"/>
  <c r="H81" i="16"/>
  <c r="I81" i="16" s="1"/>
  <c r="C127" i="20"/>
  <c r="C907" i="20"/>
  <c r="G194" i="20"/>
  <c r="E194" i="20"/>
  <c r="L194" i="20"/>
  <c r="E1501" i="20"/>
  <c r="K1501" i="20"/>
  <c r="L1501" i="20"/>
  <c r="I1501" i="20"/>
  <c r="H1501" i="20"/>
  <c r="F1501" i="20"/>
  <c r="M1501" i="20"/>
  <c r="J1501" i="20"/>
  <c r="G1501" i="20"/>
  <c r="M147" i="20"/>
  <c r="L147" i="20"/>
  <c r="I147" i="20"/>
  <c r="G147" i="20"/>
  <c r="F147" i="20"/>
  <c r="E147" i="20"/>
  <c r="D147" i="20"/>
  <c r="O147" i="20"/>
  <c r="K147" i="20"/>
  <c r="C1117" i="20"/>
  <c r="C1297" i="20"/>
  <c r="G68" i="17"/>
  <c r="H68" i="17" s="1"/>
  <c r="I68" i="17" s="1"/>
  <c r="G68" i="16"/>
  <c r="G68" i="11"/>
  <c r="H68" i="11" s="1"/>
  <c r="I68" i="11" s="1"/>
  <c r="G68" i="15"/>
  <c r="H68" i="15" s="1"/>
  <c r="I68" i="15" s="1"/>
  <c r="G68" i="14"/>
  <c r="H68" i="14" s="1"/>
  <c r="I68" i="14" s="1"/>
  <c r="G68" i="10"/>
  <c r="H68" i="10" s="1"/>
  <c r="I68" i="10" s="1"/>
  <c r="G68" i="12"/>
  <c r="H68" i="12" s="1"/>
  <c r="I68" i="12" s="1"/>
  <c r="G69" i="8"/>
  <c r="H69" i="8" s="1"/>
  <c r="I69" i="8" s="1"/>
  <c r="C56" i="27" s="1"/>
  <c r="G69" i="9"/>
  <c r="H69" i="9" s="1"/>
  <c r="J69" i="9" s="1"/>
  <c r="K69" i="7"/>
  <c r="L69" i="7" s="1"/>
  <c r="G781" i="20"/>
  <c r="F781" i="20"/>
  <c r="E781" i="20"/>
  <c r="D781" i="20"/>
  <c r="O781" i="20"/>
  <c r="I1121" i="20"/>
  <c r="H1121" i="20"/>
  <c r="G1121" i="20"/>
  <c r="F1121" i="20"/>
  <c r="G105" i="15"/>
  <c r="H105" i="15" s="1"/>
  <c r="I105" i="15" s="1"/>
  <c r="G105" i="16"/>
  <c r="G105" i="17"/>
  <c r="H105" i="17" s="1"/>
  <c r="I105" i="17" s="1"/>
  <c r="G105" i="11"/>
  <c r="H105" i="11" s="1"/>
  <c r="I105" i="11" s="1"/>
  <c r="G105" i="12"/>
  <c r="H105" i="12" s="1"/>
  <c r="I105" i="12" s="1"/>
  <c r="G105" i="14"/>
  <c r="H105" i="14" s="1"/>
  <c r="I105" i="14" s="1"/>
  <c r="G105" i="10"/>
  <c r="H105" i="10" s="1"/>
  <c r="I105" i="10" s="1"/>
  <c r="G106" i="9"/>
  <c r="H106" i="9" s="1"/>
  <c r="J106" i="9" s="1"/>
  <c r="G106" i="8"/>
  <c r="H106" i="8" s="1"/>
  <c r="I106" i="8" s="1"/>
  <c r="C93" i="27" s="1"/>
  <c r="K106" i="7"/>
  <c r="L106" i="7" s="1"/>
  <c r="C1672" i="20"/>
  <c r="G116" i="17"/>
  <c r="H116" i="17" s="1"/>
  <c r="I116" i="17" s="1"/>
  <c r="G116" i="16"/>
  <c r="G116" i="11"/>
  <c r="H116" i="11" s="1"/>
  <c r="I116" i="11" s="1"/>
  <c r="G116" i="14"/>
  <c r="H116" i="14" s="1"/>
  <c r="I116" i="14" s="1"/>
  <c r="G116" i="10"/>
  <c r="H116" i="10" s="1"/>
  <c r="I116" i="10" s="1"/>
  <c r="G116" i="15"/>
  <c r="H116" i="15" s="1"/>
  <c r="I116" i="15" s="1"/>
  <c r="G117" i="9"/>
  <c r="H117" i="9" s="1"/>
  <c r="J117" i="9" s="1"/>
  <c r="G117" i="8"/>
  <c r="H117" i="8" s="1"/>
  <c r="I117" i="8" s="1"/>
  <c r="C104" i="27" s="1"/>
  <c r="G116" i="12"/>
  <c r="H116" i="12" s="1"/>
  <c r="I116" i="12" s="1"/>
  <c r="K117" i="7"/>
  <c r="L117" i="7" s="1"/>
  <c r="O126" i="16"/>
  <c r="H126" i="16"/>
  <c r="I126" i="16" s="1"/>
  <c r="O36" i="16"/>
  <c r="H36" i="16"/>
  <c r="I36" i="16" s="1"/>
  <c r="G1632" i="20"/>
  <c r="O1632" i="20"/>
  <c r="J1632" i="20"/>
  <c r="I1632" i="20"/>
  <c r="D1632" i="20"/>
  <c r="E196" i="20"/>
  <c r="D196" i="20"/>
  <c r="O196" i="20"/>
  <c r="N196" i="20"/>
  <c r="M196" i="20"/>
  <c r="L196" i="20"/>
  <c r="K196" i="20"/>
  <c r="G196" i="20"/>
  <c r="M237" i="20"/>
  <c r="L237" i="20"/>
  <c r="F237" i="20"/>
  <c r="E237" i="20"/>
  <c r="D237" i="20"/>
  <c r="O237" i="20"/>
  <c r="D148" i="20"/>
  <c r="O148" i="20"/>
  <c r="C712" i="20"/>
  <c r="G57" i="16"/>
  <c r="G57" i="15"/>
  <c r="H57" i="15" s="1"/>
  <c r="I57" i="15" s="1"/>
  <c r="G57" i="14"/>
  <c r="H57" i="14" s="1"/>
  <c r="I57" i="14" s="1"/>
  <c r="G57" i="12"/>
  <c r="H57" i="12" s="1"/>
  <c r="I57" i="12" s="1"/>
  <c r="G57" i="17"/>
  <c r="H57" i="17" s="1"/>
  <c r="I57" i="17" s="1"/>
  <c r="G57" i="11"/>
  <c r="H57" i="11" s="1"/>
  <c r="I57" i="11" s="1"/>
  <c r="G58" i="9"/>
  <c r="H58" i="9" s="1"/>
  <c r="J58" i="9" s="1"/>
  <c r="G57" i="10"/>
  <c r="H57" i="10" s="1"/>
  <c r="I57" i="10" s="1"/>
  <c r="G58" i="8"/>
  <c r="H58" i="8" s="1"/>
  <c r="I58" i="8" s="1"/>
  <c r="C45" i="27" s="1"/>
  <c r="K58" i="7"/>
  <c r="L58" i="7" s="1"/>
  <c r="O64" i="16"/>
  <c r="H64" i="16"/>
  <c r="I64" i="16" s="1"/>
  <c r="C1267" i="20"/>
  <c r="H372" i="20"/>
  <c r="E372" i="20"/>
  <c r="D372" i="20"/>
  <c r="O372" i="20"/>
  <c r="N372" i="20"/>
  <c r="J372" i="20"/>
  <c r="I372" i="20"/>
  <c r="G372" i="20"/>
  <c r="F372" i="20"/>
  <c r="G44" i="17"/>
  <c r="H44" i="17" s="1"/>
  <c r="I44" i="17" s="1"/>
  <c r="G44" i="16"/>
  <c r="G44" i="14"/>
  <c r="H44" i="14" s="1"/>
  <c r="I44" i="14" s="1"/>
  <c r="G44" i="11"/>
  <c r="H44" i="11" s="1"/>
  <c r="I44" i="11" s="1"/>
  <c r="G44" i="10"/>
  <c r="H44" i="10" s="1"/>
  <c r="I44" i="10" s="1"/>
  <c r="G44" i="15"/>
  <c r="H44" i="15" s="1"/>
  <c r="I44" i="15" s="1"/>
  <c r="G45" i="8"/>
  <c r="H45" i="8" s="1"/>
  <c r="I45" i="8" s="1"/>
  <c r="C32" i="27" s="1"/>
  <c r="G44" i="12"/>
  <c r="H44" i="12" s="1"/>
  <c r="I44" i="12" s="1"/>
  <c r="G45" i="9"/>
  <c r="H45" i="9" s="1"/>
  <c r="J45" i="9" s="1"/>
  <c r="K45" i="7"/>
  <c r="L45" i="7" s="1"/>
  <c r="O75" i="16"/>
  <c r="H75" i="16"/>
  <c r="I75" i="16" s="1"/>
  <c r="C817" i="20"/>
  <c r="O94" i="16"/>
  <c r="H94" i="16"/>
  <c r="I94" i="16" s="1"/>
  <c r="D1636" i="20"/>
  <c r="N1636" i="20"/>
  <c r="M1636" i="20"/>
  <c r="J1636" i="20"/>
  <c r="L1636" i="20"/>
  <c r="F1636" i="20"/>
  <c r="I1636" i="20"/>
  <c r="O25" i="16"/>
  <c r="H25" i="16"/>
  <c r="I25" i="16" s="1"/>
  <c r="C232" i="20"/>
  <c r="D1319" i="20"/>
  <c r="L1319" i="20"/>
  <c r="I1319" i="20"/>
  <c r="F1319" i="20"/>
  <c r="O1319" i="20"/>
  <c r="N1319" i="20"/>
  <c r="M1319" i="20"/>
  <c r="K1319" i="20"/>
  <c r="J1319" i="20"/>
  <c r="H1319" i="20"/>
  <c r="G1319" i="20"/>
  <c r="E1319" i="20"/>
  <c r="F1544" i="20"/>
  <c r="L1544" i="20"/>
  <c r="E1544" i="20"/>
  <c r="L1433" i="20"/>
  <c r="M1433" i="20"/>
  <c r="K1433" i="20"/>
  <c r="G1433" i="20"/>
  <c r="E1433" i="20"/>
  <c r="N1433" i="20"/>
  <c r="F1433" i="20"/>
  <c r="C502" i="20"/>
  <c r="C262" i="20"/>
  <c r="O22" i="16"/>
  <c r="H22" i="16"/>
  <c r="I22" i="16" s="1"/>
  <c r="O31" i="16"/>
  <c r="H31" i="16"/>
  <c r="I31" i="16" s="1"/>
  <c r="G43" i="17"/>
  <c r="H43" i="17" s="1"/>
  <c r="I43" i="17" s="1"/>
  <c r="G43" i="16"/>
  <c r="G43" i="15"/>
  <c r="H43" i="15" s="1"/>
  <c r="I43" i="15" s="1"/>
  <c r="G43" i="14"/>
  <c r="H43" i="14" s="1"/>
  <c r="I43" i="14" s="1"/>
  <c r="G43" i="11"/>
  <c r="H43" i="11" s="1"/>
  <c r="I43" i="11" s="1"/>
  <c r="G43" i="12"/>
  <c r="H43" i="12" s="1"/>
  <c r="I43" i="12" s="1"/>
  <c r="G43" i="10"/>
  <c r="H43" i="10" s="1"/>
  <c r="I43" i="10" s="1"/>
  <c r="G44" i="8"/>
  <c r="H44" i="8" s="1"/>
  <c r="I44" i="8" s="1"/>
  <c r="C31" i="27" s="1"/>
  <c r="G44" i="9"/>
  <c r="H44" i="9" s="1"/>
  <c r="J44" i="9" s="1"/>
  <c r="K44" i="7"/>
  <c r="L44" i="7" s="1"/>
  <c r="G54" i="17"/>
  <c r="H54" i="17" s="1"/>
  <c r="I54" i="17" s="1"/>
  <c r="G54" i="15"/>
  <c r="H54" i="15" s="1"/>
  <c r="I54" i="15" s="1"/>
  <c r="G54" i="12"/>
  <c r="H54" i="12" s="1"/>
  <c r="I54" i="12" s="1"/>
  <c r="G54" i="11"/>
  <c r="H54" i="11" s="1"/>
  <c r="I54" i="11" s="1"/>
  <c r="G54" i="14"/>
  <c r="H54" i="14" s="1"/>
  <c r="I54" i="14" s="1"/>
  <c r="G54" i="16"/>
  <c r="G55" i="8"/>
  <c r="H55" i="8" s="1"/>
  <c r="I55" i="8" s="1"/>
  <c r="C42" i="27" s="1"/>
  <c r="G54" i="10"/>
  <c r="H54" i="10" s="1"/>
  <c r="I54" i="10" s="1"/>
  <c r="G55" i="9"/>
  <c r="H55" i="9" s="1"/>
  <c r="J55" i="9" s="1"/>
  <c r="K55" i="7"/>
  <c r="L55" i="7" s="1"/>
  <c r="F731" i="20"/>
  <c r="J731" i="20"/>
  <c r="H731" i="20"/>
  <c r="D731" i="20"/>
  <c r="O66" i="16"/>
  <c r="H66" i="16"/>
  <c r="I66" i="16" s="1"/>
  <c r="J15" i="7"/>
  <c r="C1207" i="20"/>
  <c r="G373" i="20"/>
  <c r="D373" i="20"/>
  <c r="H373" i="20"/>
  <c r="F373" i="20"/>
  <c r="E373" i="20"/>
  <c r="C82" i="20"/>
  <c r="O90" i="16"/>
  <c r="H90" i="16"/>
  <c r="I90" i="16" s="1"/>
  <c r="C1507" i="20"/>
  <c r="C1657" i="20"/>
  <c r="O42" i="16"/>
  <c r="E149" i="20"/>
  <c r="O149" i="20"/>
  <c r="H149" i="20"/>
  <c r="M1304" i="20"/>
  <c r="J1304" i="20"/>
  <c r="C562" i="20"/>
  <c r="J1301" i="20"/>
  <c r="F1301" i="20"/>
  <c r="E1301" i="20"/>
  <c r="G117" i="15"/>
  <c r="H117" i="15" s="1"/>
  <c r="I117" i="15" s="1"/>
  <c r="G117" i="16"/>
  <c r="G117" i="17"/>
  <c r="H117" i="17" s="1"/>
  <c r="I117" i="17" s="1"/>
  <c r="G117" i="12"/>
  <c r="H117" i="12" s="1"/>
  <c r="I117" i="12" s="1"/>
  <c r="G117" i="14"/>
  <c r="H117" i="14" s="1"/>
  <c r="I117" i="14" s="1"/>
  <c r="G118" i="9"/>
  <c r="H118" i="9" s="1"/>
  <c r="J118" i="9" s="1"/>
  <c r="G117" i="10"/>
  <c r="H117" i="10" s="1"/>
  <c r="I117" i="10" s="1"/>
  <c r="G118" i="8"/>
  <c r="H118" i="8" s="1"/>
  <c r="I118" i="8" s="1"/>
  <c r="C105" i="27" s="1"/>
  <c r="G117" i="11"/>
  <c r="H117" i="11" s="1"/>
  <c r="I117" i="11" s="1"/>
  <c r="K118" i="7"/>
  <c r="L118" i="7" s="1"/>
  <c r="C727" i="20"/>
  <c r="J129" i="7"/>
  <c r="G111" i="15"/>
  <c r="H111" i="15" s="1"/>
  <c r="I111" i="15" s="1"/>
  <c r="G111" i="17"/>
  <c r="H111" i="17" s="1"/>
  <c r="I111" i="17" s="1"/>
  <c r="G111" i="16"/>
  <c r="G111" i="14"/>
  <c r="H111" i="14" s="1"/>
  <c r="I111" i="14" s="1"/>
  <c r="G111" i="11"/>
  <c r="H111" i="11" s="1"/>
  <c r="I111" i="11" s="1"/>
  <c r="G112" i="8"/>
  <c r="H112" i="8" s="1"/>
  <c r="I112" i="8" s="1"/>
  <c r="C99" i="27" s="1"/>
  <c r="G112" i="9"/>
  <c r="H112" i="9" s="1"/>
  <c r="J112" i="9" s="1"/>
  <c r="G111" i="12"/>
  <c r="H111" i="12" s="1"/>
  <c r="I111" i="12" s="1"/>
  <c r="G111" i="10"/>
  <c r="H111" i="10" s="1"/>
  <c r="I111" i="10" s="1"/>
  <c r="K112" i="7"/>
  <c r="L112" i="7" s="1"/>
  <c r="N151" i="20"/>
  <c r="M151" i="20"/>
  <c r="L151" i="20"/>
  <c r="H133" i="20" l="1"/>
  <c r="N133" i="20"/>
  <c r="O133" i="20"/>
  <c r="I133" i="20"/>
  <c r="E133" i="20"/>
  <c r="L133" i="20"/>
  <c r="K133" i="20"/>
  <c r="J133" i="20"/>
  <c r="E162" i="20"/>
  <c r="G416" i="20"/>
  <c r="E416" i="20"/>
  <c r="D1107" i="20"/>
  <c r="N1499" i="20"/>
  <c r="O731" i="20"/>
  <c r="F1511" i="20"/>
  <c r="H384" i="20"/>
  <c r="I384" i="20"/>
  <c r="E731" i="20"/>
  <c r="K384" i="20"/>
  <c r="G162" i="20"/>
  <c r="O9" i="27"/>
  <c r="G384" i="20"/>
  <c r="D162" i="20"/>
  <c r="E1516" i="20"/>
  <c r="M1516" i="20"/>
  <c r="G1516" i="20"/>
  <c r="J162" i="20"/>
  <c r="K778" i="20"/>
  <c r="L162" i="20"/>
  <c r="N778" i="20"/>
  <c r="G643" i="20"/>
  <c r="M162" i="20"/>
  <c r="O778" i="20"/>
  <c r="K511" i="20"/>
  <c r="N162" i="20"/>
  <c r="D1433" i="20"/>
  <c r="L511" i="20"/>
  <c r="O162" i="20"/>
  <c r="P162" i="20" s="1"/>
  <c r="N511" i="20"/>
  <c r="H1433" i="20"/>
  <c r="H162" i="20"/>
  <c r="J569" i="20"/>
  <c r="I1433" i="20"/>
  <c r="K569" i="20"/>
  <c r="K929" i="20"/>
  <c r="P929" i="20" s="1"/>
  <c r="H1301" i="20"/>
  <c r="G566" i="20"/>
  <c r="N569" i="20"/>
  <c r="M329" i="20"/>
  <c r="I1301" i="20"/>
  <c r="D569" i="20"/>
  <c r="N329" i="20"/>
  <c r="E929" i="20"/>
  <c r="M569" i="20"/>
  <c r="E778" i="20"/>
  <c r="H329" i="20"/>
  <c r="M778" i="20"/>
  <c r="M1301" i="20"/>
  <c r="H33" i="16"/>
  <c r="I33" i="16" s="1"/>
  <c r="L359" i="20"/>
  <c r="G778" i="20"/>
  <c r="D329" i="20"/>
  <c r="N1301" i="20"/>
  <c r="J329" i="20"/>
  <c r="K329" i="20"/>
  <c r="M929" i="20"/>
  <c r="M359" i="20"/>
  <c r="N1287" i="20"/>
  <c r="H778" i="20"/>
  <c r="U101" i="27"/>
  <c r="L1301" i="20"/>
  <c r="F778" i="20"/>
  <c r="D1301" i="20"/>
  <c r="J1223" i="20"/>
  <c r="G824" i="20"/>
  <c r="J99" i="9"/>
  <c r="E86" i="27" s="1"/>
  <c r="J108" i="9"/>
  <c r="C1418" i="20" s="1"/>
  <c r="I1223" i="20"/>
  <c r="H1304" i="20"/>
  <c r="M1122" i="20"/>
  <c r="O1223" i="20"/>
  <c r="D1304" i="20"/>
  <c r="L1122" i="20"/>
  <c r="O1122" i="20"/>
  <c r="D1223" i="20"/>
  <c r="G1122" i="20"/>
  <c r="H123" i="16"/>
  <c r="I123" i="16" s="1"/>
  <c r="E106" i="20"/>
  <c r="J126" i="9"/>
  <c r="E113" i="27" s="1"/>
  <c r="J98" i="9"/>
  <c r="C90" i="19" s="1"/>
  <c r="L1077" i="20"/>
  <c r="J123" i="9"/>
  <c r="C1643" i="20" s="1"/>
  <c r="J62" i="9"/>
  <c r="C728" i="20" s="1"/>
  <c r="J91" i="9"/>
  <c r="E78" i="27" s="1"/>
  <c r="J74" i="9"/>
  <c r="C908" i="20" s="1"/>
  <c r="J111" i="9"/>
  <c r="C1463" i="20" s="1"/>
  <c r="O1077" i="20"/>
  <c r="K237" i="20"/>
  <c r="E777" i="20"/>
  <c r="J80" i="9"/>
  <c r="C72" i="19" s="1"/>
  <c r="C1162" i="20"/>
  <c r="E1162" i="20" s="1"/>
  <c r="M938" i="20"/>
  <c r="I313" i="20"/>
  <c r="J1121" i="20"/>
  <c r="F1107" i="20"/>
  <c r="K1121" i="20"/>
  <c r="G1107" i="20"/>
  <c r="N1077" i="20"/>
  <c r="D1077" i="20"/>
  <c r="E1077" i="20"/>
  <c r="N191" i="20"/>
  <c r="N938" i="20"/>
  <c r="J313" i="20"/>
  <c r="J94" i="9"/>
  <c r="C1208" i="20" s="1"/>
  <c r="M1077" i="20"/>
  <c r="F1077" i="20"/>
  <c r="M1629" i="20"/>
  <c r="E938" i="20"/>
  <c r="G1077" i="20"/>
  <c r="K1629" i="20"/>
  <c r="I938" i="20"/>
  <c r="H97" i="16"/>
  <c r="I97" i="16" s="1"/>
  <c r="J105" i="9"/>
  <c r="E92" i="27" s="1"/>
  <c r="H1077" i="20"/>
  <c r="J119" i="20"/>
  <c r="I1077" i="20"/>
  <c r="L1664" i="20"/>
  <c r="K938" i="20"/>
  <c r="J61" i="9"/>
  <c r="E48" i="27" s="1"/>
  <c r="J82" i="9"/>
  <c r="E69" i="27" s="1"/>
  <c r="O1629" i="20"/>
  <c r="J938" i="20"/>
  <c r="J1077" i="20"/>
  <c r="N1346" i="20"/>
  <c r="D1664" i="20"/>
  <c r="O938" i="20"/>
  <c r="E1304" i="20"/>
  <c r="M308" i="20"/>
  <c r="N1304" i="20"/>
  <c r="E1223" i="20"/>
  <c r="E732" i="20"/>
  <c r="D824" i="20"/>
  <c r="J27" i="9"/>
  <c r="C19" i="19" s="1"/>
  <c r="M1171" i="20"/>
  <c r="D1171" i="20"/>
  <c r="D796" i="20"/>
  <c r="G796" i="20"/>
  <c r="N796" i="20"/>
  <c r="O796" i="20"/>
  <c r="I796" i="20"/>
  <c r="N781" i="20"/>
  <c r="H1291" i="20"/>
  <c r="K1291" i="20"/>
  <c r="H766" i="20"/>
  <c r="I781" i="20"/>
  <c r="M1291" i="20"/>
  <c r="M511" i="20"/>
  <c r="D1291" i="20"/>
  <c r="O511" i="20"/>
  <c r="E1291" i="20"/>
  <c r="D511" i="20"/>
  <c r="G1336" i="20"/>
  <c r="L1291" i="20"/>
  <c r="H1336" i="20"/>
  <c r="K1636" i="20"/>
  <c r="O1291" i="20"/>
  <c r="F106" i="20"/>
  <c r="U81" i="27"/>
  <c r="I1291" i="20"/>
  <c r="J1336" i="20"/>
  <c r="O1636" i="20"/>
  <c r="F1291" i="20"/>
  <c r="K106" i="20"/>
  <c r="D931" i="20"/>
  <c r="I766" i="20"/>
  <c r="N1291" i="20"/>
  <c r="F1336" i="20"/>
  <c r="E1636" i="20"/>
  <c r="M106" i="20"/>
  <c r="I931" i="20"/>
  <c r="O37" i="16"/>
  <c r="H82" i="16"/>
  <c r="I82" i="16" s="1"/>
  <c r="C75" i="19" s="1"/>
  <c r="O35" i="16"/>
  <c r="H92" i="16"/>
  <c r="I92" i="16" s="1"/>
  <c r="E1664" i="20"/>
  <c r="I1544" i="20"/>
  <c r="G1079" i="20"/>
  <c r="O1664" i="20"/>
  <c r="K119" i="20"/>
  <c r="L119" i="20"/>
  <c r="J1664" i="20"/>
  <c r="J1544" i="20"/>
  <c r="D1544" i="20"/>
  <c r="I269" i="20"/>
  <c r="L269" i="20"/>
  <c r="N1544" i="20"/>
  <c r="G269" i="20"/>
  <c r="F1304" i="20"/>
  <c r="M1544" i="20"/>
  <c r="N269" i="20"/>
  <c r="K824" i="20"/>
  <c r="O1544" i="20"/>
  <c r="O1079" i="20"/>
  <c r="L824" i="20"/>
  <c r="K1544" i="20"/>
  <c r="I1304" i="20"/>
  <c r="K1304" i="20"/>
  <c r="G1544" i="20"/>
  <c r="D1079" i="20"/>
  <c r="M824" i="20"/>
  <c r="G1664" i="20"/>
  <c r="L1304" i="20"/>
  <c r="E1079" i="20"/>
  <c r="K1664" i="20"/>
  <c r="O824" i="20"/>
  <c r="G1453" i="20"/>
  <c r="N1453" i="20"/>
  <c r="O1453" i="20"/>
  <c r="F1453" i="20"/>
  <c r="J1453" i="20"/>
  <c r="H643" i="20"/>
  <c r="I643" i="20"/>
  <c r="L643" i="20"/>
  <c r="N643" i="20"/>
  <c r="O643" i="20"/>
  <c r="D643" i="20"/>
  <c r="E643" i="20"/>
  <c r="F643" i="20"/>
  <c r="M148" i="20"/>
  <c r="J1107" i="20"/>
  <c r="L1107" i="20"/>
  <c r="H1107" i="20"/>
  <c r="I1107" i="20"/>
  <c r="M1107" i="20"/>
  <c r="N1107" i="20"/>
  <c r="N732" i="20"/>
  <c r="O1107" i="20"/>
  <c r="G732" i="20"/>
  <c r="H747" i="20"/>
  <c r="F747" i="20"/>
  <c r="M98" i="27"/>
  <c r="K1632" i="20"/>
  <c r="D1122" i="20"/>
  <c r="N1632" i="20"/>
  <c r="I777" i="20"/>
  <c r="E1632" i="20"/>
  <c r="J777" i="20"/>
  <c r="I747" i="20"/>
  <c r="M1632" i="20"/>
  <c r="G777" i="20"/>
  <c r="I1122" i="20"/>
  <c r="F1632" i="20"/>
  <c r="K777" i="20"/>
  <c r="M1062" i="20"/>
  <c r="K1122" i="20"/>
  <c r="G237" i="20"/>
  <c r="H1632" i="20"/>
  <c r="L777" i="20"/>
  <c r="N1062" i="20"/>
  <c r="I237" i="20"/>
  <c r="O777" i="20"/>
  <c r="J237" i="20"/>
  <c r="D777" i="20"/>
  <c r="L1121" i="20"/>
  <c r="G1301" i="20"/>
  <c r="K1301" i="20"/>
  <c r="O776" i="20"/>
  <c r="O1346" i="20"/>
  <c r="N926" i="20"/>
  <c r="H926" i="20"/>
  <c r="D1346" i="20"/>
  <c r="N806" i="20"/>
  <c r="I146" i="20"/>
  <c r="P146" i="20" s="1"/>
  <c r="I776" i="20"/>
  <c r="I1346" i="20"/>
  <c r="G176" i="20"/>
  <c r="E926" i="20"/>
  <c r="M926" i="20"/>
  <c r="M1121" i="20"/>
  <c r="L251" i="20"/>
  <c r="K776" i="20"/>
  <c r="L1346" i="20"/>
  <c r="I176" i="20"/>
  <c r="G926" i="20"/>
  <c r="G776" i="20"/>
  <c r="K1346" i="20"/>
  <c r="E806" i="20"/>
  <c r="N1121" i="20"/>
  <c r="O251" i="20"/>
  <c r="K371" i="20"/>
  <c r="M146" i="20"/>
  <c r="L776" i="20"/>
  <c r="J176" i="20"/>
  <c r="F926" i="20"/>
  <c r="O806" i="20"/>
  <c r="G806" i="20"/>
  <c r="O1121" i="20"/>
  <c r="E251" i="20"/>
  <c r="L371" i="20"/>
  <c r="N776" i="20"/>
  <c r="K176" i="20"/>
  <c r="J926" i="20"/>
  <c r="O236" i="20"/>
  <c r="J251" i="20"/>
  <c r="O926" i="20"/>
  <c r="H806" i="20"/>
  <c r="D1121" i="20"/>
  <c r="F251" i="20"/>
  <c r="F776" i="20"/>
  <c r="E176" i="20"/>
  <c r="K926" i="20"/>
  <c r="H566" i="20"/>
  <c r="F236" i="20"/>
  <c r="K81" i="27"/>
  <c r="H776" i="20"/>
  <c r="I806" i="20"/>
  <c r="G251" i="20"/>
  <c r="D191" i="20"/>
  <c r="F176" i="20"/>
  <c r="D926" i="20"/>
  <c r="I566" i="20"/>
  <c r="H236" i="20"/>
  <c r="O234" i="20"/>
  <c r="D234" i="20"/>
  <c r="L234" i="20"/>
  <c r="J414" i="20"/>
  <c r="N144" i="20"/>
  <c r="N234" i="20"/>
  <c r="J999" i="20"/>
  <c r="N774" i="20"/>
  <c r="F999" i="20"/>
  <c r="D774" i="20"/>
  <c r="M234" i="20"/>
  <c r="M999" i="20"/>
  <c r="F774" i="20"/>
  <c r="H774" i="20"/>
  <c r="O774" i="20"/>
  <c r="E999" i="20"/>
  <c r="F144" i="20"/>
  <c r="G144" i="20"/>
  <c r="H144" i="20"/>
  <c r="I144" i="20"/>
  <c r="L144" i="20"/>
  <c r="E234" i="20"/>
  <c r="F234" i="20"/>
  <c r="E774" i="20"/>
  <c r="K429" i="20"/>
  <c r="O144" i="20"/>
  <c r="G234" i="20"/>
  <c r="I774" i="20"/>
  <c r="G999" i="20"/>
  <c r="D429" i="20"/>
  <c r="G429" i="20"/>
  <c r="J774" i="20"/>
  <c r="I234" i="20"/>
  <c r="K774" i="20"/>
  <c r="I999" i="20"/>
  <c r="E279" i="20"/>
  <c r="H234" i="20"/>
  <c r="H999" i="20"/>
  <c r="J234" i="20"/>
  <c r="L774" i="20"/>
  <c r="O999" i="20"/>
  <c r="I279" i="20"/>
  <c r="M774" i="20"/>
  <c r="L999" i="20"/>
  <c r="K279" i="20"/>
  <c r="I1224" i="20"/>
  <c r="O1433" i="20"/>
  <c r="K443" i="20"/>
  <c r="K308" i="20"/>
  <c r="L308" i="20"/>
  <c r="J308" i="20"/>
  <c r="N308" i="20"/>
  <c r="E518" i="20"/>
  <c r="O308" i="20"/>
  <c r="H518" i="20"/>
  <c r="L413" i="20"/>
  <c r="E308" i="20"/>
  <c r="F308" i="20"/>
  <c r="G308" i="20"/>
  <c r="D308" i="20"/>
  <c r="F938" i="20"/>
  <c r="D938" i="20"/>
  <c r="G938" i="20"/>
  <c r="L938" i="20"/>
  <c r="H308" i="20"/>
  <c r="H143" i="20"/>
  <c r="E413" i="20"/>
  <c r="G143" i="20"/>
  <c r="I143" i="20"/>
  <c r="D413" i="20"/>
  <c r="J413" i="20"/>
  <c r="N413" i="20"/>
  <c r="F413" i="20"/>
  <c r="I413" i="20"/>
  <c r="F773" i="20"/>
  <c r="N443" i="20"/>
  <c r="C697" i="20"/>
  <c r="G1636" i="20"/>
  <c r="F1126" i="20"/>
  <c r="I824" i="20"/>
  <c r="N313" i="20"/>
  <c r="C997" i="20"/>
  <c r="O1304" i="20"/>
  <c r="D999" i="20"/>
  <c r="M133" i="20"/>
  <c r="K372" i="20"/>
  <c r="N237" i="20"/>
  <c r="N1501" i="20"/>
  <c r="N251" i="20"/>
  <c r="J776" i="20"/>
  <c r="M413" i="20"/>
  <c r="M1469" i="20"/>
  <c r="M119" i="20"/>
  <c r="D1216" i="20"/>
  <c r="G1216" i="20"/>
  <c r="E1216" i="20"/>
  <c r="O1216" i="20"/>
  <c r="N1216" i="20"/>
  <c r="M1216" i="20"/>
  <c r="J1216" i="20"/>
  <c r="F1216" i="20"/>
  <c r="L1216" i="20"/>
  <c r="K1216" i="20"/>
  <c r="I1216" i="20"/>
  <c r="H1216" i="20"/>
  <c r="L343" i="20"/>
  <c r="M343" i="20"/>
  <c r="J343" i="20"/>
  <c r="E343" i="20"/>
  <c r="I359" i="20"/>
  <c r="K359" i="20"/>
  <c r="E359" i="20"/>
  <c r="G359" i="20"/>
  <c r="H429" i="20"/>
  <c r="F1062" i="20"/>
  <c r="O359" i="20"/>
  <c r="F429" i="20"/>
  <c r="J781" i="20"/>
  <c r="O1633" i="20"/>
  <c r="L1381" i="20"/>
  <c r="D1526" i="20"/>
  <c r="J359" i="20"/>
  <c r="I429" i="20"/>
  <c r="J144" i="20"/>
  <c r="G1062" i="20"/>
  <c r="L926" i="20"/>
  <c r="F1633" i="20"/>
  <c r="J429" i="20"/>
  <c r="H1062" i="20"/>
  <c r="C1168" i="20"/>
  <c r="E563" i="20"/>
  <c r="F148" i="20"/>
  <c r="H781" i="20"/>
  <c r="M1633" i="20"/>
  <c r="H61" i="16"/>
  <c r="I61" i="16" s="1"/>
  <c r="S49" i="27" s="1"/>
  <c r="E1453" i="20"/>
  <c r="M931" i="20"/>
  <c r="O1062" i="20"/>
  <c r="K1124" i="20"/>
  <c r="C567" i="20"/>
  <c r="E567" i="20" s="1"/>
  <c r="H125" i="16"/>
  <c r="I125" i="16" s="1"/>
  <c r="C1695" i="20" s="1"/>
  <c r="E1695" i="20" s="1"/>
  <c r="K143" i="20"/>
  <c r="F1124" i="20"/>
  <c r="O151" i="20"/>
  <c r="I1306" i="20"/>
  <c r="K781" i="20"/>
  <c r="O1617" i="20"/>
  <c r="G1124" i="20"/>
  <c r="K1276" i="20"/>
  <c r="H1306" i="20"/>
  <c r="K148" i="20"/>
  <c r="L781" i="20"/>
  <c r="G1633" i="20"/>
  <c r="L1453" i="20"/>
  <c r="J106" i="20"/>
  <c r="F1617" i="20"/>
  <c r="F518" i="20"/>
  <c r="H537" i="20"/>
  <c r="F777" i="20"/>
  <c r="E824" i="20"/>
  <c r="C134" i="20"/>
  <c r="N134" i="20" s="1"/>
  <c r="E1306" i="20"/>
  <c r="G148" i="20"/>
  <c r="D1633" i="20"/>
  <c r="H148" i="20"/>
  <c r="E1633" i="20"/>
  <c r="M1453" i="20"/>
  <c r="L106" i="20"/>
  <c r="J1617" i="20"/>
  <c r="G518" i="20"/>
  <c r="N777" i="20"/>
  <c r="K179" i="20"/>
  <c r="F824" i="20"/>
  <c r="O23" i="27"/>
  <c r="M882" i="20"/>
  <c r="D1453" i="20"/>
  <c r="G106" i="20"/>
  <c r="I518" i="20"/>
  <c r="F1051" i="20"/>
  <c r="H777" i="20"/>
  <c r="K773" i="20"/>
  <c r="H824" i="20"/>
  <c r="L568" i="20"/>
  <c r="G568" i="20"/>
  <c r="F568" i="20"/>
  <c r="E568" i="20"/>
  <c r="D568" i="20"/>
  <c r="O568" i="20"/>
  <c r="N568" i="20"/>
  <c r="M568" i="20"/>
  <c r="I568" i="20"/>
  <c r="H568" i="20"/>
  <c r="N1647" i="20"/>
  <c r="G1647" i="20"/>
  <c r="K1647" i="20"/>
  <c r="F1647" i="20"/>
  <c r="H1647" i="20"/>
  <c r="J1647" i="20"/>
  <c r="E1647" i="20"/>
  <c r="L1647" i="20"/>
  <c r="O1647" i="20"/>
  <c r="D1647" i="20"/>
  <c r="M1647" i="20"/>
  <c r="I1647" i="20"/>
  <c r="H416" i="20"/>
  <c r="M1336" i="20"/>
  <c r="J416" i="20"/>
  <c r="J193" i="20"/>
  <c r="J806" i="20"/>
  <c r="E1336" i="20"/>
  <c r="N1122" i="20"/>
  <c r="L416" i="20"/>
  <c r="O569" i="20"/>
  <c r="M193" i="20"/>
  <c r="J1079" i="20"/>
  <c r="D1617" i="20"/>
  <c r="K518" i="20"/>
  <c r="K144" i="20"/>
  <c r="O414" i="20"/>
  <c r="D269" i="20"/>
  <c r="F269" i="20"/>
  <c r="C1034" i="20"/>
  <c r="K1034" i="20" s="1"/>
  <c r="I1336" i="20"/>
  <c r="K1336" i="20"/>
  <c r="M416" i="20"/>
  <c r="N193" i="20"/>
  <c r="K1079" i="20"/>
  <c r="L518" i="20"/>
  <c r="L1079" i="20"/>
  <c r="G511" i="20"/>
  <c r="N416" i="20"/>
  <c r="O193" i="20"/>
  <c r="E1122" i="20"/>
  <c r="O416" i="20"/>
  <c r="D193" i="20"/>
  <c r="M1079" i="20"/>
  <c r="F1298" i="20"/>
  <c r="I511" i="20"/>
  <c r="G1346" i="20"/>
  <c r="H1514" i="20"/>
  <c r="N518" i="20"/>
  <c r="D144" i="20"/>
  <c r="L717" i="20"/>
  <c r="H1272" i="20"/>
  <c r="O38" i="27"/>
  <c r="H511" i="20"/>
  <c r="E1346" i="20"/>
  <c r="M518" i="20"/>
  <c r="F1122" i="20"/>
  <c r="D416" i="20"/>
  <c r="N1079" i="20"/>
  <c r="M1298" i="20"/>
  <c r="J511" i="20"/>
  <c r="H1346" i="20"/>
  <c r="M1514" i="20"/>
  <c r="D518" i="20"/>
  <c r="H717" i="20"/>
  <c r="J269" i="20"/>
  <c r="D734" i="20"/>
  <c r="F734" i="20"/>
  <c r="E151" i="20"/>
  <c r="J373" i="20"/>
  <c r="N882" i="20"/>
  <c r="F1223" i="20"/>
  <c r="E734" i="20"/>
  <c r="K732" i="20"/>
  <c r="M110" i="27"/>
  <c r="J518" i="20"/>
  <c r="O882" i="20"/>
  <c r="I734" i="20"/>
  <c r="C1271" i="20"/>
  <c r="C1213" i="20"/>
  <c r="I1213" i="20" s="1"/>
  <c r="I373" i="20"/>
  <c r="I151" i="20"/>
  <c r="L1336" i="20"/>
  <c r="L373" i="20"/>
  <c r="D151" i="20"/>
  <c r="F511" i="20"/>
  <c r="H151" i="20"/>
  <c r="K373" i="20"/>
  <c r="D882" i="20"/>
  <c r="K806" i="20"/>
  <c r="N1336" i="20"/>
  <c r="M373" i="20"/>
  <c r="F569" i="20"/>
  <c r="E882" i="20"/>
  <c r="J1508" i="20"/>
  <c r="L806" i="20"/>
  <c r="O1336" i="20"/>
  <c r="N373" i="20"/>
  <c r="G569" i="20"/>
  <c r="F882" i="20"/>
  <c r="K1223" i="20"/>
  <c r="E144" i="20"/>
  <c r="O566" i="20"/>
  <c r="F1467" i="20"/>
  <c r="K19" i="27"/>
  <c r="E569" i="20"/>
  <c r="M806" i="20"/>
  <c r="H882" i="20"/>
  <c r="L1223" i="20"/>
  <c r="E566" i="20"/>
  <c r="K1467" i="20"/>
  <c r="G1511" i="20"/>
  <c r="O343" i="20"/>
  <c r="J537" i="20"/>
  <c r="L537" i="20"/>
  <c r="J151" i="20"/>
  <c r="M1511" i="20"/>
  <c r="D776" i="20"/>
  <c r="M537" i="20"/>
  <c r="C1702" i="20"/>
  <c r="F1702" i="20" s="1"/>
  <c r="E1029" i="20"/>
  <c r="O1272" i="20"/>
  <c r="N1511" i="20"/>
  <c r="K151" i="20"/>
  <c r="O1511" i="20"/>
  <c r="E776" i="20"/>
  <c r="N537" i="20"/>
  <c r="O192" i="20"/>
  <c r="G1029" i="20"/>
  <c r="I1272" i="20"/>
  <c r="E269" i="20"/>
  <c r="M1029" i="20"/>
  <c r="N1029" i="20"/>
  <c r="K1288" i="20"/>
  <c r="E1288" i="20"/>
  <c r="K26" i="27"/>
  <c r="N1288" i="20"/>
  <c r="M734" i="20"/>
  <c r="I1092" i="20"/>
  <c r="J1092" i="20"/>
  <c r="F343" i="20"/>
  <c r="G343" i="20"/>
  <c r="O1288" i="20"/>
  <c r="D1288" i="20"/>
  <c r="G734" i="20"/>
  <c r="L1092" i="20"/>
  <c r="K343" i="20"/>
  <c r="I329" i="20"/>
  <c r="I1288" i="20"/>
  <c r="O191" i="20"/>
  <c r="H734" i="20"/>
  <c r="N1092" i="20"/>
  <c r="D537" i="20"/>
  <c r="O1092" i="20"/>
  <c r="N343" i="20"/>
  <c r="E191" i="20"/>
  <c r="O537" i="20"/>
  <c r="N734" i="20"/>
  <c r="E1092" i="20"/>
  <c r="K1508" i="20"/>
  <c r="D1511" i="20"/>
  <c r="D343" i="20"/>
  <c r="K1289" i="20"/>
  <c r="F191" i="20"/>
  <c r="E537" i="20"/>
  <c r="O734" i="20"/>
  <c r="N236" i="20"/>
  <c r="F1092" i="20"/>
  <c r="M1508" i="20"/>
  <c r="K191" i="20"/>
  <c r="F537" i="20"/>
  <c r="O1508" i="20"/>
  <c r="H1511" i="20"/>
  <c r="H343" i="20"/>
  <c r="K1511" i="20"/>
  <c r="I343" i="20"/>
  <c r="H279" i="20"/>
  <c r="M191" i="20"/>
  <c r="G537" i="20"/>
  <c r="I1508" i="20"/>
  <c r="E1511" i="20"/>
  <c r="I537" i="20"/>
  <c r="F151" i="20"/>
  <c r="I1511" i="20"/>
  <c r="L1029" i="20"/>
  <c r="J1272" i="20"/>
  <c r="K1029" i="20"/>
  <c r="J1511" i="20"/>
  <c r="O1029" i="20"/>
  <c r="M1272" i="20"/>
  <c r="F1164" i="20"/>
  <c r="H1164" i="20"/>
  <c r="L1164" i="20"/>
  <c r="M1164" i="20"/>
  <c r="D1164" i="20"/>
  <c r="L1287" i="20"/>
  <c r="O1287" i="20"/>
  <c r="G773" i="20"/>
  <c r="G329" i="20"/>
  <c r="E1287" i="20"/>
  <c r="G1126" i="20"/>
  <c r="H773" i="20"/>
  <c r="D1287" i="20"/>
  <c r="J1287" i="20"/>
  <c r="C1001" i="20"/>
  <c r="H1001" i="20" s="1"/>
  <c r="C118" i="20"/>
  <c r="M118" i="20" s="1"/>
  <c r="D238" i="20"/>
  <c r="K69" i="27"/>
  <c r="K251" i="20"/>
  <c r="F1664" i="20"/>
  <c r="H119" i="20"/>
  <c r="G78" i="27"/>
  <c r="F1287" i="20"/>
  <c r="O1118" i="20"/>
  <c r="M251" i="20"/>
  <c r="L329" i="20"/>
  <c r="M1664" i="20"/>
  <c r="G1287" i="20"/>
  <c r="H1287" i="20"/>
  <c r="H1122" i="20"/>
  <c r="O329" i="20"/>
  <c r="H1664" i="20"/>
  <c r="K1287" i="20"/>
  <c r="J773" i="20"/>
  <c r="I1287" i="20"/>
  <c r="N1664" i="20"/>
  <c r="H1126" i="20"/>
  <c r="O773" i="20"/>
  <c r="E119" i="20"/>
  <c r="I119" i="20"/>
  <c r="F196" i="20"/>
  <c r="D1629" i="20"/>
  <c r="N119" i="20"/>
  <c r="H196" i="20"/>
  <c r="F1629" i="20"/>
  <c r="L1051" i="20"/>
  <c r="J1469" i="20"/>
  <c r="O119" i="20"/>
  <c r="D1029" i="20"/>
  <c r="J824" i="20"/>
  <c r="H563" i="20"/>
  <c r="O1467" i="20"/>
  <c r="I196" i="20"/>
  <c r="L1629" i="20"/>
  <c r="F119" i="20"/>
  <c r="N1629" i="20"/>
  <c r="G119" i="20"/>
  <c r="J1629" i="20"/>
  <c r="E1629" i="20"/>
  <c r="H1629" i="20"/>
  <c r="I1629" i="20"/>
  <c r="E1269" i="20"/>
  <c r="N1269" i="20"/>
  <c r="D1606" i="20"/>
  <c r="G371" i="20"/>
  <c r="F766" i="20"/>
  <c r="N766" i="20"/>
  <c r="H371" i="20"/>
  <c r="G766" i="20"/>
  <c r="J371" i="20"/>
  <c r="C914" i="20"/>
  <c r="H914" i="20" s="1"/>
  <c r="J766" i="20"/>
  <c r="M371" i="20"/>
  <c r="K766" i="20"/>
  <c r="N371" i="20"/>
  <c r="L1272" i="20"/>
  <c r="O1211" i="20"/>
  <c r="O371" i="20"/>
  <c r="M766" i="20"/>
  <c r="D371" i="20"/>
  <c r="J1124" i="20"/>
  <c r="L734" i="20"/>
  <c r="F1211" i="20"/>
  <c r="N1272" i="20"/>
  <c r="C1212" i="20"/>
  <c r="N1212" i="20" s="1"/>
  <c r="O766" i="20"/>
  <c r="E371" i="20"/>
  <c r="G1211" i="20"/>
  <c r="F371" i="20"/>
  <c r="K1211" i="20"/>
  <c r="L766" i="20"/>
  <c r="D766" i="20"/>
  <c r="H1211" i="20"/>
  <c r="G85" i="27"/>
  <c r="I1211" i="20"/>
  <c r="J1211" i="20"/>
  <c r="L1211" i="20"/>
  <c r="M1211" i="20"/>
  <c r="D1211" i="20"/>
  <c r="N1211" i="20"/>
  <c r="C998" i="20"/>
  <c r="C652" i="20"/>
  <c r="G652" i="20" s="1"/>
  <c r="I1606" i="20"/>
  <c r="N563" i="20"/>
  <c r="C714" i="20"/>
  <c r="K714" i="20" s="1"/>
  <c r="L1606" i="20"/>
  <c r="C206" i="20"/>
  <c r="I206" i="20" s="1"/>
  <c r="M1471" i="20"/>
  <c r="I1471" i="20"/>
  <c r="F1471" i="20"/>
  <c r="N1471" i="20"/>
  <c r="K1471" i="20"/>
  <c r="F1031" i="20"/>
  <c r="H1031" i="20"/>
  <c r="G1031" i="20"/>
  <c r="I1031" i="20"/>
  <c r="L1031" i="20"/>
  <c r="K1031" i="20"/>
  <c r="E1031" i="20"/>
  <c r="D1031" i="20"/>
  <c r="J1031" i="20"/>
  <c r="O1031" i="20"/>
  <c r="N1031" i="20"/>
  <c r="M1031" i="20"/>
  <c r="D1464" i="20"/>
  <c r="O1464" i="20"/>
  <c r="K1464" i="20"/>
  <c r="I1464" i="20"/>
  <c r="L1464" i="20"/>
  <c r="M1464" i="20"/>
  <c r="H1464" i="20"/>
  <c r="N1464" i="20"/>
  <c r="E1464" i="20"/>
  <c r="J1464" i="20"/>
  <c r="G1464" i="20"/>
  <c r="F1464" i="20"/>
  <c r="F571" i="20"/>
  <c r="O571" i="20"/>
  <c r="I571" i="20"/>
  <c r="J571" i="20"/>
  <c r="N571" i="20"/>
  <c r="L571" i="20"/>
  <c r="H571" i="20"/>
  <c r="G571" i="20"/>
  <c r="E571" i="20"/>
  <c r="D571" i="20"/>
  <c r="L386" i="20"/>
  <c r="G386" i="20"/>
  <c r="F386" i="20"/>
  <c r="D386" i="20"/>
  <c r="O386" i="20"/>
  <c r="I386" i="20"/>
  <c r="M386" i="20"/>
  <c r="N386" i="20"/>
  <c r="E386" i="20"/>
  <c r="K386" i="20"/>
  <c r="J386" i="20"/>
  <c r="H386" i="20"/>
  <c r="E429" i="20"/>
  <c r="K1171" i="20"/>
  <c r="L429" i="20"/>
  <c r="C802" i="20"/>
  <c r="M802" i="20" s="1"/>
  <c r="D806" i="20"/>
  <c r="F143" i="20"/>
  <c r="M429" i="20"/>
  <c r="N143" i="20"/>
  <c r="N429" i="20"/>
  <c r="H102" i="16"/>
  <c r="I102" i="16" s="1"/>
  <c r="C1350" i="20" s="1"/>
  <c r="O143" i="20"/>
  <c r="F1499" i="20"/>
  <c r="L1124" i="20"/>
  <c r="J279" i="20"/>
  <c r="J143" i="20"/>
  <c r="K309" i="20"/>
  <c r="G98" i="27"/>
  <c r="N927" i="20"/>
  <c r="M309" i="20"/>
  <c r="N309" i="20"/>
  <c r="L279" i="20"/>
  <c r="L143" i="20"/>
  <c r="I927" i="20"/>
  <c r="M279" i="20"/>
  <c r="M143" i="20"/>
  <c r="F1516" i="20"/>
  <c r="O309" i="20"/>
  <c r="D279" i="20"/>
  <c r="D143" i="20"/>
  <c r="D1516" i="20"/>
  <c r="E309" i="20"/>
  <c r="I1516" i="20"/>
  <c r="G309" i="20"/>
  <c r="J643" i="20"/>
  <c r="K643" i="20"/>
  <c r="L1516" i="20"/>
  <c r="J1171" i="20"/>
  <c r="H309" i="20"/>
  <c r="C1646" i="20"/>
  <c r="C532" i="20"/>
  <c r="E532" i="20" s="1"/>
  <c r="N999" i="20"/>
  <c r="L148" i="20"/>
  <c r="O1501" i="20"/>
  <c r="F359" i="20"/>
  <c r="J1516" i="20"/>
  <c r="D236" i="20"/>
  <c r="N1171" i="20"/>
  <c r="C736" i="20"/>
  <c r="O736" i="20" s="1"/>
  <c r="U38" i="27"/>
  <c r="E1171" i="20"/>
  <c r="O85" i="27"/>
  <c r="G1273" i="20"/>
  <c r="M1273" i="20"/>
  <c r="I1273" i="20"/>
  <c r="N1273" i="20"/>
  <c r="F1273" i="20"/>
  <c r="L1273" i="20"/>
  <c r="E1273" i="20"/>
  <c r="D1273" i="20"/>
  <c r="O1273" i="20"/>
  <c r="K1273" i="20"/>
  <c r="H1273" i="20"/>
  <c r="G1631" i="20"/>
  <c r="F1631" i="20"/>
  <c r="O1631" i="20"/>
  <c r="J1631" i="20"/>
  <c r="L1631" i="20"/>
  <c r="E1631" i="20"/>
  <c r="N1631" i="20"/>
  <c r="K1631" i="20"/>
  <c r="H1631" i="20"/>
  <c r="D1631" i="20"/>
  <c r="M1631" i="20"/>
  <c r="I1631" i="20"/>
  <c r="D1167" i="20"/>
  <c r="O1167" i="20"/>
  <c r="L1167" i="20"/>
  <c r="K1167" i="20"/>
  <c r="I1167" i="20"/>
  <c r="H1167" i="20"/>
  <c r="J1167" i="20"/>
  <c r="G1167" i="20"/>
  <c r="F1167" i="20"/>
  <c r="E1167" i="20"/>
  <c r="N1167" i="20"/>
  <c r="M1167" i="20"/>
  <c r="G729" i="20"/>
  <c r="D729" i="20"/>
  <c r="F729" i="20"/>
  <c r="E729" i="20"/>
  <c r="F566" i="20"/>
  <c r="J236" i="20"/>
  <c r="L179" i="20"/>
  <c r="M238" i="20"/>
  <c r="C367" i="20"/>
  <c r="M367" i="20" s="1"/>
  <c r="L236" i="20"/>
  <c r="N179" i="20"/>
  <c r="G49" i="27"/>
  <c r="M78" i="27"/>
  <c r="C286" i="20"/>
  <c r="I286" i="20" s="1"/>
  <c r="C211" i="20"/>
  <c r="I211" i="20" s="1"/>
  <c r="F279" i="20"/>
  <c r="O1126" i="20"/>
  <c r="Q102" i="27"/>
  <c r="G279" i="20"/>
  <c r="K1516" i="20"/>
  <c r="D1126" i="20"/>
  <c r="K109" i="27"/>
  <c r="N279" i="20"/>
  <c r="F133" i="20"/>
  <c r="L566" i="20"/>
  <c r="G236" i="20"/>
  <c r="K1272" i="20"/>
  <c r="J147" i="20"/>
  <c r="O23" i="16"/>
  <c r="N147" i="20"/>
  <c r="O1124" i="20"/>
  <c r="D1124" i="20"/>
  <c r="E1124" i="20"/>
  <c r="C1222" i="20"/>
  <c r="E1222" i="20" s="1"/>
  <c r="C517" i="20"/>
  <c r="G517" i="20" s="1"/>
  <c r="H109" i="16"/>
  <c r="I109" i="16" s="1"/>
  <c r="C1455" i="20" s="1"/>
  <c r="H1455" i="20" s="1"/>
  <c r="O281" i="20"/>
  <c r="N281" i="20"/>
  <c r="M281" i="20"/>
  <c r="J281" i="20"/>
  <c r="K281" i="20"/>
  <c r="L281" i="20"/>
  <c r="I281" i="20"/>
  <c r="G281" i="20"/>
  <c r="H281" i="20"/>
  <c r="F281" i="20"/>
  <c r="D281" i="20"/>
  <c r="E281" i="20"/>
  <c r="N1466" i="20"/>
  <c r="M1466" i="20"/>
  <c r="O1466" i="20"/>
  <c r="K1466" i="20"/>
  <c r="G1466" i="20"/>
  <c r="I1466" i="20"/>
  <c r="H1466" i="20"/>
  <c r="D1466" i="20"/>
  <c r="F1466" i="20"/>
  <c r="L1466" i="20"/>
  <c r="J1466" i="20"/>
  <c r="E1466" i="20"/>
  <c r="J1346" i="20"/>
  <c r="L1471" i="20"/>
  <c r="M1124" i="20"/>
  <c r="D133" i="20"/>
  <c r="M372" i="20"/>
  <c r="E384" i="20"/>
  <c r="M1346" i="20"/>
  <c r="N1124" i="20"/>
  <c r="H30" i="16"/>
  <c r="I30" i="16" s="1"/>
  <c r="C270" i="20" s="1"/>
  <c r="K1123" i="20"/>
  <c r="E914" i="20"/>
  <c r="G882" i="20"/>
  <c r="L384" i="20"/>
  <c r="I1124" i="20"/>
  <c r="L1123" i="20"/>
  <c r="O1123" i="20"/>
  <c r="I882" i="20"/>
  <c r="N384" i="20"/>
  <c r="D1123" i="20"/>
  <c r="J882" i="20"/>
  <c r="O384" i="20"/>
  <c r="K188" i="20"/>
  <c r="E1123" i="20"/>
  <c r="O85" i="16"/>
  <c r="L188" i="20"/>
  <c r="G1123" i="20"/>
  <c r="K88" i="27"/>
  <c r="J1123" i="20"/>
  <c r="F1276" i="20"/>
  <c r="C1421" i="20"/>
  <c r="N1421" i="20" s="1"/>
  <c r="M1276" i="20"/>
  <c r="D1276" i="20"/>
  <c r="N129" i="20"/>
  <c r="G133" i="20"/>
  <c r="J1276" i="20"/>
  <c r="D129" i="20"/>
  <c r="D1471" i="20"/>
  <c r="K98" i="27"/>
  <c r="Q85" i="27"/>
  <c r="K733" i="20"/>
  <c r="O733" i="20"/>
  <c r="L733" i="20"/>
  <c r="H733" i="20"/>
  <c r="J733" i="20"/>
  <c r="I733" i="20"/>
  <c r="F733" i="20"/>
  <c r="G733" i="20"/>
  <c r="E733" i="20"/>
  <c r="M733" i="20"/>
  <c r="N733" i="20"/>
  <c r="D733" i="20"/>
  <c r="E256" i="20"/>
  <c r="D256" i="20"/>
  <c r="O256" i="20"/>
  <c r="N256" i="20"/>
  <c r="M256" i="20"/>
  <c r="L256" i="20"/>
  <c r="K256" i="20"/>
  <c r="J256" i="20"/>
  <c r="H256" i="20"/>
  <c r="I256" i="20"/>
  <c r="G256" i="20"/>
  <c r="F256" i="20"/>
  <c r="L339" i="20"/>
  <c r="K339" i="20"/>
  <c r="I339" i="20"/>
  <c r="H339" i="20"/>
  <c r="J339" i="20"/>
  <c r="G339" i="20"/>
  <c r="F339" i="20"/>
  <c r="E339" i="20"/>
  <c r="D339" i="20"/>
  <c r="O339" i="20"/>
  <c r="N339" i="20"/>
  <c r="M339" i="20"/>
  <c r="L1677" i="20"/>
  <c r="O1677" i="20"/>
  <c r="N1677" i="20"/>
  <c r="F1677" i="20"/>
  <c r="E1677" i="20"/>
  <c r="M1677" i="20"/>
  <c r="G1677" i="20"/>
  <c r="J1677" i="20"/>
  <c r="D1677" i="20"/>
  <c r="K1677" i="20"/>
  <c r="I1677" i="20"/>
  <c r="H1677" i="20"/>
  <c r="F1529" i="20"/>
  <c r="O1529" i="20"/>
  <c r="K1529" i="20"/>
  <c r="H1529" i="20"/>
  <c r="E1529" i="20"/>
  <c r="J1529" i="20"/>
  <c r="I1529" i="20"/>
  <c r="D1529" i="20"/>
  <c r="M1529" i="20"/>
  <c r="L1529" i="20"/>
  <c r="G1529" i="20"/>
  <c r="N1529" i="20"/>
  <c r="M1214" i="20"/>
  <c r="K1214" i="20"/>
  <c r="I1214" i="20"/>
  <c r="J1214" i="20"/>
  <c r="G1214" i="20"/>
  <c r="F1214" i="20"/>
  <c r="E1214" i="20"/>
  <c r="O1214" i="20"/>
  <c r="H1214" i="20"/>
  <c r="D1214" i="20"/>
  <c r="L1214" i="20"/>
  <c r="N1214" i="20"/>
  <c r="M1468" i="20"/>
  <c r="H1468" i="20"/>
  <c r="F1468" i="20"/>
  <c r="N1468" i="20"/>
  <c r="L1468" i="20"/>
  <c r="K1468" i="20"/>
  <c r="G1468" i="20"/>
  <c r="O1274" i="20"/>
  <c r="E1274" i="20"/>
  <c r="L1274" i="20"/>
  <c r="F1274" i="20"/>
  <c r="N1274" i="20"/>
  <c r="K1274" i="20"/>
  <c r="I1274" i="20"/>
  <c r="H1274" i="20"/>
  <c r="J1274" i="20"/>
  <c r="G1274" i="20"/>
  <c r="D1274" i="20"/>
  <c r="M1274" i="20"/>
  <c r="M1118" i="20"/>
  <c r="O83" i="16"/>
  <c r="O283" i="20"/>
  <c r="O747" i="20"/>
  <c r="M414" i="20"/>
  <c r="F927" i="20"/>
  <c r="U17" i="27"/>
  <c r="G23" i="27"/>
  <c r="N1118" i="20"/>
  <c r="D283" i="20"/>
  <c r="E747" i="20"/>
  <c r="N414" i="20"/>
  <c r="L927" i="20"/>
  <c r="H269" i="20"/>
  <c r="I309" i="20"/>
  <c r="F283" i="20"/>
  <c r="G747" i="20"/>
  <c r="I414" i="20"/>
  <c r="E927" i="20"/>
  <c r="G717" i="20"/>
  <c r="K927" i="20"/>
  <c r="F717" i="20"/>
  <c r="H283" i="20"/>
  <c r="I283" i="20"/>
  <c r="K1499" i="20"/>
  <c r="L747" i="20"/>
  <c r="G1617" i="20"/>
  <c r="N931" i="20"/>
  <c r="E414" i="20"/>
  <c r="O927" i="20"/>
  <c r="H313" i="20"/>
  <c r="K717" i="20"/>
  <c r="C114" i="20"/>
  <c r="K114" i="20" s="1"/>
  <c r="E1164" i="20"/>
  <c r="G1164" i="20"/>
  <c r="J283" i="20"/>
  <c r="M1499" i="20"/>
  <c r="M747" i="20"/>
  <c r="F414" i="20"/>
  <c r="M717" i="20"/>
  <c r="H84" i="16"/>
  <c r="I84" i="16" s="1"/>
  <c r="C1080" i="20" s="1"/>
  <c r="G414" i="20"/>
  <c r="I129" i="20"/>
  <c r="L283" i="20"/>
  <c r="H414" i="20"/>
  <c r="O717" i="20"/>
  <c r="K283" i="20"/>
  <c r="N717" i="20"/>
  <c r="G731" i="20"/>
  <c r="I1164" i="20"/>
  <c r="E129" i="20"/>
  <c r="I731" i="20"/>
  <c r="J1164" i="20"/>
  <c r="L191" i="20"/>
  <c r="F931" i="20"/>
  <c r="K414" i="20"/>
  <c r="O313" i="20"/>
  <c r="D717" i="20"/>
  <c r="O98" i="27"/>
  <c r="M112" i="27"/>
  <c r="O129" i="20"/>
  <c r="K1164" i="20"/>
  <c r="O1063" i="20"/>
  <c r="D1063" i="20"/>
  <c r="G129" i="20"/>
  <c r="N1164" i="20"/>
  <c r="L731" i="20"/>
  <c r="D1118" i="20"/>
  <c r="H1453" i="20"/>
  <c r="G191" i="20"/>
  <c r="N1514" i="20"/>
  <c r="F1063" i="20"/>
  <c r="J568" i="20"/>
  <c r="L773" i="20"/>
  <c r="D1272" i="20"/>
  <c r="K731" i="20"/>
  <c r="O1164" i="20"/>
  <c r="M731" i="20"/>
  <c r="E1118" i="20"/>
  <c r="H101" i="16"/>
  <c r="I101" i="16" s="1"/>
  <c r="C1335" i="20" s="1"/>
  <c r="I1453" i="20"/>
  <c r="I191" i="20"/>
  <c r="D1514" i="20"/>
  <c r="G1063" i="20"/>
  <c r="K568" i="20"/>
  <c r="M773" i="20"/>
  <c r="G238" i="20"/>
  <c r="E1272" i="20"/>
  <c r="C117" i="20"/>
  <c r="E1063" i="20"/>
  <c r="F1118" i="20"/>
  <c r="J191" i="20"/>
  <c r="F1514" i="20"/>
  <c r="H1063" i="20"/>
  <c r="N773" i="20"/>
  <c r="L238" i="20"/>
  <c r="F1272" i="20"/>
  <c r="I1063" i="20"/>
  <c r="I1118" i="20"/>
  <c r="C97" i="20"/>
  <c r="E97" i="20" s="1"/>
  <c r="J1118" i="20"/>
  <c r="H15" i="16"/>
  <c r="I15" i="16" s="1"/>
  <c r="S3" i="27" s="1"/>
  <c r="J747" i="20"/>
  <c r="L1063" i="20"/>
  <c r="I773" i="20"/>
  <c r="Q81" i="27"/>
  <c r="O49" i="27"/>
  <c r="G1118" i="20"/>
  <c r="J1063" i="20"/>
  <c r="K1118" i="20"/>
  <c r="M283" i="20"/>
  <c r="K747" i="20"/>
  <c r="M1063" i="20"/>
  <c r="H1118" i="20"/>
  <c r="D747" i="20"/>
  <c r="K1063" i="20"/>
  <c r="O63" i="16"/>
  <c r="I149" i="20"/>
  <c r="L149" i="20"/>
  <c r="K571" i="20"/>
  <c r="F1289" i="20"/>
  <c r="N194" i="20"/>
  <c r="C1417" i="20"/>
  <c r="K1417" i="20" s="1"/>
  <c r="E796" i="20"/>
  <c r="N359" i="20"/>
  <c r="N1516" i="20"/>
  <c r="J1471" i="20"/>
  <c r="G1289" i="20"/>
  <c r="O194" i="20"/>
  <c r="D1289" i="20"/>
  <c r="M194" i="20"/>
  <c r="M149" i="20"/>
  <c r="N149" i="20"/>
  <c r="M571" i="20"/>
  <c r="I1289" i="20"/>
  <c r="D194" i="20"/>
  <c r="H796" i="20"/>
  <c r="D359" i="20"/>
  <c r="H1516" i="20"/>
  <c r="G1471" i="20"/>
  <c r="D149" i="20"/>
  <c r="M1289" i="20"/>
  <c r="F194" i="20"/>
  <c r="I1468" i="20"/>
  <c r="C448" i="20"/>
  <c r="F1526" i="20"/>
  <c r="F149" i="20"/>
  <c r="G149" i="20"/>
  <c r="H1269" i="20"/>
  <c r="H1289" i="20"/>
  <c r="J194" i="20"/>
  <c r="N1289" i="20"/>
  <c r="E1289" i="20"/>
  <c r="H194" i="20"/>
  <c r="J1526" i="20"/>
  <c r="J149" i="20"/>
  <c r="L1269" i="20"/>
  <c r="L1289" i="20"/>
  <c r="K194" i="20"/>
  <c r="M1526" i="20"/>
  <c r="J734" i="20"/>
  <c r="H188" i="20"/>
  <c r="D773" i="20"/>
  <c r="O1468" i="20"/>
  <c r="I916" i="20"/>
  <c r="M1269" i="20"/>
  <c r="O1526" i="20"/>
  <c r="I188" i="20"/>
  <c r="M1092" i="20"/>
  <c r="E1468" i="20"/>
  <c r="H1123" i="20"/>
  <c r="G1508" i="20"/>
  <c r="O1269" i="20"/>
  <c r="G38" i="27"/>
  <c r="L779" i="20"/>
  <c r="E1526" i="20"/>
  <c r="G311" i="20"/>
  <c r="D1269" i="20"/>
  <c r="E779" i="20"/>
  <c r="G1526" i="20"/>
  <c r="M188" i="20"/>
  <c r="J1468" i="20"/>
  <c r="J311" i="20"/>
  <c r="D1508" i="20"/>
  <c r="C1209" i="20"/>
  <c r="M23" i="27"/>
  <c r="J1126" i="20"/>
  <c r="D1468" i="20"/>
  <c r="K311" i="20"/>
  <c r="H1508" i="20"/>
  <c r="F1269" i="20"/>
  <c r="F779" i="20"/>
  <c r="I1526" i="20"/>
  <c r="G1306" i="20"/>
  <c r="G1269" i="20"/>
  <c r="G779" i="20"/>
  <c r="L1526" i="20"/>
  <c r="K1126" i="20"/>
  <c r="N311" i="20"/>
  <c r="L1508" i="20"/>
  <c r="D311" i="20"/>
  <c r="I1269" i="20"/>
  <c r="E311" i="20"/>
  <c r="J1269" i="20"/>
  <c r="I779" i="20"/>
  <c r="K1526" i="20"/>
  <c r="K1269" i="20"/>
  <c r="J779" i="20"/>
  <c r="N1526" i="20"/>
  <c r="F1508" i="20"/>
  <c r="H779" i="20"/>
  <c r="K779" i="20"/>
  <c r="M779" i="20"/>
  <c r="J1288" i="20"/>
  <c r="F796" i="20"/>
  <c r="L1617" i="20"/>
  <c r="H1471" i="20"/>
  <c r="K269" i="20"/>
  <c r="K729" i="20"/>
  <c r="M1467" i="20"/>
  <c r="N779" i="20"/>
  <c r="J1289" i="20"/>
  <c r="M269" i="20"/>
  <c r="H729" i="20"/>
  <c r="H1467" i="20"/>
  <c r="J1316" i="20"/>
  <c r="M1316" i="20"/>
  <c r="I1316" i="20"/>
  <c r="F1316" i="20"/>
  <c r="K1316" i="20"/>
  <c r="H1316" i="20"/>
  <c r="E1316" i="20"/>
  <c r="D1316" i="20"/>
  <c r="N1316" i="20"/>
  <c r="G1316" i="20"/>
  <c r="O1316" i="20"/>
  <c r="L1316" i="20"/>
  <c r="K342" i="20"/>
  <c r="O342" i="20"/>
  <c r="H342" i="20"/>
  <c r="J342" i="20"/>
  <c r="I342" i="20"/>
  <c r="N342" i="20"/>
  <c r="L342" i="20"/>
  <c r="G342" i="20"/>
  <c r="F342" i="20"/>
  <c r="E342" i="20"/>
  <c r="D342" i="20"/>
  <c r="M342" i="20"/>
  <c r="F188" i="20"/>
  <c r="O188" i="20"/>
  <c r="G188" i="20"/>
  <c r="J188" i="20"/>
  <c r="K796" i="20"/>
  <c r="N188" i="20"/>
  <c r="C1377" i="20"/>
  <c r="L796" i="20"/>
  <c r="D188" i="20"/>
  <c r="C718" i="20"/>
  <c r="O65" i="16"/>
  <c r="G444" i="20"/>
  <c r="F444" i="20"/>
  <c r="K444" i="20"/>
  <c r="E444" i="20"/>
  <c r="D444" i="20"/>
  <c r="O444" i="20"/>
  <c r="J444" i="20"/>
  <c r="I444" i="20"/>
  <c r="H444" i="20"/>
  <c r="N444" i="20"/>
  <c r="M444" i="20"/>
  <c r="L444" i="20"/>
  <c r="I564" i="20"/>
  <c r="H564" i="20"/>
  <c r="G564" i="20"/>
  <c r="F564" i="20"/>
  <c r="E564" i="20"/>
  <c r="D564" i="20"/>
  <c r="O564" i="20"/>
  <c r="N564" i="20"/>
  <c r="M564" i="20"/>
  <c r="L564" i="20"/>
  <c r="K564" i="20"/>
  <c r="J564" i="20"/>
  <c r="D563" i="20"/>
  <c r="H78" i="16"/>
  <c r="I78" i="16" s="1"/>
  <c r="C990" i="20" s="1"/>
  <c r="O19" i="16"/>
  <c r="F563" i="20"/>
  <c r="M916" i="20"/>
  <c r="G1171" i="20"/>
  <c r="H1092" i="20"/>
  <c r="G563" i="20"/>
  <c r="F313" i="20"/>
  <c r="K1092" i="20"/>
  <c r="J563" i="20"/>
  <c r="O729" i="20"/>
  <c r="J1467" i="20"/>
  <c r="K313" i="20"/>
  <c r="I1467" i="20"/>
  <c r="C1072" i="20"/>
  <c r="G1072" i="20" s="1"/>
  <c r="L313" i="20"/>
  <c r="D1092" i="20"/>
  <c r="N1467" i="20"/>
  <c r="C121" i="20"/>
  <c r="D1467" i="20"/>
  <c r="G1467" i="20"/>
  <c r="G30" i="27"/>
  <c r="L1467" i="20"/>
  <c r="O1606" i="20"/>
  <c r="N1223" i="20"/>
  <c r="I1514" i="20"/>
  <c r="O1516" i="20"/>
  <c r="K1606" i="20"/>
  <c r="C204" i="20"/>
  <c r="M1606" i="20"/>
  <c r="K563" i="20"/>
  <c r="H1223" i="20"/>
  <c r="N1606" i="20"/>
  <c r="L563" i="20"/>
  <c r="E1606" i="20"/>
  <c r="I1171" i="20"/>
  <c r="E102" i="20"/>
  <c r="D102" i="20"/>
  <c r="M102" i="20"/>
  <c r="G102" i="20"/>
  <c r="N102" i="20"/>
  <c r="L102" i="20"/>
  <c r="I102" i="20"/>
  <c r="H102" i="20"/>
  <c r="O102" i="20"/>
  <c r="F102" i="20"/>
  <c r="K102" i="20"/>
  <c r="J102" i="20"/>
  <c r="N939" i="20"/>
  <c r="J939" i="20"/>
  <c r="I939" i="20"/>
  <c r="H939" i="20"/>
  <c r="D939" i="20"/>
  <c r="M939" i="20"/>
  <c r="L939" i="20"/>
  <c r="K939" i="20"/>
  <c r="G939" i="20"/>
  <c r="F939" i="20"/>
  <c r="E939" i="20"/>
  <c r="O939" i="20"/>
  <c r="D132" i="20"/>
  <c r="H931" i="20"/>
  <c r="H732" i="20"/>
  <c r="G63" i="27"/>
  <c r="M1123" i="20"/>
  <c r="N1123" i="20"/>
  <c r="E95" i="27"/>
  <c r="F1123" i="20"/>
  <c r="C84" i="20"/>
  <c r="H176" i="20"/>
  <c r="M7" i="27"/>
  <c r="C1597" i="20"/>
  <c r="L1597" i="20" s="1"/>
  <c r="M176" i="20"/>
  <c r="N132" i="20"/>
  <c r="H1169" i="20"/>
  <c r="E1169" i="20"/>
  <c r="D1169" i="20"/>
  <c r="K1169" i="20"/>
  <c r="O1169" i="20"/>
  <c r="L1169" i="20"/>
  <c r="J1169" i="20"/>
  <c r="N1169" i="20"/>
  <c r="M1169" i="20"/>
  <c r="I1169" i="20"/>
  <c r="G1169" i="20"/>
  <c r="F1169" i="20"/>
  <c r="L716" i="20"/>
  <c r="H716" i="20"/>
  <c r="J716" i="20"/>
  <c r="E716" i="20"/>
  <c r="N716" i="20"/>
  <c r="I716" i="20"/>
  <c r="F716" i="20"/>
  <c r="D716" i="20"/>
  <c r="O716" i="20"/>
  <c r="M716" i="20"/>
  <c r="K716" i="20"/>
  <c r="G716" i="20"/>
  <c r="G449" i="20"/>
  <c r="F449" i="20"/>
  <c r="E449" i="20"/>
  <c r="N449" i="20"/>
  <c r="D449" i="20"/>
  <c r="O449" i="20"/>
  <c r="M449" i="20"/>
  <c r="L449" i="20"/>
  <c r="K449" i="20"/>
  <c r="I449" i="20"/>
  <c r="H449" i="20"/>
  <c r="J449" i="20"/>
  <c r="K1306" i="20"/>
  <c r="K192" i="20"/>
  <c r="O1471" i="20"/>
  <c r="H311" i="20"/>
  <c r="H129" i="20"/>
  <c r="H21" i="16"/>
  <c r="I21" i="16" s="1"/>
  <c r="C135" i="20" s="1"/>
  <c r="N1306" i="20"/>
  <c r="F1306" i="20"/>
  <c r="G1168" i="20"/>
  <c r="H1288" i="20"/>
  <c r="N192" i="20"/>
  <c r="E1471" i="20"/>
  <c r="I311" i="20"/>
  <c r="C104" i="20"/>
  <c r="D192" i="20"/>
  <c r="K413" i="20"/>
  <c r="E192" i="20"/>
  <c r="L311" i="20"/>
  <c r="M311" i="20"/>
  <c r="C1047" i="20"/>
  <c r="G192" i="20"/>
  <c r="J1693" i="20"/>
  <c r="E443" i="20"/>
  <c r="O413" i="20"/>
  <c r="H192" i="20"/>
  <c r="C1327" i="20"/>
  <c r="H1327" i="20" s="1"/>
  <c r="O311" i="20"/>
  <c r="N1693" i="20"/>
  <c r="F443" i="20"/>
  <c r="I192" i="20"/>
  <c r="F1693" i="20"/>
  <c r="G443" i="20"/>
  <c r="J192" i="20"/>
  <c r="M95" i="27"/>
  <c r="Q114" i="27"/>
  <c r="D1693" i="20"/>
  <c r="H443" i="20"/>
  <c r="G413" i="20"/>
  <c r="L192" i="20"/>
  <c r="O176" i="20"/>
  <c r="O132" i="20"/>
  <c r="O1171" i="20"/>
  <c r="Q30" i="27"/>
  <c r="Q78" i="27"/>
  <c r="H1693" i="20"/>
  <c r="I443" i="20"/>
  <c r="G132" i="20"/>
  <c r="F1171" i="20"/>
  <c r="F129" i="20"/>
  <c r="I1693" i="20"/>
  <c r="J443" i="20"/>
  <c r="L1693" i="20"/>
  <c r="L443" i="20"/>
  <c r="K48" i="27"/>
  <c r="M1693" i="20"/>
  <c r="M443" i="20"/>
  <c r="L176" i="20"/>
  <c r="J732" i="20"/>
  <c r="K132" i="20"/>
  <c r="H1171" i="20"/>
  <c r="N1508" i="20"/>
  <c r="L1306" i="20"/>
  <c r="J129" i="20"/>
  <c r="C277" i="20"/>
  <c r="I277" i="20" s="1"/>
  <c r="J1306" i="20"/>
  <c r="M1306" i="20"/>
  <c r="K129" i="20"/>
  <c r="O1693" i="20"/>
  <c r="O1306" i="20"/>
  <c r="L129" i="20"/>
  <c r="H38" i="16"/>
  <c r="I38" i="16" s="1"/>
  <c r="C390" i="20" s="1"/>
  <c r="M732" i="20"/>
  <c r="G179" i="20"/>
  <c r="I1422" i="20"/>
  <c r="H1422" i="20"/>
  <c r="O1422" i="20"/>
  <c r="L1422" i="20"/>
  <c r="F1422" i="20"/>
  <c r="E1422" i="20"/>
  <c r="D1422" i="20"/>
  <c r="N1422" i="20"/>
  <c r="K1422" i="20"/>
  <c r="J1422" i="20"/>
  <c r="M1422" i="20"/>
  <c r="G1422" i="20"/>
  <c r="M1419" i="20"/>
  <c r="F1419" i="20"/>
  <c r="O1419" i="20"/>
  <c r="L1419" i="20"/>
  <c r="N1419" i="20"/>
  <c r="K1419" i="20"/>
  <c r="H1419" i="20"/>
  <c r="I1419" i="20"/>
  <c r="G1419" i="20"/>
  <c r="E1419" i="20"/>
  <c r="D1419" i="20"/>
  <c r="J1419" i="20"/>
  <c r="N1617" i="20"/>
  <c r="H927" i="20"/>
  <c r="N566" i="20"/>
  <c r="E148" i="20"/>
  <c r="I1617" i="20"/>
  <c r="M927" i="20"/>
  <c r="D566" i="20"/>
  <c r="L1288" i="20"/>
  <c r="J927" i="20"/>
  <c r="E238" i="20"/>
  <c r="F238" i="20"/>
  <c r="G1288" i="20"/>
  <c r="I238" i="20"/>
  <c r="F1288" i="20"/>
  <c r="C382" i="20"/>
  <c r="H382" i="20" s="1"/>
  <c r="D916" i="20"/>
  <c r="H916" i="20"/>
  <c r="J1273" i="20"/>
  <c r="I148" i="20"/>
  <c r="K1617" i="20"/>
  <c r="H86" i="16"/>
  <c r="I86" i="16" s="1"/>
  <c r="C79" i="19" s="1"/>
  <c r="J566" i="20"/>
  <c r="K916" i="20"/>
  <c r="J148" i="20"/>
  <c r="M1617" i="20"/>
  <c r="D927" i="20"/>
  <c r="K566" i="20"/>
  <c r="G95" i="27"/>
  <c r="C1711" i="20"/>
  <c r="N1438" i="20"/>
  <c r="M1438" i="20"/>
  <c r="L1438" i="20"/>
  <c r="K1438" i="20"/>
  <c r="I1438" i="20"/>
  <c r="O1438" i="20"/>
  <c r="G1438" i="20"/>
  <c r="J1438" i="20"/>
  <c r="D1438" i="20"/>
  <c r="H1438" i="20"/>
  <c r="F1438" i="20"/>
  <c r="E1438" i="20"/>
  <c r="E721" i="20"/>
  <c r="M721" i="20"/>
  <c r="N721" i="20"/>
  <c r="D721" i="20"/>
  <c r="L721" i="20"/>
  <c r="J721" i="20"/>
  <c r="K721" i="20"/>
  <c r="I721" i="20"/>
  <c r="G721" i="20"/>
  <c r="O721" i="20"/>
  <c r="H721" i="20"/>
  <c r="F721" i="20"/>
  <c r="O179" i="20"/>
  <c r="U48" i="27"/>
  <c r="G1606" i="20"/>
  <c r="I1126" i="20"/>
  <c r="F732" i="20"/>
  <c r="H1606" i="20"/>
  <c r="I729" i="20"/>
  <c r="J729" i="20"/>
  <c r="L1298" i="20"/>
  <c r="E1224" i="20"/>
  <c r="L1126" i="20"/>
  <c r="O732" i="20"/>
  <c r="F1606" i="20"/>
  <c r="L729" i="20"/>
  <c r="M1126" i="20"/>
  <c r="M729" i="20"/>
  <c r="O1298" i="20"/>
  <c r="N1224" i="20"/>
  <c r="N1126" i="20"/>
  <c r="I732" i="20"/>
  <c r="N729" i="20"/>
  <c r="I1298" i="20"/>
  <c r="E1051" i="20"/>
  <c r="C1087" i="20"/>
  <c r="F1087" i="20" s="1"/>
  <c r="D179" i="20"/>
  <c r="O96" i="27"/>
  <c r="M179" i="20"/>
  <c r="E179" i="20"/>
  <c r="O41" i="16"/>
  <c r="N1298" i="20"/>
  <c r="F179" i="20"/>
  <c r="H179" i="20"/>
  <c r="I179" i="20"/>
  <c r="C1426" i="20"/>
  <c r="I1709" i="20"/>
  <c r="M1709" i="20"/>
  <c r="E1709" i="20"/>
  <c r="D1709" i="20"/>
  <c r="O1709" i="20"/>
  <c r="J1709" i="20"/>
  <c r="H1709" i="20"/>
  <c r="N1709" i="20"/>
  <c r="G1709" i="20"/>
  <c r="F1709" i="20"/>
  <c r="K1709" i="20"/>
  <c r="L1709" i="20"/>
  <c r="C412" i="20"/>
  <c r="F412" i="20" s="1"/>
  <c r="I1276" i="20"/>
  <c r="H29" i="16"/>
  <c r="I29" i="16" s="1"/>
  <c r="C255" i="20" s="1"/>
  <c r="C442" i="20"/>
  <c r="N442" i="20" s="1"/>
  <c r="H73" i="16"/>
  <c r="I73" i="16" s="1"/>
  <c r="C915" i="20" s="1"/>
  <c r="C1447" i="20"/>
  <c r="I1447" i="20" s="1"/>
  <c r="O60" i="16"/>
  <c r="H115" i="16"/>
  <c r="I115" i="16" s="1"/>
  <c r="C1545" i="20" s="1"/>
  <c r="C637" i="20"/>
  <c r="J637" i="20" s="1"/>
  <c r="O1276" i="20"/>
  <c r="C195" i="20"/>
  <c r="J195" i="20" s="1"/>
  <c r="S13" i="27"/>
  <c r="C669" i="20"/>
  <c r="H669" i="20" s="1"/>
  <c r="G45" i="27"/>
  <c r="C1388" i="20"/>
  <c r="N1388" i="20" s="1"/>
  <c r="E93" i="27"/>
  <c r="C1242" i="20"/>
  <c r="J1242" i="20" s="1"/>
  <c r="M83" i="27"/>
  <c r="C1484" i="20"/>
  <c r="J1484" i="20" s="1"/>
  <c r="Q99" i="27"/>
  <c r="C1558" i="20"/>
  <c r="L1558" i="20" s="1"/>
  <c r="O104" i="27"/>
  <c r="C464" i="20"/>
  <c r="D464" i="20" s="1"/>
  <c r="Q31" i="27"/>
  <c r="C671" i="20"/>
  <c r="D671" i="20" s="1"/>
  <c r="K45" i="27"/>
  <c r="C466" i="20"/>
  <c r="H466" i="20" s="1"/>
  <c r="U31" i="27"/>
  <c r="C1391" i="20"/>
  <c r="K1391" i="20" s="1"/>
  <c r="K93" i="27"/>
  <c r="C1571" i="20"/>
  <c r="M1571" i="20" s="1"/>
  <c r="K105" i="27"/>
  <c r="C945" i="20"/>
  <c r="N945" i="20" s="1"/>
  <c r="S63" i="27"/>
  <c r="C810" i="20"/>
  <c r="E810" i="20" s="1"/>
  <c r="S54" i="27"/>
  <c r="C687" i="20"/>
  <c r="E687" i="20" s="1"/>
  <c r="M46" i="27"/>
  <c r="C623" i="20"/>
  <c r="E623" i="20" s="1"/>
  <c r="E42" i="27"/>
  <c r="C1572" i="20"/>
  <c r="D1572" i="20" s="1"/>
  <c r="M105" i="27"/>
  <c r="C624" i="20"/>
  <c r="N624" i="20" s="1"/>
  <c r="G42" i="27"/>
  <c r="C478" i="20"/>
  <c r="H478" i="20" s="1"/>
  <c r="O32" i="27"/>
  <c r="C1568" i="20"/>
  <c r="H1568" i="20" s="1"/>
  <c r="E105" i="27"/>
  <c r="C1574" i="20"/>
  <c r="N1574" i="20" s="1"/>
  <c r="Q105" i="27"/>
  <c r="C1482" i="20"/>
  <c r="M1482" i="20" s="1"/>
  <c r="M99" i="27"/>
  <c r="C165" i="20"/>
  <c r="F165" i="20" s="1"/>
  <c r="S11" i="27"/>
  <c r="C479" i="20"/>
  <c r="N479" i="20" s="1"/>
  <c r="Q32" i="27"/>
  <c r="C459" i="20"/>
  <c r="H459" i="20" s="1"/>
  <c r="G31" i="27"/>
  <c r="C839" i="20"/>
  <c r="J839" i="20" s="1"/>
  <c r="Q56" i="27"/>
  <c r="C450" i="20"/>
  <c r="H450" i="20" s="1"/>
  <c r="S30" i="27"/>
  <c r="C474" i="20"/>
  <c r="E474" i="20" s="1"/>
  <c r="G32" i="27"/>
  <c r="C1557" i="20"/>
  <c r="L1557" i="20" s="1"/>
  <c r="M104" i="27"/>
  <c r="C1481" i="20"/>
  <c r="I1481" i="20" s="1"/>
  <c r="K99" i="27"/>
  <c r="C476" i="20"/>
  <c r="I476" i="20" s="1"/>
  <c r="K32" i="27"/>
  <c r="C1559" i="20"/>
  <c r="N1559" i="20" s="1"/>
  <c r="Q104" i="27"/>
  <c r="C1393" i="20"/>
  <c r="M1393" i="20" s="1"/>
  <c r="O93" i="27"/>
  <c r="C1238" i="20"/>
  <c r="N1238" i="20" s="1"/>
  <c r="E83" i="27"/>
  <c r="C1016" i="20"/>
  <c r="D1016" i="20" s="1"/>
  <c r="K68" i="27"/>
  <c r="C901" i="20"/>
  <c r="E901" i="20" s="1"/>
  <c r="U60" i="27"/>
  <c r="C871" i="20"/>
  <c r="F871" i="20" s="1"/>
  <c r="U58" i="27"/>
  <c r="C1138" i="20"/>
  <c r="F1138" i="20" s="1"/>
  <c r="O76" i="27"/>
  <c r="C1554" i="20"/>
  <c r="E1554" i="20" s="1"/>
  <c r="G104" i="27"/>
  <c r="C1392" i="20"/>
  <c r="K1392" i="20" s="1"/>
  <c r="M93" i="27"/>
  <c r="C1241" i="20"/>
  <c r="D1241" i="20" s="1"/>
  <c r="K83" i="27"/>
  <c r="C1134" i="20"/>
  <c r="L1134" i="20" s="1"/>
  <c r="G76" i="27"/>
  <c r="C1156" i="20"/>
  <c r="N1156" i="20" s="1"/>
  <c r="U77" i="27"/>
  <c r="C1556" i="20"/>
  <c r="G1556" i="20" s="1"/>
  <c r="K104" i="27"/>
  <c r="C1243" i="20"/>
  <c r="I1243" i="20" s="1"/>
  <c r="O83" i="27"/>
  <c r="C1021" i="20"/>
  <c r="J1021" i="20" s="1"/>
  <c r="U68" i="27"/>
  <c r="C668" i="20"/>
  <c r="N668" i="20" s="1"/>
  <c r="E45" i="27"/>
  <c r="C549" i="20"/>
  <c r="F549" i="20" s="1"/>
  <c r="G37" i="27"/>
  <c r="C593" i="20"/>
  <c r="N593" i="20" s="1"/>
  <c r="E40" i="27"/>
  <c r="C961" i="20"/>
  <c r="O961" i="20" s="1"/>
  <c r="U64" i="27"/>
  <c r="C837" i="20"/>
  <c r="M837" i="20" s="1"/>
  <c r="M56" i="27"/>
  <c r="C1246" i="20"/>
  <c r="G1246" i="20" s="1"/>
  <c r="U83" i="27"/>
  <c r="C551" i="20"/>
  <c r="K551" i="20" s="1"/>
  <c r="K37" i="27"/>
  <c r="C1365" i="20"/>
  <c r="D1365" i="20" s="1"/>
  <c r="S91" i="27"/>
  <c r="C594" i="20"/>
  <c r="K594" i="20" s="1"/>
  <c r="G40" i="27"/>
  <c r="C628" i="20"/>
  <c r="F628" i="20" s="1"/>
  <c r="O42" i="27"/>
  <c r="C676" i="20"/>
  <c r="M676" i="20" s="1"/>
  <c r="U45" i="27"/>
  <c r="C834" i="20"/>
  <c r="D834" i="20" s="1"/>
  <c r="G56" i="27"/>
  <c r="C548" i="20"/>
  <c r="K548" i="20" s="1"/>
  <c r="E37" i="27"/>
  <c r="C626" i="20"/>
  <c r="N626" i="20" s="1"/>
  <c r="K42" i="27"/>
  <c r="C481" i="20"/>
  <c r="N481" i="20" s="1"/>
  <c r="U32" i="27"/>
  <c r="C672" i="20"/>
  <c r="E672" i="20" s="1"/>
  <c r="M45" i="27"/>
  <c r="C838" i="20"/>
  <c r="K838" i="20" s="1"/>
  <c r="O56" i="27"/>
  <c r="C553" i="20"/>
  <c r="I553" i="20" s="1"/>
  <c r="O37" i="27"/>
  <c r="C496" i="20"/>
  <c r="D496" i="20" s="1"/>
  <c r="U33" i="27"/>
  <c r="C552" i="20"/>
  <c r="E552" i="20" s="1"/>
  <c r="M37" i="27"/>
  <c r="C489" i="20"/>
  <c r="H489" i="20" s="1"/>
  <c r="G33" i="27"/>
  <c r="C627" i="20"/>
  <c r="K627" i="20" s="1"/>
  <c r="M42" i="27"/>
  <c r="C673" i="20"/>
  <c r="H673" i="20" s="1"/>
  <c r="O45" i="27"/>
  <c r="C1170" i="20"/>
  <c r="M1170" i="20" s="1"/>
  <c r="S78" i="27"/>
  <c r="C629" i="20"/>
  <c r="D629" i="20" s="1"/>
  <c r="Q42" i="27"/>
  <c r="C1230" i="20"/>
  <c r="G1230" i="20" s="1"/>
  <c r="S82" i="27"/>
  <c r="C674" i="20"/>
  <c r="I674" i="20" s="1"/>
  <c r="Q45" i="27"/>
  <c r="C836" i="20"/>
  <c r="G836" i="20" s="1"/>
  <c r="K56" i="27"/>
  <c r="C1035" i="20"/>
  <c r="O1035" i="20" s="1"/>
  <c r="S69" i="27"/>
  <c r="C493" i="20"/>
  <c r="G493" i="20" s="1"/>
  <c r="O33" i="27"/>
  <c r="C556" i="20"/>
  <c r="N556" i="20" s="1"/>
  <c r="U37" i="27"/>
  <c r="C631" i="20"/>
  <c r="M631" i="20" s="1"/>
  <c r="U42" i="27"/>
  <c r="C765" i="20"/>
  <c r="G765" i="20" s="1"/>
  <c r="S51" i="27"/>
  <c r="C841" i="20"/>
  <c r="F841" i="20" s="1"/>
  <c r="U56" i="27"/>
  <c r="C1403" i="20"/>
  <c r="H1403" i="20" s="1"/>
  <c r="E94" i="27"/>
  <c r="C1479" i="20"/>
  <c r="L1479" i="20" s="1"/>
  <c r="G99" i="27"/>
  <c r="C345" i="20"/>
  <c r="E345" i="20" s="1"/>
  <c r="S23" i="27"/>
  <c r="C1404" i="20"/>
  <c r="O1404" i="20" s="1"/>
  <c r="G94" i="27"/>
  <c r="C61" i="20"/>
  <c r="K61" i="20" s="1"/>
  <c r="U4" i="27"/>
  <c r="C1478" i="20"/>
  <c r="K1478" i="20" s="1"/>
  <c r="E99" i="27"/>
  <c r="C360" i="20"/>
  <c r="F360" i="20" s="1"/>
  <c r="S24" i="27"/>
  <c r="C1407" i="20"/>
  <c r="D1407" i="20" s="1"/>
  <c r="M94" i="27"/>
  <c r="C735" i="20"/>
  <c r="H735" i="20" s="1"/>
  <c r="C1569" i="20"/>
  <c r="M1569" i="20" s="1"/>
  <c r="G105" i="27"/>
  <c r="C1406" i="20"/>
  <c r="F1406" i="20" s="1"/>
  <c r="K94" i="27"/>
  <c r="C1425" i="20"/>
  <c r="D1425" i="20" s="1"/>
  <c r="S95" i="27"/>
  <c r="C399" i="20"/>
  <c r="O399" i="20" s="1"/>
  <c r="G27" i="27"/>
  <c r="C1408" i="20"/>
  <c r="F1408" i="20" s="1"/>
  <c r="O94" i="27"/>
  <c r="C120" i="20"/>
  <c r="F120" i="20" s="1"/>
  <c r="S8" i="27"/>
  <c r="C315" i="20"/>
  <c r="F315" i="20" s="1"/>
  <c r="S21" i="27"/>
  <c r="C71" i="20"/>
  <c r="I71" i="20" s="1"/>
  <c r="K5" i="27"/>
  <c r="C1515" i="20"/>
  <c r="K1515" i="20" s="1"/>
  <c r="S101" i="27"/>
  <c r="C1530" i="20"/>
  <c r="F1530" i="20" s="1"/>
  <c r="S102" i="27"/>
  <c r="C268" i="20"/>
  <c r="O18" i="27"/>
  <c r="C1303" i="20"/>
  <c r="O87" i="27"/>
  <c r="C1057" i="20"/>
  <c r="H1057" i="20" s="1"/>
  <c r="C71" i="27"/>
  <c r="C1483" i="20"/>
  <c r="K1483" i="20" s="1"/>
  <c r="O99" i="27"/>
  <c r="C1573" i="20"/>
  <c r="N1573" i="20" s="1"/>
  <c r="O105" i="27"/>
  <c r="C462" i="20"/>
  <c r="F462" i="20" s="1"/>
  <c r="M31" i="27"/>
  <c r="C1710" i="20"/>
  <c r="F1710" i="20" s="1"/>
  <c r="S114" i="27"/>
  <c r="C863" i="20"/>
  <c r="N863" i="20" s="1"/>
  <c r="E58" i="27"/>
  <c r="C461" i="20"/>
  <c r="D461" i="20" s="1"/>
  <c r="K31" i="27"/>
  <c r="C899" i="20"/>
  <c r="G899" i="20" s="1"/>
  <c r="Q60" i="27"/>
  <c r="C864" i="20"/>
  <c r="H864" i="20" s="1"/>
  <c r="G58" i="27"/>
  <c r="C1258" i="20"/>
  <c r="L1258" i="20" s="1"/>
  <c r="O84" i="27"/>
  <c r="C581" i="20"/>
  <c r="L581" i="20" s="1"/>
  <c r="K39" i="27"/>
  <c r="C103" i="20"/>
  <c r="O103" i="20" s="1"/>
  <c r="O7" i="27"/>
  <c r="C1284" i="20"/>
  <c r="G86" i="27"/>
  <c r="C421" i="20"/>
  <c r="U28" i="27"/>
  <c r="C1102" i="20"/>
  <c r="H1102" i="20" s="1"/>
  <c r="C74" i="27"/>
  <c r="C1089" i="20"/>
  <c r="G73" i="27"/>
  <c r="C1366" i="20"/>
  <c r="U91" i="27"/>
  <c r="C1538" i="20"/>
  <c r="J1538" i="20" s="1"/>
  <c r="E103" i="27"/>
  <c r="C1722" i="20"/>
  <c r="M115" i="27"/>
  <c r="C1363" i="20"/>
  <c r="O91" i="27"/>
  <c r="C173" i="20"/>
  <c r="E12" i="27"/>
  <c r="C249" i="20"/>
  <c r="G17" i="27"/>
  <c r="C14" i="27"/>
  <c r="C202" i="20"/>
  <c r="G202" i="20" s="1"/>
  <c r="C150" i="20"/>
  <c r="J150" i="20" s="1"/>
  <c r="S10" i="27"/>
  <c r="AA10" i="27" s="1"/>
  <c r="C1486" i="20"/>
  <c r="O1486" i="20" s="1"/>
  <c r="U99" i="27"/>
  <c r="C1576" i="20"/>
  <c r="E1576" i="20" s="1"/>
  <c r="U105" i="27"/>
  <c r="C463" i="20"/>
  <c r="D463" i="20" s="1"/>
  <c r="O31" i="27"/>
  <c r="C1013" i="20"/>
  <c r="G1013" i="20" s="1"/>
  <c r="E68" i="27"/>
  <c r="C894" i="20"/>
  <c r="I894" i="20" s="1"/>
  <c r="G60" i="27"/>
  <c r="C868" i="20"/>
  <c r="O868" i="20" s="1"/>
  <c r="O58" i="27"/>
  <c r="C74" i="20"/>
  <c r="G74" i="20" s="1"/>
  <c r="Q5" i="27"/>
  <c r="C240" i="20"/>
  <c r="J240" i="20" s="1"/>
  <c r="S16" i="27"/>
  <c r="C611" i="20"/>
  <c r="D611" i="20" s="1"/>
  <c r="K41" i="27"/>
  <c r="C897" i="20"/>
  <c r="I897" i="20" s="1"/>
  <c r="M60" i="27"/>
  <c r="C1148" i="20"/>
  <c r="K1148" i="20" s="1"/>
  <c r="E77" i="27"/>
  <c r="C1017" i="20"/>
  <c r="H1017" i="20" s="1"/>
  <c r="M68" i="27"/>
  <c r="C867" i="20"/>
  <c r="L867" i="20" s="1"/>
  <c r="M58" i="27"/>
  <c r="C953" i="20"/>
  <c r="L953" i="20" s="1"/>
  <c r="E64" i="27"/>
  <c r="C1014" i="20"/>
  <c r="O1014" i="20" s="1"/>
  <c r="G68" i="27"/>
  <c r="C896" i="20"/>
  <c r="J896" i="20" s="1"/>
  <c r="K60" i="27"/>
  <c r="C869" i="20"/>
  <c r="K869" i="20" s="1"/>
  <c r="Q58" i="27"/>
  <c r="C1553" i="20"/>
  <c r="H1553" i="20" s="1"/>
  <c r="E104" i="27"/>
  <c r="C1389" i="20"/>
  <c r="N1389" i="20" s="1"/>
  <c r="G93" i="27"/>
  <c r="C1239" i="20"/>
  <c r="E1239" i="20" s="1"/>
  <c r="G83" i="27"/>
  <c r="C1018" i="20"/>
  <c r="O1018" i="20" s="1"/>
  <c r="O68" i="27"/>
  <c r="C683" i="20"/>
  <c r="E683" i="20" s="1"/>
  <c r="E46" i="27"/>
  <c r="C958" i="20"/>
  <c r="K958" i="20" s="1"/>
  <c r="O64" i="27"/>
  <c r="C297" i="20"/>
  <c r="M297" i="20" s="1"/>
  <c r="M20" i="27"/>
  <c r="J916" i="20"/>
  <c r="E916" i="20"/>
  <c r="G916" i="20"/>
  <c r="F916" i="20"/>
  <c r="C691" i="20"/>
  <c r="I691" i="20" s="1"/>
  <c r="U46" i="27"/>
  <c r="C1133" i="20"/>
  <c r="K1133" i="20" s="1"/>
  <c r="E76" i="27"/>
  <c r="C398" i="20"/>
  <c r="I398" i="20" s="1"/>
  <c r="E27" i="27"/>
  <c r="C299" i="20"/>
  <c r="G299" i="20" s="1"/>
  <c r="Q20" i="27"/>
  <c r="C507" i="20"/>
  <c r="I507" i="20" s="1"/>
  <c r="M34" i="27"/>
  <c r="C1359" i="20"/>
  <c r="I1359" i="20" s="1"/>
  <c r="G91" i="27"/>
  <c r="C1196" i="20"/>
  <c r="K1196" i="20" s="1"/>
  <c r="K80" i="27"/>
  <c r="N1276" i="20"/>
  <c r="G1276" i="20"/>
  <c r="E1276" i="20"/>
  <c r="C1059" i="20"/>
  <c r="E1059" i="20" s="1"/>
  <c r="G71" i="27"/>
  <c r="C391" i="20"/>
  <c r="U26" i="27"/>
  <c r="C1166" i="20"/>
  <c r="K78" i="27"/>
  <c r="C642" i="20"/>
  <c r="M43" i="27"/>
  <c r="C989" i="20"/>
  <c r="Q66" i="27"/>
  <c r="C1111" i="20"/>
  <c r="U74" i="27"/>
  <c r="C946" i="20"/>
  <c r="U63" i="27"/>
  <c r="C1343" i="20"/>
  <c r="E90" i="27"/>
  <c r="C1137" i="20"/>
  <c r="D1137" i="20" s="1"/>
  <c r="M76" i="27"/>
  <c r="C402" i="20"/>
  <c r="L402" i="20" s="1"/>
  <c r="M27" i="27"/>
  <c r="C301" i="20"/>
  <c r="E301" i="20" s="1"/>
  <c r="U20" i="27"/>
  <c r="C877" i="20"/>
  <c r="O877" i="20" s="1"/>
  <c r="C59" i="27"/>
  <c r="C533" i="20"/>
  <c r="G533" i="20" s="1"/>
  <c r="E36" i="27"/>
  <c r="C284" i="20"/>
  <c r="G284" i="20" s="1"/>
  <c r="Q19" i="27"/>
  <c r="C1462" i="20"/>
  <c r="J1462" i="20" s="1"/>
  <c r="C98" i="27"/>
  <c r="C1178" i="20"/>
  <c r="G1178" i="20" s="1"/>
  <c r="E79" i="27"/>
  <c r="C1193" i="20"/>
  <c r="M1193" i="20" s="1"/>
  <c r="E80" i="27"/>
  <c r="C1539" i="20"/>
  <c r="I1539" i="20" s="1"/>
  <c r="G103" i="27"/>
  <c r="C1091" i="20"/>
  <c r="O1091" i="20" s="1"/>
  <c r="K73" i="27"/>
  <c r="C521" i="20"/>
  <c r="H521" i="20" s="1"/>
  <c r="K35" i="27"/>
  <c r="C509" i="20"/>
  <c r="M509" i="20" s="1"/>
  <c r="Q34" i="27"/>
  <c r="C1512" i="20"/>
  <c r="N1512" i="20" s="1"/>
  <c r="M101" i="27"/>
  <c r="C239" i="20"/>
  <c r="Q16" i="27"/>
  <c r="C1331" i="20"/>
  <c r="K89" i="27"/>
  <c r="C762" i="20"/>
  <c r="M51" i="27"/>
  <c r="C1357" i="20"/>
  <c r="I1357" i="20" s="1"/>
  <c r="C91" i="27"/>
  <c r="C401" i="20"/>
  <c r="F401" i="20" s="1"/>
  <c r="K27" i="27"/>
  <c r="C1253" i="20"/>
  <c r="F1253" i="20" s="1"/>
  <c r="E84" i="27"/>
  <c r="L916" i="20"/>
  <c r="J238" i="20"/>
  <c r="H238" i="20"/>
  <c r="O238" i="20"/>
  <c r="N238" i="20"/>
  <c r="C458" i="20"/>
  <c r="H458" i="20" s="1"/>
  <c r="E31" i="27"/>
  <c r="C285" i="20"/>
  <c r="N285" i="20" s="1"/>
  <c r="S19" i="27"/>
  <c r="C1396" i="20"/>
  <c r="F1396" i="20" s="1"/>
  <c r="U93" i="27"/>
  <c r="C597" i="20"/>
  <c r="K597" i="20" s="1"/>
  <c r="M40" i="27"/>
  <c r="C403" i="20"/>
  <c r="E403" i="20" s="1"/>
  <c r="O27" i="27"/>
  <c r="C705" i="20"/>
  <c r="J705" i="20" s="1"/>
  <c r="S47" i="27"/>
  <c r="C1257" i="20"/>
  <c r="G1257" i="20" s="1"/>
  <c r="M84" i="27"/>
  <c r="C1537" i="20"/>
  <c r="M1537" i="20" s="1"/>
  <c r="C103" i="27"/>
  <c r="C1493" i="20"/>
  <c r="M1493" i="20" s="1"/>
  <c r="E100" i="27"/>
  <c r="C1423" i="20"/>
  <c r="E1423" i="20" s="1"/>
  <c r="O95" i="27"/>
  <c r="C1603" i="20"/>
  <c r="K1603" i="20" s="1"/>
  <c r="O107" i="27"/>
  <c r="C473" i="20"/>
  <c r="H473" i="20" s="1"/>
  <c r="E32" i="27"/>
  <c r="C780" i="20"/>
  <c r="K780" i="20" s="1"/>
  <c r="S52" i="27"/>
  <c r="C1561" i="20"/>
  <c r="L1561" i="20" s="1"/>
  <c r="U104" i="27"/>
  <c r="C833" i="20"/>
  <c r="G833" i="20" s="1"/>
  <c r="E56" i="27"/>
  <c r="C1411" i="20"/>
  <c r="D1411" i="20" s="1"/>
  <c r="U94" i="27"/>
  <c r="C599" i="20"/>
  <c r="H599" i="20" s="1"/>
  <c r="Q40" i="27"/>
  <c r="C1139" i="20"/>
  <c r="L1139" i="20" s="1"/>
  <c r="Q76" i="27"/>
  <c r="C404" i="20"/>
  <c r="J404" i="20" s="1"/>
  <c r="Q27" i="27"/>
  <c r="C1254" i="20"/>
  <c r="E1254" i="20" s="1"/>
  <c r="G84" i="27"/>
  <c r="N916" i="20"/>
  <c r="F309" i="20"/>
  <c r="L309" i="20"/>
  <c r="J309" i="20"/>
  <c r="C477" i="20"/>
  <c r="O477" i="20" s="1"/>
  <c r="M32" i="27"/>
  <c r="C1394" i="20"/>
  <c r="I1394" i="20" s="1"/>
  <c r="Q93" i="27"/>
  <c r="C1409" i="20"/>
  <c r="N1409" i="20" s="1"/>
  <c r="Q94" i="27"/>
  <c r="C893" i="20"/>
  <c r="D893" i="20" s="1"/>
  <c r="E60" i="27"/>
  <c r="C1275" i="20"/>
  <c r="J1275" i="20" s="1"/>
  <c r="S85" i="27"/>
  <c r="C1259" i="20"/>
  <c r="K1259" i="20" s="1"/>
  <c r="Q84" i="27"/>
  <c r="C1005" i="20"/>
  <c r="D1005" i="20" s="1"/>
  <c r="S67" i="27"/>
  <c r="C1006" i="20"/>
  <c r="G1006" i="20" s="1"/>
  <c r="U67" i="27"/>
  <c r="C1282" i="20"/>
  <c r="G1282" i="20" s="1"/>
  <c r="C86" i="27"/>
  <c r="C913" i="20"/>
  <c r="O913" i="20" s="1"/>
  <c r="O61" i="27"/>
  <c r="C491" i="20"/>
  <c r="O491" i="20" s="1"/>
  <c r="K33" i="27"/>
  <c r="C598" i="20"/>
  <c r="M598" i="20" s="1"/>
  <c r="O40" i="27"/>
  <c r="C406" i="20"/>
  <c r="D406" i="20" s="1"/>
  <c r="U27" i="27"/>
  <c r="C210" i="20"/>
  <c r="D210" i="20" s="1"/>
  <c r="S14" i="27"/>
  <c r="C1256" i="20"/>
  <c r="G1256" i="20" s="1"/>
  <c r="K84" i="27"/>
  <c r="C1436" i="20"/>
  <c r="H1436" i="20" s="1"/>
  <c r="K96" i="27"/>
  <c r="C742" i="20"/>
  <c r="M742" i="20" s="1"/>
  <c r="C50" i="27"/>
  <c r="C698" i="20"/>
  <c r="E698" i="20" s="1"/>
  <c r="E47" i="27"/>
  <c r="C1541" i="20"/>
  <c r="J1541" i="20" s="1"/>
  <c r="K103" i="27"/>
  <c r="C1050" i="20"/>
  <c r="K1050" i="20" s="1"/>
  <c r="S70" i="27"/>
  <c r="C612" i="20"/>
  <c r="F612" i="20" s="1"/>
  <c r="M41" i="27"/>
  <c r="C793" i="20"/>
  <c r="G793" i="20" s="1"/>
  <c r="O53" i="27"/>
  <c r="C1229" i="20"/>
  <c r="H1229" i="20" s="1"/>
  <c r="Q82" i="27"/>
  <c r="C791" i="20"/>
  <c r="J791" i="20" s="1"/>
  <c r="K53" i="27"/>
  <c r="C1197" i="20"/>
  <c r="J1197" i="20" s="1"/>
  <c r="M80" i="27"/>
  <c r="C446" i="20"/>
  <c r="M446" i="20" s="1"/>
  <c r="K30" i="27"/>
  <c r="C488" i="20"/>
  <c r="M488" i="20" s="1"/>
  <c r="E33" i="27"/>
  <c r="C579" i="20"/>
  <c r="O579" i="20" s="1"/>
  <c r="G39" i="27"/>
  <c r="C1358" i="20"/>
  <c r="H1358" i="20" s="1"/>
  <c r="E91" i="27"/>
  <c r="C252" i="20"/>
  <c r="E252" i="20" s="1"/>
  <c r="M17" i="27"/>
  <c r="C1044" i="20"/>
  <c r="G70" i="27"/>
  <c r="C208" i="20"/>
  <c r="O14" i="27"/>
  <c r="C357" i="20"/>
  <c r="M24" i="27"/>
  <c r="C1313" i="20"/>
  <c r="E88" i="27"/>
  <c r="C1692" i="20"/>
  <c r="M113" i="27"/>
  <c r="C312" i="20"/>
  <c r="M21" i="27"/>
  <c r="C1726" i="20"/>
  <c r="U115" i="27"/>
  <c r="C1454" i="20"/>
  <c r="I1454" i="20" s="1"/>
  <c r="Q97" i="27"/>
  <c r="C881" i="20"/>
  <c r="K59" i="27"/>
  <c r="C219" i="20"/>
  <c r="D219" i="20" s="1"/>
  <c r="G15" i="27"/>
  <c r="C327" i="20"/>
  <c r="M22" i="27"/>
  <c r="C504" i="20"/>
  <c r="J504" i="20" s="1"/>
  <c r="G34" i="27"/>
  <c r="C54" i="20"/>
  <c r="I54" i="20" s="1"/>
  <c r="G4" i="27"/>
  <c r="C1689" i="20"/>
  <c r="G113" i="27"/>
  <c r="C1528" i="20"/>
  <c r="O102" i="27"/>
  <c r="C957" i="20"/>
  <c r="K957" i="20" s="1"/>
  <c r="M64" i="27"/>
  <c r="C1151" i="20"/>
  <c r="G1151" i="20" s="1"/>
  <c r="K77" i="27"/>
  <c r="C53" i="20"/>
  <c r="O53" i="20" s="1"/>
  <c r="E4" i="27"/>
  <c r="C609" i="20"/>
  <c r="M609" i="20" s="1"/>
  <c r="G41" i="27"/>
  <c r="C582" i="20"/>
  <c r="J582" i="20" s="1"/>
  <c r="M39" i="27"/>
  <c r="C1498" i="20"/>
  <c r="J1498" i="20" s="1"/>
  <c r="O100" i="27"/>
  <c r="C524" i="20"/>
  <c r="H524" i="20" s="1"/>
  <c r="Q35" i="27"/>
  <c r="C1194" i="20"/>
  <c r="D1194" i="20" s="1"/>
  <c r="G80" i="27"/>
  <c r="C988" i="20"/>
  <c r="G988" i="20" s="1"/>
  <c r="O66" i="27"/>
  <c r="C1497" i="20"/>
  <c r="H1497" i="20" s="1"/>
  <c r="M100" i="27"/>
  <c r="C758" i="20"/>
  <c r="H758" i="20" s="1"/>
  <c r="E51" i="27"/>
  <c r="C1379" i="20"/>
  <c r="N1379" i="20" s="1"/>
  <c r="Q92" i="27"/>
  <c r="C1527" i="20"/>
  <c r="N1527" i="20" s="1"/>
  <c r="M102" i="27"/>
  <c r="C1524" i="20"/>
  <c r="L1524" i="20" s="1"/>
  <c r="G102" i="27"/>
  <c r="C1125" i="20"/>
  <c r="J1125" i="20" s="1"/>
  <c r="S75" i="27"/>
  <c r="C613" i="20"/>
  <c r="I613" i="20" s="1"/>
  <c r="O41" i="27"/>
  <c r="C583" i="20"/>
  <c r="M583" i="20" s="1"/>
  <c r="O39" i="27"/>
  <c r="C189" i="20"/>
  <c r="J189" i="20" s="1"/>
  <c r="G13" i="27"/>
  <c r="C1437" i="20"/>
  <c r="M96" i="27"/>
  <c r="C69" i="20"/>
  <c r="I69" i="20" s="1"/>
  <c r="G5" i="27"/>
  <c r="C954" i="20"/>
  <c r="N954" i="20" s="1"/>
  <c r="G64" i="27"/>
  <c r="C1149" i="20"/>
  <c r="E1149" i="20" s="1"/>
  <c r="G77" i="27"/>
  <c r="C58" i="20"/>
  <c r="E58" i="20" s="1"/>
  <c r="O4" i="27"/>
  <c r="C614" i="20"/>
  <c r="O614" i="20" s="1"/>
  <c r="Q41" i="27"/>
  <c r="C584" i="20"/>
  <c r="D584" i="20" s="1"/>
  <c r="Q39" i="27"/>
  <c r="C956" i="20"/>
  <c r="N956" i="20" s="1"/>
  <c r="K64" i="27"/>
  <c r="C1152" i="20"/>
  <c r="G1152" i="20" s="1"/>
  <c r="M77" i="27"/>
  <c r="C57" i="20"/>
  <c r="F57" i="20" s="1"/>
  <c r="M4" i="27"/>
  <c r="C1583" i="20"/>
  <c r="D1583" i="20" s="1"/>
  <c r="E106" i="27"/>
  <c r="C616" i="20"/>
  <c r="J616" i="20" s="1"/>
  <c r="U41" i="27"/>
  <c r="C744" i="20"/>
  <c r="F744" i="20" s="1"/>
  <c r="G50" i="27"/>
  <c r="M313" i="20"/>
  <c r="G313" i="20"/>
  <c r="E313" i="20"/>
  <c r="C1703" i="20"/>
  <c r="E114" i="27"/>
  <c r="C1019" i="20"/>
  <c r="M1019" i="20" s="1"/>
  <c r="Q68" i="27"/>
  <c r="C684" i="20"/>
  <c r="D684" i="20" s="1"/>
  <c r="G46" i="27"/>
  <c r="C795" i="20"/>
  <c r="J795" i="20" s="1"/>
  <c r="S53" i="27"/>
  <c r="C72" i="20"/>
  <c r="N72" i="20" s="1"/>
  <c r="M5" i="27"/>
  <c r="C56" i="20"/>
  <c r="K56" i="20" s="1"/>
  <c r="K4" i="27"/>
  <c r="C294" i="20"/>
  <c r="O294" i="20" s="1"/>
  <c r="G20" i="27"/>
  <c r="C1588" i="20"/>
  <c r="L1588" i="20" s="1"/>
  <c r="O106" i="27"/>
  <c r="C586" i="20"/>
  <c r="J586" i="20" s="1"/>
  <c r="U39" i="27"/>
  <c r="C1342" i="20"/>
  <c r="L1342" i="20" s="1"/>
  <c r="C90" i="27"/>
  <c r="C447" i="20"/>
  <c r="E447" i="20" s="1"/>
  <c r="M30" i="27"/>
  <c r="C847" i="20"/>
  <c r="D847" i="20" s="1"/>
  <c r="C57" i="27"/>
  <c r="C879" i="20"/>
  <c r="I879" i="20" s="1"/>
  <c r="G59" i="27"/>
  <c r="C1093" i="20"/>
  <c r="M1093" i="20" s="1"/>
  <c r="O73" i="27"/>
  <c r="C1244" i="20"/>
  <c r="H1244" i="20" s="1"/>
  <c r="Q83" i="27"/>
  <c r="C554" i="20"/>
  <c r="N554" i="20" s="1"/>
  <c r="Q37" i="27"/>
  <c r="C686" i="20"/>
  <c r="J686" i="20" s="1"/>
  <c r="K46" i="27"/>
  <c r="C105" i="20"/>
  <c r="L105" i="20" s="1"/>
  <c r="S7" i="27"/>
  <c r="C1200" i="20"/>
  <c r="E1200" i="20" s="1"/>
  <c r="S80" i="27"/>
  <c r="C73" i="20"/>
  <c r="E73" i="20" s="1"/>
  <c r="O5" i="27"/>
  <c r="C293" i="20"/>
  <c r="M293" i="20" s="1"/>
  <c r="E20" i="27"/>
  <c r="L1276" i="20"/>
  <c r="C1584" i="20"/>
  <c r="J1584" i="20" s="1"/>
  <c r="G106" i="27"/>
  <c r="C1586" i="20"/>
  <c r="M1586" i="20" s="1"/>
  <c r="K106" i="27"/>
  <c r="C1042" i="20"/>
  <c r="L1042" i="20" s="1"/>
  <c r="C70" i="27"/>
  <c r="C1614" i="20"/>
  <c r="J1614" i="20" s="1"/>
  <c r="G108" i="27"/>
  <c r="C374" i="20"/>
  <c r="O374" i="20" s="1"/>
  <c r="Q25" i="27"/>
  <c r="C91" i="20"/>
  <c r="F91" i="20" s="1"/>
  <c r="U6" i="27"/>
  <c r="C86" i="20"/>
  <c r="F86" i="20" s="1"/>
  <c r="K6" i="27"/>
  <c r="C1227" i="20"/>
  <c r="H1227" i="20" s="1"/>
  <c r="M82" i="27"/>
  <c r="C1674" i="20"/>
  <c r="G112" i="27"/>
  <c r="C375" i="20"/>
  <c r="H375" i="20" s="1"/>
  <c r="S25" i="27"/>
  <c r="C1065" i="20"/>
  <c r="M1065" i="20" s="1"/>
  <c r="S71" i="27"/>
  <c r="C1095" i="20"/>
  <c r="O1095" i="20" s="1"/>
  <c r="S73" i="27"/>
  <c r="C688" i="20"/>
  <c r="O688" i="20" s="1"/>
  <c r="O46" i="27"/>
  <c r="C1154" i="20"/>
  <c r="M1154" i="20" s="1"/>
  <c r="Q77" i="27"/>
  <c r="C298" i="20"/>
  <c r="H298" i="20" s="1"/>
  <c r="O20" i="27"/>
  <c r="C1542" i="20"/>
  <c r="F1542" i="20" s="1"/>
  <c r="M103" i="27"/>
  <c r="C358" i="20"/>
  <c r="K358" i="20" s="1"/>
  <c r="O24" i="27"/>
  <c r="C1456" i="20"/>
  <c r="O1456" i="20" s="1"/>
  <c r="U97" i="27"/>
  <c r="C822" i="20"/>
  <c r="O822" i="20" s="1"/>
  <c r="M55" i="27"/>
  <c r="C702" i="20"/>
  <c r="D702" i="20" s="1"/>
  <c r="M47" i="27"/>
  <c r="C1601" i="20"/>
  <c r="D1601" i="20" s="1"/>
  <c r="K107" i="27"/>
  <c r="C1724" i="20"/>
  <c r="I1724" i="20" s="1"/>
  <c r="Q115" i="27"/>
  <c r="C1109" i="20"/>
  <c r="H1109" i="20" s="1"/>
  <c r="Q74" i="27"/>
  <c r="C1628" i="20"/>
  <c r="M1628" i="20" s="1"/>
  <c r="E109" i="27"/>
  <c r="C522" i="20"/>
  <c r="O522" i="20" s="1"/>
  <c r="M35" i="27"/>
  <c r="C354" i="20"/>
  <c r="O354" i="20" s="1"/>
  <c r="G24" i="27"/>
  <c r="C1644" i="20"/>
  <c r="J1644" i="20" s="1"/>
  <c r="G110" i="27"/>
  <c r="C254" i="20"/>
  <c r="N254" i="20" s="1"/>
  <c r="Q17" i="27"/>
  <c r="C689" i="20"/>
  <c r="J689" i="20" s="1"/>
  <c r="Q46" i="27"/>
  <c r="C383" i="20"/>
  <c r="E26" i="27"/>
  <c r="C428" i="20"/>
  <c r="E29" i="27"/>
  <c r="C638" i="20"/>
  <c r="E43" i="27"/>
  <c r="C746" i="20"/>
  <c r="K50" i="27"/>
  <c r="C646" i="20"/>
  <c r="L646" i="20" s="1"/>
  <c r="U43" i="27"/>
  <c r="C278" i="20"/>
  <c r="E19" i="27"/>
  <c r="C178" i="20"/>
  <c r="O12" i="27"/>
  <c r="C1349" i="20"/>
  <c r="Q90" i="27"/>
  <c r="C536" i="20"/>
  <c r="K36" i="27"/>
  <c r="C659" i="20"/>
  <c r="Q44" i="27"/>
  <c r="C1103" i="20"/>
  <c r="E74" i="27"/>
  <c r="C1078" i="20"/>
  <c r="O72" i="27"/>
  <c r="C417" i="20"/>
  <c r="M28" i="27"/>
  <c r="C886" i="20"/>
  <c r="U59" i="27"/>
  <c r="C821" i="20"/>
  <c r="K55" i="27"/>
  <c r="C878" i="20"/>
  <c r="D878" i="20" s="1"/>
  <c r="E59" i="27"/>
  <c r="C101" i="20"/>
  <c r="E101" i="20" s="1"/>
  <c r="K7" i="27"/>
  <c r="C1452" i="20"/>
  <c r="M97" i="27"/>
  <c r="C1032" i="20"/>
  <c r="M69" i="27"/>
  <c r="C809" i="20"/>
  <c r="Q54" i="27"/>
  <c r="C943" i="20"/>
  <c r="O63" i="27"/>
  <c r="C942" i="20"/>
  <c r="M63" i="27"/>
  <c r="C433" i="20"/>
  <c r="O29" i="27"/>
  <c r="C658" i="20"/>
  <c r="O44" i="27"/>
  <c r="C1318" i="20"/>
  <c r="O88" i="27"/>
  <c r="C1523" i="20"/>
  <c r="E102" i="27"/>
  <c r="C1321" i="20"/>
  <c r="L1321" i="20" s="1"/>
  <c r="U88" i="27"/>
  <c r="C928" i="20"/>
  <c r="N928" i="20" s="1"/>
  <c r="O62" i="27"/>
  <c r="C1061" i="20"/>
  <c r="N1061" i="20" s="1"/>
  <c r="K71" i="27"/>
  <c r="C431" i="20"/>
  <c r="F431" i="20" s="1"/>
  <c r="K29" i="27"/>
  <c r="C1328" i="20"/>
  <c r="H1328" i="20" s="1"/>
  <c r="E89" i="27"/>
  <c r="C991" i="20"/>
  <c r="L991" i="20" s="1"/>
  <c r="U66" i="27"/>
  <c r="C266" i="20"/>
  <c r="M266" i="20" s="1"/>
  <c r="K18" i="27"/>
  <c r="C344" i="20"/>
  <c r="H344" i="20" s="1"/>
  <c r="Q23" i="27"/>
  <c r="C909" i="20"/>
  <c r="D909" i="20" s="1"/>
  <c r="G61" i="27"/>
  <c r="C523" i="20"/>
  <c r="K523" i="20" s="1"/>
  <c r="O35" i="27"/>
  <c r="C803" i="20"/>
  <c r="K803" i="20" s="1"/>
  <c r="E54" i="27"/>
  <c r="C1696" i="20"/>
  <c r="N1696" i="20" s="1"/>
  <c r="U113" i="27"/>
  <c r="C967" i="20"/>
  <c r="L967" i="20" s="1"/>
  <c r="C65" i="27"/>
  <c r="C324" i="20"/>
  <c r="G22" i="27"/>
  <c r="C136" i="20"/>
  <c r="U9" i="27"/>
  <c r="C1531" i="20"/>
  <c r="H1531" i="20" s="1"/>
  <c r="U102" i="27"/>
  <c r="C912" i="20"/>
  <c r="F912" i="20" s="1"/>
  <c r="M61" i="27"/>
  <c r="C241" i="20"/>
  <c r="J241" i="20" s="1"/>
  <c r="U16" i="27"/>
  <c r="C526" i="20"/>
  <c r="K526" i="20" s="1"/>
  <c r="U35" i="27"/>
  <c r="C1707" i="20"/>
  <c r="I1707" i="20" s="1"/>
  <c r="M114" i="27"/>
  <c r="C1616" i="20"/>
  <c r="O1616" i="20" s="1"/>
  <c r="K108" i="27"/>
  <c r="C376" i="20"/>
  <c r="N376" i="20" s="1"/>
  <c r="U25" i="27"/>
  <c r="C974" i="20"/>
  <c r="K974" i="20" s="1"/>
  <c r="Q65" i="27"/>
  <c r="C701" i="20"/>
  <c r="H701" i="20" s="1"/>
  <c r="K47" i="27"/>
  <c r="C1604" i="20"/>
  <c r="L1604" i="20" s="1"/>
  <c r="Q107" i="27"/>
  <c r="C1002" i="20"/>
  <c r="E1002" i="20" s="1"/>
  <c r="M67" i="27"/>
  <c r="C1199" i="20"/>
  <c r="H1199" i="20" s="1"/>
  <c r="Q80" i="27"/>
  <c r="C699" i="20"/>
  <c r="I699" i="20" s="1"/>
  <c r="G47" i="27"/>
  <c r="C1543" i="20"/>
  <c r="J1543" i="20" s="1"/>
  <c r="O103" i="27"/>
  <c r="C986" i="20"/>
  <c r="O986" i="20" s="1"/>
  <c r="K66" i="27"/>
  <c r="C282" i="20"/>
  <c r="D282" i="20" s="1"/>
  <c r="M19" i="27"/>
  <c r="C128" i="20"/>
  <c r="D128" i="20" s="1"/>
  <c r="E9" i="27"/>
  <c r="C1618" i="20"/>
  <c r="K1618" i="20" s="1"/>
  <c r="O108" i="27"/>
  <c r="C98" i="20"/>
  <c r="F98" i="20" s="1"/>
  <c r="E7" i="27"/>
  <c r="C159" i="20"/>
  <c r="F159" i="20" s="1"/>
  <c r="G11" i="27"/>
  <c r="C158" i="20"/>
  <c r="G158" i="20" s="1"/>
  <c r="E11" i="27"/>
  <c r="C1663" i="20"/>
  <c r="G1663" i="20" s="1"/>
  <c r="O111" i="27"/>
  <c r="C804" i="20"/>
  <c r="H804" i="20" s="1"/>
  <c r="G54" i="27"/>
  <c r="C322" i="20"/>
  <c r="J322" i="20" s="1"/>
  <c r="C22" i="27"/>
  <c r="C851" i="20"/>
  <c r="H851" i="20" s="1"/>
  <c r="K57" i="27"/>
  <c r="C180" i="20"/>
  <c r="N180" i="20" s="1"/>
  <c r="S12" i="27"/>
  <c r="C596" i="20"/>
  <c r="K596" i="20" s="1"/>
  <c r="K40" i="27"/>
  <c r="C1136" i="20"/>
  <c r="I1136" i="20" s="1"/>
  <c r="K76" i="27"/>
  <c r="E717" i="20"/>
  <c r="C1261" i="20"/>
  <c r="L1261" i="20" s="1"/>
  <c r="U84" i="27"/>
  <c r="C1587" i="20"/>
  <c r="L1587" i="20" s="1"/>
  <c r="M106" i="27"/>
  <c r="C1546" i="20"/>
  <c r="E1546" i="20" s="1"/>
  <c r="U103" i="27"/>
  <c r="C1513" i="20"/>
  <c r="E1513" i="20" s="1"/>
  <c r="O101" i="27"/>
  <c r="C346" i="20"/>
  <c r="F346" i="20" s="1"/>
  <c r="U23" i="27"/>
  <c r="C854" i="20"/>
  <c r="H854" i="20" s="1"/>
  <c r="Q57" i="27"/>
  <c r="C432" i="20"/>
  <c r="E432" i="20" s="1"/>
  <c r="M29" i="27"/>
  <c r="C661" i="20"/>
  <c r="J661" i="20" s="1"/>
  <c r="U44" i="27"/>
  <c r="C761" i="20"/>
  <c r="I761" i="20" s="1"/>
  <c r="K51" i="27"/>
  <c r="C1439" i="20"/>
  <c r="L1439" i="20" s="1"/>
  <c r="Q96" i="27"/>
  <c r="C233" i="20"/>
  <c r="O233" i="20" s="1"/>
  <c r="E16" i="27"/>
  <c r="C352" i="20"/>
  <c r="L352" i="20" s="1"/>
  <c r="C24" i="27"/>
  <c r="C1048" i="20"/>
  <c r="H1048" i="20" s="1"/>
  <c r="O70" i="27"/>
  <c r="C207" i="20"/>
  <c r="D207" i="20" s="1"/>
  <c r="M14" i="27"/>
  <c r="C1347" i="20"/>
  <c r="M1347" i="20" s="1"/>
  <c r="M90" i="27"/>
  <c r="C1648" i="20"/>
  <c r="I1648" i="20" s="1"/>
  <c r="O110" i="27"/>
  <c r="C653" i="20"/>
  <c r="G653" i="20" s="1"/>
  <c r="E44" i="27"/>
  <c r="I717" i="20"/>
  <c r="C1591" i="20"/>
  <c r="J1591" i="20" s="1"/>
  <c r="U106" i="27"/>
  <c r="G1212" i="20"/>
  <c r="C1314" i="20"/>
  <c r="N1314" i="20" s="1"/>
  <c r="G88" i="27"/>
  <c r="C1598" i="20"/>
  <c r="J1598" i="20" s="1"/>
  <c r="E107" i="27"/>
  <c r="C1043" i="20"/>
  <c r="L1043" i="20" s="1"/>
  <c r="E70" i="27"/>
  <c r="C641" i="20"/>
  <c r="L641" i="20" s="1"/>
  <c r="K43" i="27"/>
  <c r="C1723" i="20"/>
  <c r="L1723" i="20" s="1"/>
  <c r="O115" i="27"/>
  <c r="C1364" i="20"/>
  <c r="G1364" i="20" s="1"/>
  <c r="Q91" i="27"/>
  <c r="C1378" i="20"/>
  <c r="G1378" i="20" s="1"/>
  <c r="O92" i="27"/>
  <c r="C388" i="20"/>
  <c r="M388" i="20" s="1"/>
  <c r="O26" i="27"/>
  <c r="C911" i="20"/>
  <c r="H911" i="20" s="1"/>
  <c r="K61" i="27"/>
  <c r="C924" i="20"/>
  <c r="M924" i="20" s="1"/>
  <c r="G62" i="27"/>
  <c r="C361" i="20"/>
  <c r="U24" i="27"/>
  <c r="C434" i="20"/>
  <c r="Q29" i="27"/>
  <c r="C87" i="20"/>
  <c r="M6" i="27"/>
  <c r="C314" i="20"/>
  <c r="Q21" i="27"/>
  <c r="C1226" i="20"/>
  <c r="K82" i="27"/>
  <c r="C898" i="20"/>
  <c r="O898" i="20" s="1"/>
  <c r="O60" i="27"/>
  <c r="C866" i="20"/>
  <c r="N866" i="20" s="1"/>
  <c r="K58" i="27"/>
  <c r="C492" i="20"/>
  <c r="K492" i="20" s="1"/>
  <c r="M33" i="27"/>
  <c r="C601" i="20"/>
  <c r="L601" i="20" s="1"/>
  <c r="U40" i="27"/>
  <c r="C1141" i="20"/>
  <c r="L1141" i="20" s="1"/>
  <c r="U76" i="27"/>
  <c r="C1665" i="20"/>
  <c r="N1665" i="20" s="1"/>
  <c r="S111" i="27"/>
  <c r="C1589" i="20"/>
  <c r="J1589" i="20" s="1"/>
  <c r="Q106" i="27"/>
  <c r="C1286" i="20"/>
  <c r="K86" i="27"/>
  <c r="C1081" i="20"/>
  <c r="L1081" i="20" s="1"/>
  <c r="U72" i="27"/>
  <c r="C789" i="20"/>
  <c r="I789" i="20" s="1"/>
  <c r="G53" i="27"/>
  <c r="C944" i="20"/>
  <c r="L944" i="20" s="1"/>
  <c r="Q63" i="27"/>
  <c r="C1333" i="20"/>
  <c r="O89" i="27"/>
  <c r="C1494" i="20"/>
  <c r="L1494" i="20" s="1"/>
  <c r="G100" i="27"/>
  <c r="C1066" i="20"/>
  <c r="U71" i="27"/>
  <c r="C749" i="20"/>
  <c r="G749" i="20" s="1"/>
  <c r="Q50" i="27"/>
  <c r="C1299" i="20"/>
  <c r="G87" i="27"/>
  <c r="C368" i="20"/>
  <c r="E25" i="27"/>
  <c r="C1704" i="20"/>
  <c r="G114" i="27"/>
  <c r="C1302" i="20"/>
  <c r="M87" i="27"/>
  <c r="C703" i="20"/>
  <c r="O47" i="27"/>
  <c r="C1691" i="20"/>
  <c r="K113" i="27"/>
  <c r="C1004" i="20"/>
  <c r="Q67" i="27"/>
  <c r="C884" i="20"/>
  <c r="Q59" i="27"/>
  <c r="C823" i="20"/>
  <c r="L823" i="20" s="1"/>
  <c r="O55" i="27"/>
  <c r="C883" i="20"/>
  <c r="O59" i="27"/>
  <c r="C757" i="20"/>
  <c r="N757" i="20" s="1"/>
  <c r="C51" i="27"/>
  <c r="C131" i="20"/>
  <c r="K9" i="27"/>
  <c r="C1198" i="20"/>
  <c r="O80" i="27"/>
  <c r="C224" i="20"/>
  <c r="Q15" i="27"/>
  <c r="C1231" i="20"/>
  <c r="U82" i="27"/>
  <c r="C811" i="20"/>
  <c r="U54" i="27"/>
  <c r="C1076" i="20"/>
  <c r="K72" i="27"/>
  <c r="C1049" i="20"/>
  <c r="Q70" i="27"/>
  <c r="C1599" i="20"/>
  <c r="G107" i="27"/>
  <c r="C704" i="20"/>
  <c r="Q47" i="27"/>
  <c r="C719" i="20"/>
  <c r="Q48" i="27"/>
  <c r="C326" i="20"/>
  <c r="K22" i="27"/>
  <c r="C1332" i="20"/>
  <c r="M89" i="27"/>
  <c r="C1451" i="20"/>
  <c r="K97" i="27"/>
  <c r="C848" i="20"/>
  <c r="E57" i="27"/>
  <c r="C356" i="20"/>
  <c r="K24" i="27"/>
  <c r="C1613" i="20"/>
  <c r="E108" i="27"/>
  <c r="C808" i="20"/>
  <c r="O54" i="27"/>
  <c r="C539" i="20"/>
  <c r="Q36" i="27"/>
  <c r="C1658" i="20"/>
  <c r="E111" i="27"/>
  <c r="C1676" i="20"/>
  <c r="G1676" i="20" s="1"/>
  <c r="K112" i="27"/>
  <c r="C968" i="20"/>
  <c r="E65" i="27"/>
  <c r="C1649" i="20"/>
  <c r="Q110" i="27"/>
  <c r="C1228" i="20"/>
  <c r="O82" i="27"/>
  <c r="C387" i="20"/>
  <c r="M26" i="27"/>
  <c r="C1662" i="20"/>
  <c r="M111" i="27"/>
  <c r="C1659" i="20"/>
  <c r="G111" i="27"/>
  <c r="C973" i="20"/>
  <c r="O65" i="27"/>
  <c r="C856" i="20"/>
  <c r="U57" i="27"/>
  <c r="C271" i="20"/>
  <c r="U18" i="27"/>
  <c r="C267" i="20"/>
  <c r="M18" i="27"/>
  <c r="C984" i="20"/>
  <c r="G66" i="27"/>
  <c r="C923" i="20"/>
  <c r="O923" i="20" s="1"/>
  <c r="E62" i="27"/>
  <c r="C1186" i="20"/>
  <c r="U79" i="27"/>
  <c r="C223" i="20"/>
  <c r="O15" i="27"/>
  <c r="C418" i="20"/>
  <c r="O28" i="27"/>
  <c r="C174" i="20"/>
  <c r="G12" i="27"/>
  <c r="C1362" i="20"/>
  <c r="M91" i="27"/>
  <c r="C248" i="20"/>
  <c r="E17" i="27"/>
  <c r="C1033" i="20"/>
  <c r="O69" i="27"/>
  <c r="C89" i="20"/>
  <c r="Q6" i="27"/>
  <c r="C331" i="20"/>
  <c r="U22" i="27"/>
  <c r="C328" i="20"/>
  <c r="O22" i="27"/>
  <c r="C1215" i="20"/>
  <c r="G1215" i="20" s="1"/>
  <c r="S81" i="27"/>
  <c r="C494" i="20"/>
  <c r="O494" i="20" s="1"/>
  <c r="Q33" i="27"/>
  <c r="C90" i="20"/>
  <c r="G90" i="20" s="1"/>
  <c r="S6" i="27"/>
  <c r="C68" i="20"/>
  <c r="M68" i="20" s="1"/>
  <c r="E5" i="27"/>
  <c r="C1108" i="20"/>
  <c r="O74" i="27"/>
  <c r="C1046" i="20"/>
  <c r="I1046" i="20" s="1"/>
  <c r="K70" i="27"/>
  <c r="C113" i="20"/>
  <c r="E8" i="27"/>
  <c r="C1179" i="20"/>
  <c r="G79" i="27"/>
  <c r="C763" i="20"/>
  <c r="O51" i="27"/>
  <c r="C639" i="20"/>
  <c r="G43" i="27"/>
  <c r="C1602" i="20"/>
  <c r="M107" i="27"/>
  <c r="C389" i="20"/>
  <c r="Q26" i="27"/>
  <c r="C1201" i="20"/>
  <c r="K1201" i="20" s="1"/>
  <c r="U80" i="27"/>
  <c r="C792" i="20"/>
  <c r="M53" i="27"/>
  <c r="C506" i="20"/>
  <c r="K34" i="27"/>
  <c r="C1058" i="20"/>
  <c r="J1058" i="20" s="1"/>
  <c r="E71" i="27"/>
  <c r="C748" i="20"/>
  <c r="O50" i="27"/>
  <c r="C1666" i="20"/>
  <c r="U111" i="27"/>
  <c r="C807" i="20"/>
  <c r="M54" i="27"/>
  <c r="C353" i="20"/>
  <c r="E24" i="27"/>
  <c r="C849" i="20"/>
  <c r="G57" i="27"/>
  <c r="C99" i="20"/>
  <c r="G7" i="27"/>
  <c r="C1492" i="20"/>
  <c r="H1492" i="20" s="1"/>
  <c r="C100" i="27"/>
  <c r="C743" i="20"/>
  <c r="I743" i="20" s="1"/>
  <c r="E50" i="27"/>
  <c r="C1718" i="20"/>
  <c r="F1718" i="20" s="1"/>
  <c r="E115" i="27"/>
  <c r="C1334" i="20"/>
  <c r="K1334" i="20" s="1"/>
  <c r="Q89" i="27"/>
  <c r="C983" i="20"/>
  <c r="E983" i="20" s="1"/>
  <c r="E66" i="27"/>
  <c r="C1182" i="20"/>
  <c r="L1182" i="20" s="1"/>
  <c r="M79" i="27"/>
  <c r="C222" i="20"/>
  <c r="K222" i="20" s="1"/>
  <c r="M15" i="27"/>
  <c r="C1036" i="20"/>
  <c r="F1036" i="20" s="1"/>
  <c r="U69" i="27"/>
  <c r="C1351" i="20"/>
  <c r="K1351" i="20" s="1"/>
  <c r="U90" i="27"/>
  <c r="C1434" i="20"/>
  <c r="L1434" i="20" s="1"/>
  <c r="G96" i="27"/>
  <c r="C166" i="20"/>
  <c r="L166" i="20" s="1"/>
  <c r="U11" i="27"/>
  <c r="C226" i="20"/>
  <c r="E226" i="20" s="1"/>
  <c r="U15" i="27"/>
  <c r="C323" i="20"/>
  <c r="O323" i="20" s="1"/>
  <c r="E22" i="27"/>
  <c r="C296" i="20"/>
  <c r="L296" i="20" s="1"/>
  <c r="K20" i="27"/>
  <c r="C1424" i="20"/>
  <c r="J1424" i="20" s="1"/>
  <c r="Q95" i="27"/>
  <c r="C1634" i="20"/>
  <c r="O1634" i="20" s="1"/>
  <c r="Q109" i="27"/>
  <c r="C1119" i="20"/>
  <c r="D1119" i="20" s="1"/>
  <c r="G75" i="27"/>
  <c r="C451" i="20"/>
  <c r="M451" i="20" s="1"/>
  <c r="U30" i="27"/>
  <c r="C1496" i="20"/>
  <c r="J1496" i="20" s="1"/>
  <c r="K100" i="27"/>
  <c r="C1329" i="20"/>
  <c r="D1329" i="20" s="1"/>
  <c r="G89" i="27"/>
  <c r="C419" i="20"/>
  <c r="N419" i="20" s="1"/>
  <c r="Q28" i="27"/>
  <c r="C264" i="20"/>
  <c r="N264" i="20" s="1"/>
  <c r="G18" i="27"/>
  <c r="C1088" i="20"/>
  <c r="M1088" i="20" s="1"/>
  <c r="E73" i="27"/>
  <c r="C787" i="20"/>
  <c r="G787" i="20" s="1"/>
  <c r="C53" i="27"/>
  <c r="C116" i="20"/>
  <c r="N116" i="20" s="1"/>
  <c r="K8" i="27"/>
  <c r="C1621" i="20"/>
  <c r="D1621" i="20" s="1"/>
  <c r="U108" i="27"/>
  <c r="C1317" i="20"/>
  <c r="F1317" i="20" s="1"/>
  <c r="M88" i="27"/>
  <c r="C1073" i="20"/>
  <c r="K1073" i="20" s="1"/>
  <c r="E72" i="27"/>
  <c r="C1673" i="20"/>
  <c r="G1673" i="20" s="1"/>
  <c r="E112" i="27"/>
  <c r="C969" i="20"/>
  <c r="I969" i="20" s="1"/>
  <c r="G65" i="27"/>
  <c r="C1642" i="20"/>
  <c r="O1642" i="20" s="1"/>
  <c r="C110" i="27"/>
  <c r="C163" i="20"/>
  <c r="O11" i="27"/>
  <c r="C161" i="20"/>
  <c r="K11" i="27"/>
  <c r="C656" i="20"/>
  <c r="M656" i="20" s="1"/>
  <c r="K44" i="27"/>
  <c r="C764" i="20"/>
  <c r="K764" i="20" s="1"/>
  <c r="Q51" i="27"/>
  <c r="C1441" i="20"/>
  <c r="L1441" i="20" s="1"/>
  <c r="U96" i="27"/>
  <c r="C819" i="20"/>
  <c r="G819" i="20" s="1"/>
  <c r="G55" i="27"/>
  <c r="C1064" i="20"/>
  <c r="K1064" i="20" s="1"/>
  <c r="Q71" i="27"/>
  <c r="C1106" i="20"/>
  <c r="L1106" i="20" s="1"/>
  <c r="K74" i="27"/>
  <c r="C508" i="20"/>
  <c r="M508" i="20" s="1"/>
  <c r="O34" i="27"/>
  <c r="C1522" i="20"/>
  <c r="E1522" i="20" s="1"/>
  <c r="C102" i="27"/>
  <c r="C1708" i="20"/>
  <c r="O1708" i="20" s="1"/>
  <c r="O114" i="27"/>
  <c r="C1027" i="20"/>
  <c r="D1027" i="20" s="1"/>
  <c r="C69" i="27"/>
  <c r="C1661" i="20"/>
  <c r="L1661" i="20" s="1"/>
  <c r="K111" i="27"/>
  <c r="C307" i="20"/>
  <c r="J307" i="20" s="1"/>
  <c r="C21" i="27"/>
  <c r="C852" i="20"/>
  <c r="N852" i="20" s="1"/>
  <c r="M57" i="27"/>
  <c r="C1348" i="20"/>
  <c r="G1348" i="20" s="1"/>
  <c r="O90" i="27"/>
  <c r="C1094" i="20"/>
  <c r="E1094" i="20" s="1"/>
  <c r="Q73" i="27"/>
  <c r="C853" i="20"/>
  <c r="G853" i="20" s="1"/>
  <c r="O57" i="27"/>
  <c r="C1448" i="20"/>
  <c r="M1448" i="20" s="1"/>
  <c r="E97" i="27"/>
  <c r="C1184" i="20"/>
  <c r="J1184" i="20" s="1"/>
  <c r="Q79" i="27"/>
  <c r="C1183" i="20"/>
  <c r="G1183" i="20" s="1"/>
  <c r="O79" i="27"/>
  <c r="C751" i="20"/>
  <c r="E751" i="20" s="1"/>
  <c r="U50" i="27"/>
  <c r="C1721" i="20"/>
  <c r="J1721" i="20" s="1"/>
  <c r="K115" i="27"/>
  <c r="C157" i="20"/>
  <c r="F157" i="20" s="1"/>
  <c r="C11" i="27"/>
  <c r="C519" i="20"/>
  <c r="I519" i="20" s="1"/>
  <c r="G35" i="27"/>
  <c r="C1344" i="20"/>
  <c r="J1344" i="20" s="1"/>
  <c r="G90" i="27"/>
  <c r="C534" i="20"/>
  <c r="G534" i="20" s="1"/>
  <c r="G36" i="27"/>
  <c r="C435" i="20"/>
  <c r="G435" i="20" s="1"/>
  <c r="S29" i="27"/>
  <c r="C1681" i="20"/>
  <c r="O1681" i="20" s="1"/>
  <c r="U112" i="27"/>
  <c r="C538" i="20"/>
  <c r="J538" i="20" s="1"/>
  <c r="O36" i="27"/>
  <c r="C1679" i="20"/>
  <c r="Q112" i="27"/>
  <c r="C987" i="20"/>
  <c r="L987" i="20" s="1"/>
  <c r="M66" i="27"/>
  <c r="C818" i="20"/>
  <c r="M818" i="20" s="1"/>
  <c r="E55" i="27"/>
  <c r="C1361" i="20"/>
  <c r="E1361" i="20" s="1"/>
  <c r="K91" i="27"/>
  <c r="C177" i="20"/>
  <c r="I177" i="20" s="1"/>
  <c r="M12" i="27"/>
  <c r="C172" i="20"/>
  <c r="G172" i="20" s="1"/>
  <c r="C12" i="27"/>
  <c r="C1719" i="20"/>
  <c r="F1719" i="20" s="1"/>
  <c r="G115" i="27"/>
  <c r="C263" i="20"/>
  <c r="H263" i="20" s="1"/>
  <c r="E18" i="27"/>
  <c r="C209" i="20"/>
  <c r="G209" i="20" s="1"/>
  <c r="Q14" i="27"/>
  <c r="C1706" i="20"/>
  <c r="O1706" i="20" s="1"/>
  <c r="K114" i="27"/>
  <c r="C941" i="20"/>
  <c r="L941" i="20" s="1"/>
  <c r="K63" i="27"/>
  <c r="C1694" i="20"/>
  <c r="F1694" i="20" s="1"/>
  <c r="Q113" i="27"/>
  <c r="C88" i="20"/>
  <c r="J88" i="20" s="1"/>
  <c r="O6" i="27"/>
  <c r="C1678" i="20"/>
  <c r="D1678" i="20" s="1"/>
  <c r="O112" i="27"/>
  <c r="C1003" i="20"/>
  <c r="N1003" i="20" s="1"/>
  <c r="O67" i="27"/>
  <c r="C1619" i="20"/>
  <c r="O1619" i="20" s="1"/>
  <c r="Q108" i="27"/>
  <c r="C720" i="20"/>
  <c r="N720" i="20" s="1"/>
  <c r="S48" i="27"/>
  <c r="C427" i="20"/>
  <c r="M427" i="20" s="1"/>
  <c r="C29" i="27"/>
  <c r="C759" i="20"/>
  <c r="I759" i="20" s="1"/>
  <c r="G51" i="27"/>
  <c r="C1374" i="20"/>
  <c r="M1374" i="20" s="1"/>
  <c r="G92" i="27"/>
  <c r="C1096" i="20"/>
  <c r="N1096" i="20" s="1"/>
  <c r="U73" i="27"/>
  <c r="C1312" i="20"/>
  <c r="M1312" i="20" s="1"/>
  <c r="C88" i="27"/>
  <c r="C976" i="20"/>
  <c r="F976" i="20" s="1"/>
  <c r="U65" i="27"/>
  <c r="C644" i="20"/>
  <c r="G644" i="20" s="1"/>
  <c r="Q43" i="27"/>
  <c r="C218" i="20"/>
  <c r="E15" i="27"/>
  <c r="C181" i="20"/>
  <c r="U12" i="27"/>
  <c r="C83" i="20"/>
  <c r="E6" i="27"/>
  <c r="C76" i="20"/>
  <c r="K76" i="20" s="1"/>
  <c r="U5" i="27"/>
  <c r="C959" i="20"/>
  <c r="D959" i="20" s="1"/>
  <c r="Q64" i="27"/>
  <c r="C1153" i="20"/>
  <c r="O1153" i="20" s="1"/>
  <c r="O77" i="27"/>
  <c r="C59" i="20"/>
  <c r="E59" i="20" s="1"/>
  <c r="Q4" i="27"/>
  <c r="C608" i="20"/>
  <c r="E608" i="20" s="1"/>
  <c r="E41" i="27"/>
  <c r="C578" i="20"/>
  <c r="J578" i="20" s="1"/>
  <c r="E39" i="27"/>
  <c r="C503" i="20"/>
  <c r="M503" i="20" s="1"/>
  <c r="E34" i="27"/>
  <c r="C1509" i="20"/>
  <c r="F1509" i="20" s="1"/>
  <c r="G101" i="27"/>
  <c r="C1181" i="20"/>
  <c r="K79" i="27"/>
  <c r="C826" i="20"/>
  <c r="U55" i="27"/>
  <c r="C1376" i="20"/>
  <c r="K92" i="27"/>
  <c r="C657" i="20"/>
  <c r="M44" i="27"/>
  <c r="C1104" i="20"/>
  <c r="G74" i="27"/>
  <c r="C341" i="20"/>
  <c r="K23" i="27"/>
  <c r="C338" i="20"/>
  <c r="E23" i="27"/>
  <c r="C794" i="20"/>
  <c r="Q53" i="27"/>
  <c r="C253" i="20"/>
  <c r="O17" i="27"/>
  <c r="C541" i="20"/>
  <c r="U36" i="27"/>
  <c r="C972" i="20"/>
  <c r="M65" i="27"/>
  <c r="C706" i="20"/>
  <c r="U47" i="27"/>
  <c r="C436" i="20"/>
  <c r="U29" i="27"/>
  <c r="C788" i="20"/>
  <c r="H788" i="20" s="1"/>
  <c r="E53" i="27"/>
  <c r="C971" i="20"/>
  <c r="K65" i="27"/>
  <c r="C1449" i="20"/>
  <c r="G97" i="27"/>
  <c r="C369" i="20"/>
  <c r="G25" i="27"/>
  <c r="C1074" i="20"/>
  <c r="G72" i="27"/>
  <c r="C164" i="20"/>
  <c r="Q11" i="27"/>
  <c r="C221" i="20"/>
  <c r="K15" i="27"/>
  <c r="C316" i="20"/>
  <c r="U21" i="27"/>
  <c r="C654" i="20"/>
  <c r="G44" i="27"/>
  <c r="H99" i="16"/>
  <c r="I99" i="16" s="1"/>
  <c r="C92" i="19" s="1"/>
  <c r="H124" i="16"/>
  <c r="I124" i="16" s="1"/>
  <c r="C117" i="19" s="1"/>
  <c r="H121" i="16"/>
  <c r="I121" i="16" s="1"/>
  <c r="C114" i="19" s="1"/>
  <c r="H46" i="16"/>
  <c r="I46" i="16" s="1"/>
  <c r="C39" i="19" s="1"/>
  <c r="C12" i="19"/>
  <c r="H77" i="16"/>
  <c r="I77" i="16" s="1"/>
  <c r="H47" i="16"/>
  <c r="I47" i="16" s="1"/>
  <c r="C40" i="19" s="1"/>
  <c r="H122" i="16"/>
  <c r="I122" i="16" s="1"/>
  <c r="H48" i="16"/>
  <c r="I48" i="16" s="1"/>
  <c r="C41" i="19" s="1"/>
  <c r="H71" i="16"/>
  <c r="I71" i="16" s="1"/>
  <c r="H50" i="16"/>
  <c r="I50" i="16" s="1"/>
  <c r="C43" i="19" s="1"/>
  <c r="C11" i="19"/>
  <c r="H98" i="16"/>
  <c r="I98" i="16" s="1"/>
  <c r="H110" i="16"/>
  <c r="I110" i="16" s="1"/>
  <c r="H119" i="16"/>
  <c r="I119" i="16" s="1"/>
  <c r="C112" i="19" s="1"/>
  <c r="H120" i="16"/>
  <c r="I120" i="16" s="1"/>
  <c r="C113" i="19" s="1"/>
  <c r="H62" i="16"/>
  <c r="I62" i="16" s="1"/>
  <c r="C21" i="19"/>
  <c r="O114" i="16"/>
  <c r="H108" i="16"/>
  <c r="I108" i="16" s="1"/>
  <c r="H69" i="16"/>
  <c r="I69" i="16" s="1"/>
  <c r="H91" i="16"/>
  <c r="I91" i="16" s="1"/>
  <c r="C84" i="19" s="1"/>
  <c r="H34" i="16"/>
  <c r="I34" i="16" s="1"/>
  <c r="S22" i="27" s="1"/>
  <c r="C17" i="19"/>
  <c r="H127" i="16"/>
  <c r="I127" i="16" s="1"/>
  <c r="H100" i="16"/>
  <c r="I100" i="16" s="1"/>
  <c r="H112" i="16"/>
  <c r="I112" i="16" s="1"/>
  <c r="C105" i="19" s="1"/>
  <c r="H55" i="16"/>
  <c r="I55" i="16" s="1"/>
  <c r="C58" i="19"/>
  <c r="C1432" i="20"/>
  <c r="I1432" i="20" s="1"/>
  <c r="C100" i="19"/>
  <c r="H40" i="16"/>
  <c r="I40" i="16" s="1"/>
  <c r="H104" i="16"/>
  <c r="I104" i="16" s="1"/>
  <c r="C52" i="19"/>
  <c r="H67" i="16"/>
  <c r="I67" i="16" s="1"/>
  <c r="C80" i="19"/>
  <c r="H27" i="16"/>
  <c r="I27" i="16" s="1"/>
  <c r="H56" i="16"/>
  <c r="I56" i="16" s="1"/>
  <c r="C59" i="19"/>
  <c r="P1319" i="20"/>
  <c r="P1651" i="20"/>
  <c r="H74" i="16"/>
  <c r="I74" i="16" s="1"/>
  <c r="S62" i="27" s="1"/>
  <c r="P1469" i="20"/>
  <c r="C87" i="19"/>
  <c r="C116" i="19"/>
  <c r="C106" i="19"/>
  <c r="P1381" i="20"/>
  <c r="C85" i="19"/>
  <c r="G128" i="16"/>
  <c r="C1567" i="20"/>
  <c r="O1569" i="20"/>
  <c r="O502" i="20"/>
  <c r="N502" i="20"/>
  <c r="M502" i="20"/>
  <c r="L502" i="20"/>
  <c r="K502" i="20"/>
  <c r="J502" i="20"/>
  <c r="I502" i="20"/>
  <c r="H502" i="20"/>
  <c r="G502" i="20"/>
  <c r="F502" i="20"/>
  <c r="E502" i="20"/>
  <c r="D502" i="20"/>
  <c r="N802" i="20"/>
  <c r="L802" i="20"/>
  <c r="D802" i="20"/>
  <c r="O57" i="16"/>
  <c r="H57" i="16"/>
  <c r="I57" i="16" s="1"/>
  <c r="C50" i="19" s="1"/>
  <c r="O68" i="16"/>
  <c r="H68" i="16"/>
  <c r="I68" i="16" s="1"/>
  <c r="C83" i="19"/>
  <c r="O1425" i="20"/>
  <c r="O45" i="16"/>
  <c r="H45" i="16"/>
  <c r="I45" i="16" s="1"/>
  <c r="G128" i="10"/>
  <c r="C96" i="19"/>
  <c r="J817" i="20"/>
  <c r="I817" i="20"/>
  <c r="H817" i="20"/>
  <c r="G817" i="20"/>
  <c r="F817" i="20"/>
  <c r="E817" i="20"/>
  <c r="D817" i="20"/>
  <c r="O817" i="20"/>
  <c r="N817" i="20"/>
  <c r="M817" i="20"/>
  <c r="L817" i="20"/>
  <c r="K817" i="20"/>
  <c r="H780" i="20"/>
  <c r="E1392" i="20"/>
  <c r="O1392" i="20"/>
  <c r="M1162" i="20"/>
  <c r="O1162" i="20"/>
  <c r="H1372" i="20"/>
  <c r="N1372" i="20"/>
  <c r="K1372" i="20"/>
  <c r="G1372" i="20"/>
  <c r="D1372" i="20"/>
  <c r="O1372" i="20"/>
  <c r="M1372" i="20"/>
  <c r="L1372" i="20"/>
  <c r="J1372" i="20"/>
  <c r="I1372" i="20"/>
  <c r="F1372" i="20"/>
  <c r="E1372" i="20"/>
  <c r="E1627" i="20"/>
  <c r="M1627" i="20"/>
  <c r="K1627" i="20"/>
  <c r="J1627" i="20"/>
  <c r="G1627" i="20"/>
  <c r="O1627" i="20"/>
  <c r="H1627" i="20"/>
  <c r="I1627" i="20"/>
  <c r="F1627" i="20"/>
  <c r="D1627" i="20"/>
  <c r="N1627" i="20"/>
  <c r="L1627" i="20"/>
  <c r="C292" i="20"/>
  <c r="H1409" i="20"/>
  <c r="C547" i="20"/>
  <c r="J97" i="20"/>
  <c r="G97" i="20"/>
  <c r="O111" i="16"/>
  <c r="H111" i="16"/>
  <c r="I111" i="16" s="1"/>
  <c r="C104" i="19" s="1"/>
  <c r="O1573" i="20"/>
  <c r="J1507" i="20"/>
  <c r="G1507" i="20"/>
  <c r="D1507" i="20"/>
  <c r="K1507" i="20"/>
  <c r="I1507" i="20"/>
  <c r="E1507" i="20"/>
  <c r="N1507" i="20"/>
  <c r="M1507" i="20"/>
  <c r="O1507" i="20"/>
  <c r="L1507" i="20"/>
  <c r="H1507" i="20"/>
  <c r="F1507" i="20"/>
  <c r="I1207" i="20"/>
  <c r="H1207" i="20"/>
  <c r="E1207" i="20"/>
  <c r="D1207" i="20"/>
  <c r="N1207" i="20"/>
  <c r="M1207" i="20"/>
  <c r="L1207" i="20"/>
  <c r="O1207" i="20"/>
  <c r="K1207" i="20"/>
  <c r="J1207" i="20"/>
  <c r="G1207" i="20"/>
  <c r="F1207" i="20"/>
  <c r="H129" i="9"/>
  <c r="H15" i="9"/>
  <c r="E3" i="27"/>
  <c r="N712" i="20"/>
  <c r="M712" i="20"/>
  <c r="J712" i="20"/>
  <c r="I712" i="20"/>
  <c r="H712" i="20"/>
  <c r="G712" i="20"/>
  <c r="F712" i="20"/>
  <c r="D712" i="20"/>
  <c r="O712" i="20"/>
  <c r="L712" i="20"/>
  <c r="K712" i="20"/>
  <c r="E712" i="20"/>
  <c r="J127" i="20"/>
  <c r="I127" i="20"/>
  <c r="F127" i="20"/>
  <c r="E127" i="20"/>
  <c r="D127" i="20"/>
  <c r="O127" i="20"/>
  <c r="N127" i="20"/>
  <c r="M127" i="20"/>
  <c r="L127" i="20"/>
  <c r="K127" i="20"/>
  <c r="H127" i="20"/>
  <c r="G127" i="20"/>
  <c r="J1447" i="20"/>
  <c r="M412" i="20"/>
  <c r="J412" i="20"/>
  <c r="I412" i="20"/>
  <c r="H412" i="20"/>
  <c r="G412" i="20"/>
  <c r="L412" i="20"/>
  <c r="K412" i="20"/>
  <c r="E412" i="20"/>
  <c r="D412" i="20"/>
  <c r="O412" i="20"/>
  <c r="N412" i="20"/>
  <c r="C1012" i="20"/>
  <c r="J217" i="20"/>
  <c r="I217" i="20"/>
  <c r="H217" i="20"/>
  <c r="G217" i="20"/>
  <c r="F217" i="20"/>
  <c r="E217" i="20"/>
  <c r="D217" i="20"/>
  <c r="O217" i="20"/>
  <c r="N217" i="20"/>
  <c r="M217" i="20"/>
  <c r="L217" i="20"/>
  <c r="K217" i="20"/>
  <c r="C892" i="20"/>
  <c r="C119" i="19"/>
  <c r="H128" i="11"/>
  <c r="H14" i="11"/>
  <c r="I15" i="11"/>
  <c r="K3" i="27" s="1"/>
  <c r="O17" i="16"/>
  <c r="H17" i="16"/>
  <c r="I17" i="16" s="1"/>
  <c r="O1254" i="20"/>
  <c r="D1254" i="20"/>
  <c r="K1254" i="20"/>
  <c r="C107" i="19"/>
  <c r="H129" i="8"/>
  <c r="H15" i="8"/>
  <c r="I16" i="8"/>
  <c r="C3" i="27" s="1"/>
  <c r="H922" i="20"/>
  <c r="D922" i="20"/>
  <c r="O922" i="20"/>
  <c r="N922" i="20"/>
  <c r="J922" i="20"/>
  <c r="F922" i="20"/>
  <c r="E922" i="20"/>
  <c r="M922" i="20"/>
  <c r="L922" i="20"/>
  <c r="K922" i="20"/>
  <c r="I922" i="20"/>
  <c r="G922" i="20"/>
  <c r="I1486" i="20"/>
  <c r="M1486" i="20"/>
  <c r="G1486" i="20"/>
  <c r="K1572" i="20"/>
  <c r="J82" i="20"/>
  <c r="I82" i="20"/>
  <c r="F82" i="20"/>
  <c r="E82" i="20"/>
  <c r="D82" i="20"/>
  <c r="O82" i="20"/>
  <c r="L82" i="20"/>
  <c r="N82" i="20"/>
  <c r="M82" i="20"/>
  <c r="K82" i="20"/>
  <c r="H82" i="20"/>
  <c r="G82" i="20"/>
  <c r="G15" i="9"/>
  <c r="C472" i="20"/>
  <c r="C1552" i="20"/>
  <c r="C862" i="20"/>
  <c r="C78" i="19"/>
  <c r="I1702" i="20"/>
  <c r="E1702" i="20"/>
  <c r="O1702" i="20"/>
  <c r="N1702" i="20"/>
  <c r="M1702" i="20"/>
  <c r="H1702" i="20"/>
  <c r="D1702" i="20"/>
  <c r="J1702" i="20"/>
  <c r="G1702" i="20"/>
  <c r="C68" i="19"/>
  <c r="O52" i="16"/>
  <c r="H52" i="16"/>
  <c r="I52" i="16" s="1"/>
  <c r="G14" i="11"/>
  <c r="O16" i="16"/>
  <c r="H16" i="16"/>
  <c r="I16" i="16" s="1"/>
  <c r="E1717" i="20"/>
  <c r="M1717" i="20"/>
  <c r="K1717" i="20"/>
  <c r="J1717" i="20"/>
  <c r="O1717" i="20"/>
  <c r="H1717" i="20"/>
  <c r="F1717" i="20"/>
  <c r="D1717" i="20"/>
  <c r="N1717" i="20"/>
  <c r="G1717" i="20"/>
  <c r="L1717" i="20"/>
  <c r="I1717" i="20"/>
  <c r="C13" i="19"/>
  <c r="G15" i="8"/>
  <c r="C607" i="20"/>
  <c r="C577" i="20"/>
  <c r="G129" i="9"/>
  <c r="C667" i="20"/>
  <c r="O105" i="16"/>
  <c r="H105" i="16"/>
  <c r="I105" i="16" s="1"/>
  <c r="C98" i="19" s="1"/>
  <c r="H128" i="17"/>
  <c r="H14" i="17"/>
  <c r="I15" i="17"/>
  <c r="U3" i="27" s="1"/>
  <c r="H1035" i="20"/>
  <c r="C1237" i="20"/>
  <c r="O58" i="16"/>
  <c r="H58" i="16"/>
  <c r="I58" i="16" s="1"/>
  <c r="C487" i="20"/>
  <c r="L1087" i="20"/>
  <c r="K1087" i="20"/>
  <c r="I1087" i="20"/>
  <c r="G1087" i="20"/>
  <c r="D937" i="20"/>
  <c r="L937" i="20"/>
  <c r="K937" i="20"/>
  <c r="J937" i="20"/>
  <c r="F937" i="20"/>
  <c r="H937" i="20"/>
  <c r="G937" i="20"/>
  <c r="E937" i="20"/>
  <c r="O937" i="20"/>
  <c r="N937" i="20"/>
  <c r="M937" i="20"/>
  <c r="I937" i="20"/>
  <c r="O88" i="16"/>
  <c r="H88" i="16"/>
  <c r="I88" i="16" s="1"/>
  <c r="C81" i="19" s="1"/>
  <c r="G128" i="11"/>
  <c r="C397" i="20"/>
  <c r="H128" i="12"/>
  <c r="H14" i="12"/>
  <c r="I15" i="12"/>
  <c r="M3" i="27" s="1"/>
  <c r="K1256" i="20"/>
  <c r="N112" i="20"/>
  <c r="M112" i="20"/>
  <c r="J112" i="20"/>
  <c r="I112" i="20"/>
  <c r="H112" i="20"/>
  <c r="G112" i="20"/>
  <c r="F112" i="20"/>
  <c r="D112" i="20"/>
  <c r="O112" i="20"/>
  <c r="L112" i="20"/>
  <c r="K112" i="20"/>
  <c r="E112" i="20"/>
  <c r="G129" i="8"/>
  <c r="G14" i="10"/>
  <c r="O117" i="16"/>
  <c r="H117" i="16"/>
  <c r="I117" i="16" s="1"/>
  <c r="K562" i="20"/>
  <c r="J562" i="20"/>
  <c r="I562" i="20"/>
  <c r="H562" i="20"/>
  <c r="G562" i="20"/>
  <c r="F562" i="20"/>
  <c r="E562" i="20"/>
  <c r="D562" i="20"/>
  <c r="O562" i="20"/>
  <c r="N562" i="20"/>
  <c r="M562" i="20"/>
  <c r="L562" i="20"/>
  <c r="C622" i="20"/>
  <c r="C457" i="20"/>
  <c r="G474" i="20"/>
  <c r="G1267" i="20"/>
  <c r="M1267" i="20"/>
  <c r="H1267" i="20"/>
  <c r="F1267" i="20"/>
  <c r="D1267" i="20"/>
  <c r="O1267" i="20"/>
  <c r="N1267" i="20"/>
  <c r="L1267" i="20"/>
  <c r="K1267" i="20"/>
  <c r="J1267" i="20"/>
  <c r="I1267" i="20"/>
  <c r="E1267" i="20"/>
  <c r="G14" i="17"/>
  <c r="O1297" i="20"/>
  <c r="K1297" i="20"/>
  <c r="H1297" i="20"/>
  <c r="E1297" i="20"/>
  <c r="D1297" i="20"/>
  <c r="N1297" i="20"/>
  <c r="M1297" i="20"/>
  <c r="L1297" i="20"/>
  <c r="J1297" i="20"/>
  <c r="I1297" i="20"/>
  <c r="G1297" i="20"/>
  <c r="F1297" i="20"/>
  <c r="C1402" i="20"/>
  <c r="E554" i="20"/>
  <c r="M554" i="20"/>
  <c r="J554" i="20"/>
  <c r="O897" i="20"/>
  <c r="N897" i="20"/>
  <c r="H795" i="20"/>
  <c r="E795" i="20"/>
  <c r="G795" i="20"/>
  <c r="O76" i="16"/>
  <c r="H76" i="16"/>
  <c r="I76" i="16" s="1"/>
  <c r="C69" i="19" s="1"/>
  <c r="O89" i="16"/>
  <c r="H89" i="16"/>
  <c r="I89" i="16" s="1"/>
  <c r="G14" i="12"/>
  <c r="O96" i="16"/>
  <c r="H96" i="16"/>
  <c r="I96" i="16" s="1"/>
  <c r="C34" i="19"/>
  <c r="O118" i="16"/>
  <c r="H118" i="16"/>
  <c r="I118" i="16" s="1"/>
  <c r="O53" i="16"/>
  <c r="H53" i="16"/>
  <c r="I53" i="16" s="1"/>
  <c r="L997" i="20"/>
  <c r="H997" i="20"/>
  <c r="G997" i="20"/>
  <c r="F997" i="20"/>
  <c r="D997" i="20"/>
  <c r="O997" i="20"/>
  <c r="N997" i="20"/>
  <c r="M997" i="20"/>
  <c r="K997" i="20"/>
  <c r="J997" i="20"/>
  <c r="I997" i="20"/>
  <c r="E997" i="20"/>
  <c r="M1246" i="20"/>
  <c r="E1246" i="20"/>
  <c r="E1258" i="20"/>
  <c r="K1258" i="20"/>
  <c r="O1258" i="20"/>
  <c r="F1258" i="20"/>
  <c r="N1258" i="20"/>
  <c r="D1258" i="20"/>
  <c r="C52" i="20"/>
  <c r="C1582" i="20"/>
  <c r="J727" i="20"/>
  <c r="I727" i="20"/>
  <c r="F727" i="20"/>
  <c r="E727" i="20"/>
  <c r="D727" i="20"/>
  <c r="O727" i="20"/>
  <c r="N727" i="20"/>
  <c r="L727" i="20"/>
  <c r="M727" i="20"/>
  <c r="K727" i="20"/>
  <c r="H727" i="20"/>
  <c r="G727" i="20"/>
  <c r="I787" i="20"/>
  <c r="H787" i="20"/>
  <c r="O54" i="16"/>
  <c r="H54" i="16"/>
  <c r="I54" i="16" s="1"/>
  <c r="L129" i="7"/>
  <c r="L15" i="7"/>
  <c r="E1672" i="20"/>
  <c r="M1672" i="20"/>
  <c r="K1672" i="20"/>
  <c r="J1672" i="20"/>
  <c r="L1672" i="20"/>
  <c r="F1672" i="20"/>
  <c r="O1672" i="20"/>
  <c r="N1672" i="20"/>
  <c r="G1672" i="20"/>
  <c r="D1672" i="20"/>
  <c r="I1672" i="20"/>
  <c r="H1672" i="20"/>
  <c r="G128" i="17"/>
  <c r="C832" i="20"/>
  <c r="C16" i="19"/>
  <c r="G1665" i="20"/>
  <c r="D1665" i="20"/>
  <c r="L961" i="20"/>
  <c r="G128" i="12"/>
  <c r="O32" i="16"/>
  <c r="H32" i="16"/>
  <c r="I32" i="16" s="1"/>
  <c r="C56" i="19"/>
  <c r="C1147" i="20"/>
  <c r="L1102" i="20"/>
  <c r="J772" i="20"/>
  <c r="I772" i="20"/>
  <c r="H772" i="20"/>
  <c r="F772" i="20"/>
  <c r="E772" i="20"/>
  <c r="D772" i="20"/>
  <c r="O772" i="20"/>
  <c r="N772" i="20"/>
  <c r="C771" i="20"/>
  <c r="M772" i="20"/>
  <c r="L772" i="20"/>
  <c r="G772" i="20"/>
  <c r="K772" i="20"/>
  <c r="C26" i="19"/>
  <c r="K478" i="20"/>
  <c r="K15" i="7"/>
  <c r="J671" i="20"/>
  <c r="E671" i="20"/>
  <c r="N671" i="20"/>
  <c r="L671" i="20"/>
  <c r="I671" i="20"/>
  <c r="H671" i="20"/>
  <c r="G671" i="20"/>
  <c r="O671" i="20"/>
  <c r="M671" i="20"/>
  <c r="K671" i="20"/>
  <c r="L1241" i="20"/>
  <c r="C35" i="19"/>
  <c r="C24" i="19"/>
  <c r="O49" i="16"/>
  <c r="H49" i="16"/>
  <c r="I49" i="16" s="1"/>
  <c r="H128" i="15"/>
  <c r="H14" i="15"/>
  <c r="I15" i="15"/>
  <c r="Q3" i="27" s="1"/>
  <c r="C28" i="19"/>
  <c r="M401" i="20"/>
  <c r="J401" i="20"/>
  <c r="I401" i="20"/>
  <c r="E757" i="20"/>
  <c r="D757" i="20"/>
  <c r="C71" i="19"/>
  <c r="D1479" i="20"/>
  <c r="J1479" i="20"/>
  <c r="G1479" i="20"/>
  <c r="F1479" i="20"/>
  <c r="N1479" i="20"/>
  <c r="K1479" i="20"/>
  <c r="O1479" i="20"/>
  <c r="I1657" i="20"/>
  <c r="E1657" i="20"/>
  <c r="O1657" i="20"/>
  <c r="N1657" i="20"/>
  <c r="K1657" i="20"/>
  <c r="F1657" i="20"/>
  <c r="M1657" i="20"/>
  <c r="J1657" i="20"/>
  <c r="L1657" i="20"/>
  <c r="H1657" i="20"/>
  <c r="G1657" i="20"/>
  <c r="D1657" i="20"/>
  <c r="O44" i="16"/>
  <c r="H44" i="16"/>
  <c r="I44" i="16" s="1"/>
  <c r="K129" i="7"/>
  <c r="F834" i="20"/>
  <c r="J907" i="20"/>
  <c r="I907" i="20"/>
  <c r="H907" i="20"/>
  <c r="G907" i="20"/>
  <c r="F907" i="20"/>
  <c r="E907" i="20"/>
  <c r="D907" i="20"/>
  <c r="O907" i="20"/>
  <c r="N907" i="20"/>
  <c r="M907" i="20"/>
  <c r="L907" i="20"/>
  <c r="K907" i="20"/>
  <c r="O1242" i="20"/>
  <c r="L1242" i="20"/>
  <c r="I1242" i="20"/>
  <c r="H1242" i="20"/>
  <c r="G1242" i="20"/>
  <c r="N1242" i="20"/>
  <c r="L442" i="20"/>
  <c r="K442" i="20"/>
  <c r="G442" i="20"/>
  <c r="M277" i="20"/>
  <c r="O80" i="16"/>
  <c r="H80" i="16"/>
  <c r="I80" i="16" s="1"/>
  <c r="G14" i="15"/>
  <c r="N337" i="20"/>
  <c r="M337" i="20"/>
  <c r="L337" i="20"/>
  <c r="K337" i="20"/>
  <c r="J337" i="20"/>
  <c r="I337" i="20"/>
  <c r="H337" i="20"/>
  <c r="G337" i="20"/>
  <c r="F337" i="20"/>
  <c r="E337" i="20"/>
  <c r="D337" i="20"/>
  <c r="O337" i="20"/>
  <c r="O72" i="16"/>
  <c r="H72" i="16"/>
  <c r="I72" i="16" s="1"/>
  <c r="E867" i="20"/>
  <c r="D867" i="20"/>
  <c r="O867" i="20"/>
  <c r="N867" i="20"/>
  <c r="K867" i="20"/>
  <c r="J867" i="20"/>
  <c r="F867" i="20"/>
  <c r="H14" i="14"/>
  <c r="H128" i="14"/>
  <c r="I15" i="14"/>
  <c r="O3" i="27" s="1"/>
  <c r="C592" i="20"/>
  <c r="C67" i="20"/>
  <c r="C18" i="19"/>
  <c r="D982" i="20"/>
  <c r="L982" i="20"/>
  <c r="K982" i="20"/>
  <c r="J982" i="20"/>
  <c r="G982" i="20"/>
  <c r="F982" i="20"/>
  <c r="E982" i="20"/>
  <c r="O982" i="20"/>
  <c r="N982" i="20"/>
  <c r="M982" i="20"/>
  <c r="I982" i="20"/>
  <c r="H982" i="20"/>
  <c r="K584" i="20"/>
  <c r="J584" i="20"/>
  <c r="H584" i="20"/>
  <c r="G584" i="20"/>
  <c r="O43" i="16"/>
  <c r="H43" i="16"/>
  <c r="I43" i="16" s="1"/>
  <c r="N247" i="20"/>
  <c r="M247" i="20"/>
  <c r="L247" i="20"/>
  <c r="K247" i="20"/>
  <c r="J247" i="20"/>
  <c r="I247" i="20"/>
  <c r="H247" i="20"/>
  <c r="G247" i="20"/>
  <c r="F247" i="20"/>
  <c r="E247" i="20"/>
  <c r="D247" i="20"/>
  <c r="O247" i="20"/>
  <c r="F142" i="20"/>
  <c r="E142" i="20"/>
  <c r="N142" i="20"/>
  <c r="C141" i="20"/>
  <c r="M142" i="20"/>
  <c r="L142" i="20"/>
  <c r="K142" i="20"/>
  <c r="J142" i="20"/>
  <c r="I142" i="20"/>
  <c r="H142" i="20"/>
  <c r="D142" i="20"/>
  <c r="O142" i="20"/>
  <c r="G142" i="20"/>
  <c r="J1530" i="20"/>
  <c r="G1530" i="20"/>
  <c r="D1530" i="20"/>
  <c r="M1530" i="20"/>
  <c r="H1530" i="20"/>
  <c r="E1530" i="20"/>
  <c r="O1530" i="20"/>
  <c r="N1530" i="20"/>
  <c r="K1530" i="20"/>
  <c r="N1462" i="20"/>
  <c r="M1462" i="20"/>
  <c r="E1462" i="20"/>
  <c r="N1170" i="20"/>
  <c r="K1170" i="20"/>
  <c r="J1170" i="20"/>
  <c r="G1170" i="20"/>
  <c r="F697" i="20"/>
  <c r="N697" i="20"/>
  <c r="M697" i="20"/>
  <c r="L697" i="20"/>
  <c r="J697" i="20"/>
  <c r="H697" i="20"/>
  <c r="O697" i="20"/>
  <c r="K697" i="20"/>
  <c r="I697" i="20"/>
  <c r="G697" i="20"/>
  <c r="E697" i="20"/>
  <c r="D697" i="20"/>
  <c r="O627" i="20"/>
  <c r="G463" i="20"/>
  <c r="O116" i="16"/>
  <c r="H116" i="16"/>
  <c r="I116" i="16" s="1"/>
  <c r="C1387" i="20"/>
  <c r="D1117" i="20"/>
  <c r="O1117" i="20"/>
  <c r="N1117" i="20"/>
  <c r="M1117" i="20"/>
  <c r="L1117" i="20"/>
  <c r="K1117" i="20"/>
  <c r="J1117" i="20"/>
  <c r="I1117" i="20"/>
  <c r="H1117" i="20"/>
  <c r="G1117" i="20"/>
  <c r="F1117" i="20"/>
  <c r="E1117" i="20"/>
  <c r="O106" i="16"/>
  <c r="H106" i="16"/>
  <c r="I106" i="16" s="1"/>
  <c r="I1612" i="20"/>
  <c r="E1612" i="20"/>
  <c r="O1612" i="20"/>
  <c r="N1612" i="20"/>
  <c r="K1612" i="20"/>
  <c r="L1612" i="20"/>
  <c r="F1612" i="20"/>
  <c r="M1612" i="20"/>
  <c r="J1612" i="20"/>
  <c r="H1612" i="20"/>
  <c r="G1612" i="20"/>
  <c r="D1612" i="20"/>
  <c r="G128" i="15"/>
  <c r="C682" i="20"/>
  <c r="G14" i="14"/>
  <c r="F187" i="20"/>
  <c r="E187" i="20"/>
  <c r="O187" i="20"/>
  <c r="N187" i="20"/>
  <c r="M187" i="20"/>
  <c r="L187" i="20"/>
  <c r="K187" i="20"/>
  <c r="J187" i="20"/>
  <c r="I187" i="20"/>
  <c r="H187" i="20"/>
  <c r="G187" i="20"/>
  <c r="D187" i="20"/>
  <c r="C76" i="19"/>
  <c r="O51" i="16"/>
  <c r="H51" i="16"/>
  <c r="I51" i="16" s="1"/>
  <c r="C1477" i="20"/>
  <c r="J262" i="20"/>
  <c r="I262" i="20"/>
  <c r="H262" i="20"/>
  <c r="G262" i="20"/>
  <c r="F262" i="20"/>
  <c r="E262" i="20"/>
  <c r="D262" i="20"/>
  <c r="O262" i="20"/>
  <c r="N262" i="20"/>
  <c r="M262" i="20"/>
  <c r="L262" i="20"/>
  <c r="K262" i="20"/>
  <c r="F232" i="20"/>
  <c r="E232" i="20"/>
  <c r="D232" i="20"/>
  <c r="O232" i="20"/>
  <c r="N232" i="20"/>
  <c r="M232" i="20"/>
  <c r="L232" i="20"/>
  <c r="K232" i="20"/>
  <c r="J232" i="20"/>
  <c r="I232" i="20"/>
  <c r="H232" i="20"/>
  <c r="G232" i="20"/>
  <c r="O95" i="16"/>
  <c r="H95" i="16"/>
  <c r="I95" i="16" s="1"/>
  <c r="G14" i="16"/>
  <c r="E1177" i="20"/>
  <c r="D1177" i="20"/>
  <c r="M1177" i="20"/>
  <c r="L1177" i="20"/>
  <c r="J1177" i="20"/>
  <c r="I1177" i="20"/>
  <c r="O1177" i="20"/>
  <c r="N1177" i="20"/>
  <c r="K1177" i="20"/>
  <c r="H1177" i="20"/>
  <c r="G1177" i="20"/>
  <c r="F1177" i="20"/>
  <c r="M1192" i="20"/>
  <c r="L1192" i="20"/>
  <c r="I1192" i="20"/>
  <c r="H1192" i="20"/>
  <c r="F1192" i="20"/>
  <c r="E1192" i="20"/>
  <c r="D1192" i="20"/>
  <c r="N1192" i="20"/>
  <c r="K1192" i="20"/>
  <c r="J1192" i="20"/>
  <c r="G1192" i="20"/>
  <c r="O1192" i="20"/>
  <c r="O70" i="16"/>
  <c r="H70" i="16"/>
  <c r="I70" i="16" s="1"/>
  <c r="G128" i="14"/>
  <c r="C29" i="19"/>
  <c r="C1132" i="20"/>
  <c r="C30" i="19"/>
  <c r="O39" i="16"/>
  <c r="H39" i="16"/>
  <c r="I39" i="16" s="1"/>
  <c r="C15" i="19"/>
  <c r="O382" i="20"/>
  <c r="M382" i="20"/>
  <c r="L382" i="20"/>
  <c r="K382" i="20"/>
  <c r="J382" i="20"/>
  <c r="C952" i="20"/>
  <c r="C1252" i="20"/>
  <c r="M1687" i="20"/>
  <c r="I1687" i="20"/>
  <c r="G1687" i="20"/>
  <c r="F1687" i="20"/>
  <c r="L1687" i="20"/>
  <c r="E1687" i="20"/>
  <c r="O1687" i="20"/>
  <c r="K1687" i="20"/>
  <c r="H1687" i="20"/>
  <c r="D1687" i="20"/>
  <c r="N1687" i="20"/>
  <c r="J1687" i="20"/>
  <c r="H128" i="10"/>
  <c r="H14" i="10"/>
  <c r="I15" i="10"/>
  <c r="G3" i="27" s="1"/>
  <c r="C57" i="19"/>
  <c r="N616" i="20"/>
  <c r="G1057" i="20"/>
  <c r="F1057" i="20"/>
  <c r="E1057" i="20"/>
  <c r="D1057" i="20"/>
  <c r="O1057" i="20"/>
  <c r="N1057" i="20"/>
  <c r="M1057" i="20"/>
  <c r="L1057" i="20"/>
  <c r="K1057" i="20"/>
  <c r="J1057" i="20"/>
  <c r="I1057" i="20"/>
  <c r="I669" i="20" l="1"/>
  <c r="L669" i="20"/>
  <c r="F671" i="20"/>
  <c r="C94" i="19"/>
  <c r="I517" i="20"/>
  <c r="P1433" i="20"/>
  <c r="F1425" i="20"/>
  <c r="P329" i="20"/>
  <c r="P778" i="20"/>
  <c r="M360" i="20"/>
  <c r="N360" i="20"/>
  <c r="D780" i="20"/>
  <c r="D1019" i="20"/>
  <c r="O360" i="20"/>
  <c r="I1530" i="20"/>
  <c r="E780" i="20"/>
  <c r="H360" i="20"/>
  <c r="M614" i="20"/>
  <c r="L1530" i="20"/>
  <c r="M1258" i="20"/>
  <c r="E360" i="20"/>
  <c r="F403" i="20"/>
  <c r="K403" i="20"/>
  <c r="E1256" i="20"/>
  <c r="E61" i="27"/>
  <c r="I1246" i="20"/>
  <c r="K1573" i="20"/>
  <c r="F908" i="20"/>
  <c r="I908" i="20"/>
  <c r="L908" i="20"/>
  <c r="N908" i="20"/>
  <c r="M908" i="20"/>
  <c r="O1418" i="20"/>
  <c r="K1418" i="20"/>
  <c r="L1418" i="20"/>
  <c r="M1418" i="20"/>
  <c r="J1418" i="20"/>
  <c r="D627" i="20"/>
  <c r="C115" i="19"/>
  <c r="E110" i="27"/>
  <c r="E627" i="20"/>
  <c r="N294" i="20"/>
  <c r="I1102" i="20"/>
  <c r="K1246" i="20"/>
  <c r="N627" i="20"/>
  <c r="D1102" i="20"/>
  <c r="O1407" i="20"/>
  <c r="N652" i="20"/>
  <c r="K493" i="20"/>
  <c r="E294" i="20"/>
  <c r="H1246" i="20"/>
  <c r="C54" i="19"/>
  <c r="L493" i="20"/>
  <c r="E1102" i="20"/>
  <c r="E1407" i="20"/>
  <c r="G624" i="20"/>
  <c r="O652" i="20"/>
  <c r="H1483" i="20"/>
  <c r="P1077" i="20"/>
  <c r="P1304" i="20"/>
  <c r="M627" i="20"/>
  <c r="M1102" i="20"/>
  <c r="H1407" i="20"/>
  <c r="G628" i="20"/>
  <c r="F1102" i="20"/>
  <c r="J652" i="20"/>
  <c r="E1483" i="20"/>
  <c r="C1283" i="20"/>
  <c r="H1283" i="20" s="1"/>
  <c r="F1576" i="20"/>
  <c r="H532" i="20"/>
  <c r="P1291" i="20"/>
  <c r="G1406" i="20"/>
  <c r="F532" i="20"/>
  <c r="E98" i="27"/>
  <c r="C118" i="19"/>
  <c r="K628" i="20"/>
  <c r="J1406" i="20"/>
  <c r="G532" i="20"/>
  <c r="D691" i="20"/>
  <c r="O1200" i="20"/>
  <c r="E81" i="27"/>
  <c r="L628" i="20"/>
  <c r="L532" i="20"/>
  <c r="L691" i="20"/>
  <c r="N691" i="20"/>
  <c r="J841" i="20"/>
  <c r="K841" i="20"/>
  <c r="K1406" i="20"/>
  <c r="D631" i="20"/>
  <c r="O691" i="20"/>
  <c r="H1200" i="20"/>
  <c r="N1406" i="20"/>
  <c r="E631" i="20"/>
  <c r="E691" i="20"/>
  <c r="L1200" i="20"/>
  <c r="J1014" i="20"/>
  <c r="L841" i="20"/>
  <c r="J628" i="20"/>
  <c r="C1028" i="20"/>
  <c r="G1028" i="20" s="1"/>
  <c r="K532" i="20"/>
  <c r="K691" i="20"/>
  <c r="M202" i="20"/>
  <c r="F631" i="20"/>
  <c r="M691" i="20"/>
  <c r="K1014" i="20"/>
  <c r="M841" i="20"/>
  <c r="O1034" i="20"/>
  <c r="L627" i="20"/>
  <c r="N1591" i="20"/>
  <c r="L1014" i="20"/>
  <c r="O841" i="20"/>
  <c r="P372" i="20"/>
  <c r="P1301" i="20"/>
  <c r="P1544" i="20"/>
  <c r="E49" i="27"/>
  <c r="K652" i="20"/>
  <c r="D1591" i="20"/>
  <c r="E841" i="20"/>
  <c r="P1079" i="20"/>
  <c r="K463" i="20"/>
  <c r="E1014" i="20"/>
  <c r="H463" i="20"/>
  <c r="D401" i="20"/>
  <c r="G841" i="20"/>
  <c r="J1425" i="20"/>
  <c r="C74" i="19"/>
  <c r="C91" i="19"/>
  <c r="P1501" i="20"/>
  <c r="I628" i="20"/>
  <c r="M1014" i="20"/>
  <c r="D841" i="20"/>
  <c r="O401" i="20"/>
  <c r="H1591" i="20"/>
  <c r="I463" i="20"/>
  <c r="G401" i="20"/>
  <c r="H841" i="20"/>
  <c r="K1425" i="20"/>
  <c r="H1569" i="20"/>
  <c r="C86" i="19"/>
  <c r="J1034" i="20"/>
  <c r="D294" i="20"/>
  <c r="M463" i="20"/>
  <c r="O1462" i="20"/>
  <c r="H401" i="20"/>
  <c r="I841" i="20"/>
  <c r="M1425" i="20"/>
  <c r="J1569" i="20"/>
  <c r="L728" i="20"/>
  <c r="G728" i="20"/>
  <c r="O728" i="20"/>
  <c r="K728" i="20"/>
  <c r="M728" i="20"/>
  <c r="D728" i="20"/>
  <c r="E728" i="20"/>
  <c r="I728" i="20"/>
  <c r="F728" i="20"/>
  <c r="H728" i="20"/>
  <c r="N728" i="20"/>
  <c r="J728" i="20"/>
  <c r="D1208" i="20"/>
  <c r="N1208" i="20"/>
  <c r="H1208" i="20"/>
  <c r="G1208" i="20"/>
  <c r="J1208" i="20"/>
  <c r="O1208" i="20"/>
  <c r="M1208" i="20"/>
  <c r="K1208" i="20"/>
  <c r="L1208" i="20"/>
  <c r="I1208" i="20"/>
  <c r="F1208" i="20"/>
  <c r="E1208" i="20"/>
  <c r="N1463" i="20"/>
  <c r="I1463" i="20"/>
  <c r="O1463" i="20"/>
  <c r="K1463" i="20"/>
  <c r="L1463" i="20"/>
  <c r="E1463" i="20"/>
  <c r="J1463" i="20"/>
  <c r="M1463" i="20"/>
  <c r="G1463" i="20"/>
  <c r="F1463" i="20"/>
  <c r="D1463" i="20"/>
  <c r="H1463" i="20"/>
  <c r="J1391" i="20"/>
  <c r="M1417" i="20"/>
  <c r="F1162" i="20"/>
  <c r="E14" i="27"/>
  <c r="G360" i="20"/>
  <c r="E461" i="20"/>
  <c r="O1417" i="20"/>
  <c r="G1162" i="20"/>
  <c r="C53" i="19"/>
  <c r="C713" i="20"/>
  <c r="C711" i="20" s="1"/>
  <c r="C1268" i="20"/>
  <c r="N1404" i="20"/>
  <c r="H1137" i="20"/>
  <c r="G705" i="20"/>
  <c r="N705" i="20"/>
  <c r="J360" i="20"/>
  <c r="I461" i="20"/>
  <c r="E1417" i="20"/>
  <c r="J1162" i="20"/>
  <c r="E1072" i="20"/>
  <c r="C1688" i="20"/>
  <c r="G461" i="20"/>
  <c r="N1417" i="20"/>
  <c r="I1162" i="20"/>
  <c r="K360" i="20"/>
  <c r="H301" i="20"/>
  <c r="H1417" i="20"/>
  <c r="K1162" i="20"/>
  <c r="F1072" i="20"/>
  <c r="M567" i="20"/>
  <c r="O705" i="20"/>
  <c r="L360" i="20"/>
  <c r="C186" i="20"/>
  <c r="L1162" i="20"/>
  <c r="J1072" i="20"/>
  <c r="K908" i="20"/>
  <c r="P106" i="20"/>
  <c r="C1373" i="20"/>
  <c r="D360" i="20"/>
  <c r="O668" i="20"/>
  <c r="F581" i="20"/>
  <c r="J1087" i="20"/>
  <c r="G479" i="20"/>
  <c r="N1162" i="20"/>
  <c r="D908" i="20"/>
  <c r="N1418" i="20"/>
  <c r="P237" i="20"/>
  <c r="C203" i="20"/>
  <c r="C201" i="20" s="1"/>
  <c r="E67" i="27"/>
  <c r="AA67" i="27" s="1"/>
  <c r="M581" i="20"/>
  <c r="D1162" i="20"/>
  <c r="O908" i="20"/>
  <c r="F1418" i="20"/>
  <c r="P1636" i="20"/>
  <c r="E908" i="20"/>
  <c r="D1418" i="20"/>
  <c r="F1028" i="20"/>
  <c r="P781" i="20"/>
  <c r="N581" i="20"/>
  <c r="I360" i="20"/>
  <c r="L476" i="20"/>
  <c r="O581" i="20"/>
  <c r="H1162" i="20"/>
  <c r="J908" i="20"/>
  <c r="D567" i="20"/>
  <c r="G1418" i="20"/>
  <c r="P1121" i="20"/>
  <c r="F479" i="20"/>
  <c r="O1597" i="20"/>
  <c r="F629" i="20"/>
  <c r="C1116" i="20"/>
  <c r="M476" i="20"/>
  <c r="J894" i="20"/>
  <c r="G908" i="20"/>
  <c r="J567" i="20"/>
  <c r="E1418" i="20"/>
  <c r="E85" i="27"/>
  <c r="AA85" i="27" s="1"/>
  <c r="G629" i="20"/>
  <c r="N90" i="20"/>
  <c r="H285" i="20"/>
  <c r="D172" i="20"/>
  <c r="H908" i="20"/>
  <c r="I1418" i="20"/>
  <c r="P1107" i="20"/>
  <c r="J629" i="20"/>
  <c r="D165" i="20"/>
  <c r="H1418" i="20"/>
  <c r="P119" i="20"/>
  <c r="L478" i="20"/>
  <c r="J105" i="20"/>
  <c r="M1479" i="20"/>
  <c r="N877" i="20"/>
  <c r="C1163" i="20"/>
  <c r="C1161" i="20" s="1"/>
  <c r="E1312" i="20"/>
  <c r="E479" i="20"/>
  <c r="I672" i="20"/>
  <c r="P1632" i="20"/>
  <c r="P234" i="20"/>
  <c r="D586" i="20"/>
  <c r="P824" i="20"/>
  <c r="E584" i="20"/>
  <c r="O1243" i="20"/>
  <c r="F583" i="20"/>
  <c r="H628" i="20"/>
  <c r="G673" i="20"/>
  <c r="I673" i="20"/>
  <c r="M628" i="20"/>
  <c r="P373" i="20"/>
  <c r="G118" i="20"/>
  <c r="N628" i="20"/>
  <c r="O628" i="20"/>
  <c r="D628" i="20"/>
  <c r="N1243" i="20"/>
  <c r="E628" i="20"/>
  <c r="D1243" i="20"/>
  <c r="G868" i="20"/>
  <c r="K837" i="20"/>
  <c r="J1212" i="20"/>
  <c r="O837" i="20"/>
  <c r="P537" i="20"/>
  <c r="J897" i="20"/>
  <c r="L897" i="20"/>
  <c r="F627" i="20"/>
  <c r="E897" i="20"/>
  <c r="H1212" i="20"/>
  <c r="F897" i="20"/>
  <c r="I567" i="20"/>
  <c r="H627" i="20"/>
  <c r="G897" i="20"/>
  <c r="D897" i="20"/>
  <c r="G627" i="20"/>
  <c r="I627" i="20"/>
  <c r="H897" i="20"/>
  <c r="D1587" i="20"/>
  <c r="N687" i="20"/>
  <c r="J627" i="20"/>
  <c r="O567" i="20"/>
  <c r="N837" i="20"/>
  <c r="H581" i="20"/>
  <c r="P1211" i="20"/>
  <c r="P926" i="20"/>
  <c r="H56" i="20"/>
  <c r="P774" i="20"/>
  <c r="P144" i="20"/>
  <c r="J294" i="20"/>
  <c r="N1014" i="20"/>
  <c r="P999" i="20"/>
  <c r="P938" i="20"/>
  <c r="P308" i="20"/>
  <c r="H668" i="20"/>
  <c r="C231" i="20"/>
  <c r="F683" i="20"/>
  <c r="H683" i="20"/>
  <c r="G683" i="20"/>
  <c r="J683" i="20"/>
  <c r="M683" i="20"/>
  <c r="K683" i="20"/>
  <c r="O683" i="20"/>
  <c r="I683" i="20"/>
  <c r="I668" i="20"/>
  <c r="L683" i="20"/>
  <c r="N683" i="20"/>
  <c r="K1388" i="20"/>
  <c r="E863" i="20"/>
  <c r="H863" i="20"/>
  <c r="J458" i="20"/>
  <c r="O1388" i="20"/>
  <c r="M1583" i="20"/>
  <c r="E1388" i="20"/>
  <c r="L1388" i="20"/>
  <c r="M1388" i="20"/>
  <c r="D1388" i="20"/>
  <c r="F1388" i="20"/>
  <c r="G1388" i="20"/>
  <c r="H1388" i="20"/>
  <c r="L458" i="20"/>
  <c r="E488" i="20"/>
  <c r="D863" i="20"/>
  <c r="D1178" i="20"/>
  <c r="J1388" i="20"/>
  <c r="I1253" i="20"/>
  <c r="L1178" i="20"/>
  <c r="K1253" i="20"/>
  <c r="K1178" i="20"/>
  <c r="O1178" i="20"/>
  <c r="I1388" i="20"/>
  <c r="L1253" i="20"/>
  <c r="K623" i="20"/>
  <c r="L623" i="20"/>
  <c r="N953" i="20"/>
  <c r="C336" i="20"/>
  <c r="I118" i="20"/>
  <c r="E673" i="20"/>
  <c r="M582" i="20"/>
  <c r="K1137" i="20"/>
  <c r="N582" i="20"/>
  <c r="C726" i="20"/>
  <c r="L1583" i="20"/>
  <c r="J1213" i="20"/>
  <c r="K567" i="20"/>
  <c r="P1336" i="20"/>
  <c r="P1062" i="20"/>
  <c r="D673" i="20"/>
  <c r="D1357" i="20"/>
  <c r="N795" i="20"/>
  <c r="G554" i="20"/>
  <c r="P1122" i="20"/>
  <c r="K795" i="20"/>
  <c r="F554" i="20"/>
  <c r="D795" i="20"/>
  <c r="H554" i="20"/>
  <c r="P193" i="20"/>
  <c r="H1021" i="20"/>
  <c r="J714" i="20"/>
  <c r="P343" i="20"/>
  <c r="P511" i="20"/>
  <c r="P777" i="20"/>
  <c r="I1583" i="20"/>
  <c r="P734" i="20"/>
  <c r="P416" i="20"/>
  <c r="P1633" i="20"/>
  <c r="C22" i="19"/>
  <c r="M1021" i="20"/>
  <c r="N496" i="20"/>
  <c r="P518" i="20"/>
  <c r="P643" i="20"/>
  <c r="P776" i="20"/>
  <c r="I1021" i="20"/>
  <c r="D1021" i="20"/>
  <c r="P1664" i="20"/>
  <c r="N1021" i="20"/>
  <c r="P1029" i="20"/>
  <c r="P882" i="20"/>
  <c r="L466" i="20"/>
  <c r="J673" i="20"/>
  <c r="E1021" i="20"/>
  <c r="K1021" i="20"/>
  <c r="K1484" i="20"/>
  <c r="N567" i="20"/>
  <c r="G567" i="20"/>
  <c r="O582" i="20"/>
  <c r="D442" i="20"/>
  <c r="D582" i="20"/>
  <c r="N1027" i="20"/>
  <c r="H567" i="20"/>
  <c r="P1051" i="20"/>
  <c r="P279" i="20"/>
  <c r="P1216" i="20"/>
  <c r="H676" i="20"/>
  <c r="E582" i="20"/>
  <c r="F294" i="20"/>
  <c r="H442" i="20"/>
  <c r="J676" i="20"/>
  <c r="F582" i="20"/>
  <c r="S113" i="27"/>
  <c r="L1034" i="20"/>
  <c r="L1021" i="20"/>
  <c r="O676" i="20"/>
  <c r="G582" i="20"/>
  <c r="K582" i="20"/>
  <c r="C1701" i="20"/>
  <c r="O435" i="20"/>
  <c r="E442" i="20"/>
  <c r="L582" i="20"/>
  <c r="I1587" i="20"/>
  <c r="E629" i="20"/>
  <c r="L277" i="20"/>
  <c r="O863" i="20"/>
  <c r="H517" i="20"/>
  <c r="I458" i="20"/>
  <c r="N548" i="20"/>
  <c r="G1483" i="20"/>
  <c r="O780" i="20"/>
  <c r="F134" i="20"/>
  <c r="I134" i="20"/>
  <c r="H134" i="20"/>
  <c r="G134" i="20"/>
  <c r="M134" i="20"/>
  <c r="L134" i="20"/>
  <c r="F839" i="20"/>
  <c r="H629" i="20"/>
  <c r="N277" i="20"/>
  <c r="I1137" i="20"/>
  <c r="E868" i="20"/>
  <c r="O1256" i="20"/>
  <c r="F863" i="20"/>
  <c r="K517" i="20"/>
  <c r="M479" i="20"/>
  <c r="F780" i="20"/>
  <c r="F771" i="20" s="1"/>
  <c r="H1072" i="20"/>
  <c r="M616" i="20"/>
  <c r="H839" i="20"/>
  <c r="I629" i="20"/>
  <c r="O277" i="20"/>
  <c r="J1137" i="20"/>
  <c r="F868" i="20"/>
  <c r="D1256" i="20"/>
  <c r="G863" i="20"/>
  <c r="O479" i="20"/>
  <c r="F1409" i="20"/>
  <c r="G780" i="20"/>
  <c r="G771" i="20" s="1"/>
  <c r="I1072" i="20"/>
  <c r="E134" i="20"/>
  <c r="H299" i="20"/>
  <c r="H479" i="20"/>
  <c r="P151" i="20"/>
  <c r="P1647" i="20"/>
  <c r="N382" i="20"/>
  <c r="F673" i="20"/>
  <c r="L629" i="20"/>
  <c r="O1021" i="20"/>
  <c r="F442" i="20"/>
  <c r="M1137" i="20"/>
  <c r="H488" i="20"/>
  <c r="E1406" i="20"/>
  <c r="I868" i="20"/>
  <c r="I299" i="20"/>
  <c r="M953" i="20"/>
  <c r="H1256" i="20"/>
  <c r="I479" i="20"/>
  <c r="L1576" i="20"/>
  <c r="M1409" i="20"/>
  <c r="J780" i="20"/>
  <c r="J771" i="20" s="1"/>
  <c r="G1222" i="20"/>
  <c r="L1072" i="20"/>
  <c r="N1538" i="20"/>
  <c r="P569" i="20"/>
  <c r="O1538" i="20"/>
  <c r="I839" i="20"/>
  <c r="F1256" i="20"/>
  <c r="I1409" i="20"/>
  <c r="K1072" i="20"/>
  <c r="N1571" i="20"/>
  <c r="J479" i="20"/>
  <c r="O1409" i="20"/>
  <c r="L780" i="20"/>
  <c r="L771" i="20" s="1"/>
  <c r="K1222" i="20"/>
  <c r="M1072" i="20"/>
  <c r="D382" i="20"/>
  <c r="F1571" i="20"/>
  <c r="K489" i="20"/>
  <c r="G1137" i="20"/>
  <c r="I488" i="20"/>
  <c r="K868" i="20"/>
  <c r="K299" i="20"/>
  <c r="G953" i="20"/>
  <c r="J1256" i="20"/>
  <c r="K479" i="20"/>
  <c r="D1409" i="20"/>
  <c r="M780" i="20"/>
  <c r="M771" i="20" s="1"/>
  <c r="I1222" i="20"/>
  <c r="N1072" i="20"/>
  <c r="J211" i="20"/>
  <c r="P1287" i="20"/>
  <c r="K1168" i="20"/>
  <c r="F1168" i="20"/>
  <c r="O1168" i="20"/>
  <c r="N1168" i="20"/>
  <c r="E1168" i="20"/>
  <c r="J1168" i="20"/>
  <c r="H1168" i="20"/>
  <c r="M1168" i="20"/>
  <c r="L1168" i="20"/>
  <c r="I1168" i="20"/>
  <c r="D1168" i="20"/>
  <c r="E382" i="20"/>
  <c r="K673" i="20"/>
  <c r="L1571" i="20"/>
  <c r="L489" i="20"/>
  <c r="F1021" i="20"/>
  <c r="F1462" i="20"/>
  <c r="I442" i="20"/>
  <c r="J488" i="20"/>
  <c r="L868" i="20"/>
  <c r="L299" i="20"/>
  <c r="K953" i="20"/>
  <c r="L1256" i="20"/>
  <c r="L479" i="20"/>
  <c r="G1409" i="20"/>
  <c r="N780" i="20"/>
  <c r="N771" i="20" s="1"/>
  <c r="J1222" i="20"/>
  <c r="O1072" i="20"/>
  <c r="M1538" i="20"/>
  <c r="H868" i="20"/>
  <c r="I863" i="20"/>
  <c r="G1538" i="20"/>
  <c r="F382" i="20"/>
  <c r="O120" i="20"/>
  <c r="M673" i="20"/>
  <c r="G1021" i="20"/>
  <c r="H1462" i="20"/>
  <c r="O442" i="20"/>
  <c r="K488" i="20"/>
  <c r="L202" i="20"/>
  <c r="M868" i="20"/>
  <c r="M299" i="20"/>
  <c r="N1256" i="20"/>
  <c r="D479" i="20"/>
  <c r="I315" i="20"/>
  <c r="J1409" i="20"/>
  <c r="L1222" i="20"/>
  <c r="D1072" i="20"/>
  <c r="P371" i="20"/>
  <c r="P1511" i="20"/>
  <c r="K134" i="20"/>
  <c r="J593" i="20"/>
  <c r="F1137" i="20"/>
  <c r="O488" i="20"/>
  <c r="J868" i="20"/>
  <c r="J299" i="20"/>
  <c r="E953" i="20"/>
  <c r="I1256" i="20"/>
  <c r="I382" i="20"/>
  <c r="D120" i="20"/>
  <c r="N673" i="20"/>
  <c r="F901" i="20"/>
  <c r="L1462" i="20"/>
  <c r="J442" i="20"/>
  <c r="L488" i="20"/>
  <c r="O202" i="20"/>
  <c r="N868" i="20"/>
  <c r="N299" i="20"/>
  <c r="M1256" i="20"/>
  <c r="E1553" i="20"/>
  <c r="H945" i="20"/>
  <c r="J315" i="20"/>
  <c r="L1409" i="20"/>
  <c r="M1222" i="20"/>
  <c r="O507" i="20"/>
  <c r="G488" i="20"/>
  <c r="K1409" i="20"/>
  <c r="P196" i="20"/>
  <c r="E586" i="20"/>
  <c r="H120" i="20"/>
  <c r="H901" i="20"/>
  <c r="D299" i="20"/>
  <c r="D1447" i="20"/>
  <c r="G614" i="20"/>
  <c r="M442" i="20"/>
  <c r="K676" i="20"/>
  <c r="D1154" i="20"/>
  <c r="D488" i="20"/>
  <c r="K898" i="20"/>
  <c r="E299" i="20"/>
  <c r="M1553" i="20"/>
  <c r="K458" i="20"/>
  <c r="D1417" i="20"/>
  <c r="L652" i="20"/>
  <c r="E1409" i="20"/>
  <c r="G466" i="20"/>
  <c r="D134" i="20"/>
  <c r="J517" i="20"/>
  <c r="F277" i="20"/>
  <c r="K629" i="20"/>
  <c r="G901" i="20"/>
  <c r="N488" i="20"/>
  <c r="D868" i="20"/>
  <c r="K1553" i="20"/>
  <c r="E466" i="20"/>
  <c r="G586" i="20"/>
  <c r="I120" i="20"/>
  <c r="L673" i="20"/>
  <c r="I901" i="20"/>
  <c r="I1462" i="20"/>
  <c r="I532" i="20"/>
  <c r="H586" i="20"/>
  <c r="J120" i="20"/>
  <c r="O673" i="20"/>
  <c r="I614" i="20"/>
  <c r="J901" i="20"/>
  <c r="K1462" i="20"/>
  <c r="N676" i="20"/>
  <c r="I1154" i="20"/>
  <c r="F488" i="20"/>
  <c r="J532" i="20"/>
  <c r="L898" i="20"/>
  <c r="F299" i="20"/>
  <c r="L517" i="20"/>
  <c r="O1553" i="20"/>
  <c r="M458" i="20"/>
  <c r="H688" i="20"/>
  <c r="L1417" i="20"/>
  <c r="M652" i="20"/>
  <c r="O802" i="20"/>
  <c r="I466" i="20"/>
  <c r="F1178" i="20"/>
  <c r="J914" i="20"/>
  <c r="D1212" i="20"/>
  <c r="O496" i="20"/>
  <c r="J134" i="20"/>
  <c r="K427" i="20"/>
  <c r="O548" i="20"/>
  <c r="M120" i="20"/>
  <c r="M901" i="20"/>
  <c r="G1462" i="20"/>
  <c r="F676" i="20"/>
  <c r="E401" i="20"/>
  <c r="M532" i="20"/>
  <c r="L427" i="20"/>
  <c r="J863" i="20"/>
  <c r="O517" i="20"/>
  <c r="J1553" i="20"/>
  <c r="D458" i="20"/>
  <c r="M72" i="20"/>
  <c r="D548" i="20"/>
  <c r="F1417" i="20"/>
  <c r="D652" i="20"/>
  <c r="F802" i="20"/>
  <c r="E1212" i="20"/>
  <c r="C276" i="20"/>
  <c r="L1137" i="20"/>
  <c r="I780" i="20"/>
  <c r="G120" i="20"/>
  <c r="O299" i="20"/>
  <c r="G898" i="20"/>
  <c r="M517" i="20"/>
  <c r="O1238" i="20"/>
  <c r="K863" i="20"/>
  <c r="D517" i="20"/>
  <c r="I1553" i="20"/>
  <c r="E458" i="20"/>
  <c r="J1403" i="20"/>
  <c r="D72" i="20"/>
  <c r="F548" i="20"/>
  <c r="G1417" i="20"/>
  <c r="E652" i="20"/>
  <c r="C102" i="19"/>
  <c r="D549" i="20"/>
  <c r="G802" i="20"/>
  <c r="D118" i="20"/>
  <c r="K120" i="20"/>
  <c r="K901" i="20"/>
  <c r="D1553" i="20"/>
  <c r="N458" i="20"/>
  <c r="L120" i="20"/>
  <c r="D1561" i="20"/>
  <c r="D676" i="20"/>
  <c r="H898" i="20"/>
  <c r="N517" i="20"/>
  <c r="G1553" i="20"/>
  <c r="O458" i="20"/>
  <c r="F1134" i="20"/>
  <c r="E802" i="20"/>
  <c r="N120" i="20"/>
  <c r="M629" i="20"/>
  <c r="N901" i="20"/>
  <c r="D1462" i="20"/>
  <c r="G676" i="20"/>
  <c r="K401" i="20"/>
  <c r="N532" i="20"/>
  <c r="E120" i="20"/>
  <c r="N629" i="20"/>
  <c r="O901" i="20"/>
  <c r="I676" i="20"/>
  <c r="L401" i="20"/>
  <c r="O532" i="20"/>
  <c r="D1238" i="20"/>
  <c r="L863" i="20"/>
  <c r="E517" i="20"/>
  <c r="L1553" i="20"/>
  <c r="F458" i="20"/>
  <c r="L1403" i="20"/>
  <c r="E72" i="20"/>
  <c r="J548" i="20"/>
  <c r="I1417" i="20"/>
  <c r="F652" i="20"/>
  <c r="E549" i="20"/>
  <c r="H802" i="20"/>
  <c r="E1538" i="20"/>
  <c r="L839" i="20"/>
  <c r="O629" i="20"/>
  <c r="D901" i="20"/>
  <c r="L676" i="20"/>
  <c r="N401" i="20"/>
  <c r="D532" i="20"/>
  <c r="E1238" i="20"/>
  <c r="M863" i="20"/>
  <c r="F517" i="20"/>
  <c r="N1553" i="20"/>
  <c r="G458" i="20"/>
  <c r="I72" i="20"/>
  <c r="L548" i="20"/>
  <c r="J1417" i="20"/>
  <c r="H652" i="20"/>
  <c r="H549" i="20"/>
  <c r="J802" i="20"/>
  <c r="O134" i="20"/>
  <c r="F1553" i="20"/>
  <c r="L901" i="20"/>
  <c r="J277" i="20"/>
  <c r="E676" i="20"/>
  <c r="F285" i="20"/>
  <c r="M548" i="20"/>
  <c r="I652" i="20"/>
  <c r="K549" i="20"/>
  <c r="K802" i="20"/>
  <c r="P796" i="20"/>
  <c r="F567" i="20"/>
  <c r="L567" i="20"/>
  <c r="O1271" i="20"/>
  <c r="D1271" i="20"/>
  <c r="M669" i="20"/>
  <c r="J301" i="20"/>
  <c r="J1515" i="20"/>
  <c r="N669" i="20"/>
  <c r="F1271" i="20"/>
  <c r="M714" i="20"/>
  <c r="I1271" i="20"/>
  <c r="O687" i="20"/>
  <c r="M898" i="20"/>
  <c r="H1587" i="20"/>
  <c r="D687" i="20"/>
  <c r="J1019" i="20"/>
  <c r="N898" i="20"/>
  <c r="E1034" i="20"/>
  <c r="N1034" i="20"/>
  <c r="I1034" i="20"/>
  <c r="H1034" i="20"/>
  <c r="D1034" i="20"/>
  <c r="N1137" i="20"/>
  <c r="H687" i="20"/>
  <c r="M839" i="20"/>
  <c r="E1137" i="20"/>
  <c r="O1019" i="20"/>
  <c r="F898" i="20"/>
  <c r="N1554" i="20"/>
  <c r="I687" i="20"/>
  <c r="N1271" i="20"/>
  <c r="G1271" i="20"/>
  <c r="M1554" i="20"/>
  <c r="E1259" i="20"/>
  <c r="G1554" i="20"/>
  <c r="L1271" i="20"/>
  <c r="J961" i="20"/>
  <c r="H59" i="20"/>
  <c r="J672" i="20"/>
  <c r="L450" i="20"/>
  <c r="J836" i="20"/>
  <c r="N1583" i="20"/>
  <c r="G1034" i="20"/>
  <c r="K1271" i="20"/>
  <c r="F1034" i="20"/>
  <c r="O672" i="20"/>
  <c r="O450" i="20"/>
  <c r="M836" i="20"/>
  <c r="K1702" i="20"/>
  <c r="P1702" i="20" s="1"/>
  <c r="J1271" i="20"/>
  <c r="M1034" i="20"/>
  <c r="H836" i="20"/>
  <c r="L672" i="20"/>
  <c r="M450" i="20"/>
  <c r="K836" i="20"/>
  <c r="J69" i="20"/>
  <c r="N672" i="20"/>
  <c r="N450" i="20"/>
  <c r="L836" i="20"/>
  <c r="E877" i="20"/>
  <c r="M69" i="20"/>
  <c r="O69" i="20"/>
  <c r="K672" i="20"/>
  <c r="N836" i="20"/>
  <c r="N833" i="20"/>
  <c r="L1702" i="20"/>
  <c r="P806" i="20"/>
  <c r="F672" i="20"/>
  <c r="D836" i="20"/>
  <c r="H672" i="20"/>
  <c r="I593" i="20"/>
  <c r="M672" i="20"/>
  <c r="O833" i="20"/>
  <c r="M1271" i="20"/>
  <c r="G714" i="20"/>
  <c r="P236" i="20"/>
  <c r="J1018" i="20"/>
  <c r="J669" i="20"/>
  <c r="J757" i="20"/>
  <c r="K669" i="20"/>
  <c r="H1271" i="20"/>
  <c r="E1271" i="20"/>
  <c r="L1213" i="20"/>
  <c r="N1213" i="20"/>
  <c r="H1213" i="20"/>
  <c r="O1213" i="20"/>
  <c r="K1213" i="20"/>
  <c r="G1213" i="20"/>
  <c r="F1213" i="20"/>
  <c r="E1213" i="20"/>
  <c r="M1213" i="20"/>
  <c r="D1213" i="20"/>
  <c r="H583" i="20"/>
  <c r="P773" i="20"/>
  <c r="P1124" i="20"/>
  <c r="E210" i="20"/>
  <c r="O54" i="20"/>
  <c r="F202" i="20"/>
  <c r="H582" i="20"/>
  <c r="G1258" i="20"/>
  <c r="F474" i="20"/>
  <c r="D1557" i="20"/>
  <c r="M54" i="20"/>
  <c r="J202" i="20"/>
  <c r="I582" i="20"/>
  <c r="H1258" i="20"/>
  <c r="H474" i="20"/>
  <c r="H1583" i="20"/>
  <c r="M599" i="20"/>
  <c r="K202" i="20"/>
  <c r="J1258" i="20"/>
  <c r="N474" i="20"/>
  <c r="G1583" i="20"/>
  <c r="K1583" i="20"/>
  <c r="O1583" i="20"/>
  <c r="E1583" i="20"/>
  <c r="F1583" i="20"/>
  <c r="P251" i="20"/>
  <c r="J1583" i="20"/>
  <c r="M1212" i="20"/>
  <c r="E720" i="20"/>
  <c r="K1212" i="20"/>
  <c r="E583" i="20"/>
  <c r="D58" i="20"/>
  <c r="P429" i="20"/>
  <c r="F114" i="20"/>
  <c r="P384" i="20"/>
  <c r="N307" i="20"/>
  <c r="N1154" i="20"/>
  <c r="I898" i="20"/>
  <c r="M286" i="20"/>
  <c r="G672" i="20"/>
  <c r="L54" i="20"/>
  <c r="I1479" i="20"/>
  <c r="I836" i="20"/>
  <c r="O866" i="20"/>
  <c r="J898" i="20"/>
  <c r="G581" i="20"/>
  <c r="J687" i="20"/>
  <c r="J1557" i="20"/>
  <c r="F687" i="20"/>
  <c r="D446" i="20"/>
  <c r="O118" i="20"/>
  <c r="N118" i="20"/>
  <c r="E118" i="20"/>
  <c r="G687" i="20"/>
  <c r="N1001" i="20"/>
  <c r="O1001" i="20"/>
  <c r="J1001" i="20"/>
  <c r="K1001" i="20"/>
  <c r="F1001" i="20"/>
  <c r="M1001" i="20"/>
  <c r="G1001" i="20"/>
  <c r="E1001" i="20"/>
  <c r="I1001" i="20"/>
  <c r="D1001" i="20"/>
  <c r="P766" i="20"/>
  <c r="D672" i="20"/>
  <c r="M496" i="20"/>
  <c r="E1019" i="20"/>
  <c r="D202" i="20"/>
  <c r="H1554" i="20"/>
  <c r="L1246" i="20"/>
  <c r="M1018" i="20"/>
  <c r="E669" i="20"/>
  <c r="K687" i="20"/>
  <c r="P1629" i="20"/>
  <c r="F1019" i="20"/>
  <c r="E202" i="20"/>
  <c r="J1554" i="20"/>
  <c r="F1246" i="20"/>
  <c r="G1515" i="20"/>
  <c r="N1018" i="20"/>
  <c r="F669" i="20"/>
  <c r="F894" i="20"/>
  <c r="H1572" i="20"/>
  <c r="L687" i="20"/>
  <c r="N533" i="20"/>
  <c r="L118" i="20"/>
  <c r="G1019" i="20"/>
  <c r="M687" i="20"/>
  <c r="O1093" i="20"/>
  <c r="L533" i="20"/>
  <c r="O1059" i="20"/>
  <c r="L1019" i="20"/>
  <c r="M1572" i="20"/>
  <c r="N1572" i="20"/>
  <c r="H624" i="20"/>
  <c r="N1017" i="20"/>
  <c r="I1407" i="20"/>
  <c r="O669" i="20"/>
  <c r="J624" i="20"/>
  <c r="G1005" i="20"/>
  <c r="C95" i="19"/>
  <c r="P1164" i="20"/>
  <c r="F533" i="20"/>
  <c r="F118" i="20"/>
  <c r="D450" i="20"/>
  <c r="F1154" i="20"/>
  <c r="H1241" i="20"/>
  <c r="F1407" i="20"/>
  <c r="D669" i="20"/>
  <c r="E1597" i="20"/>
  <c r="G1259" i="20"/>
  <c r="D714" i="20"/>
  <c r="D705" i="20"/>
  <c r="E705" i="20"/>
  <c r="E450" i="20"/>
  <c r="G1154" i="20"/>
  <c r="I1241" i="20"/>
  <c r="M1407" i="20"/>
  <c r="G669" i="20"/>
  <c r="K1597" i="20"/>
  <c r="E286" i="20"/>
  <c r="L1001" i="20"/>
  <c r="I705" i="20"/>
  <c r="F450" i="20"/>
  <c r="O836" i="20"/>
  <c r="H1154" i="20"/>
  <c r="J1241" i="20"/>
  <c r="F608" i="20"/>
  <c r="H1597" i="20"/>
  <c r="F1139" i="20"/>
  <c r="I608" i="20"/>
  <c r="G1149" i="20"/>
  <c r="K118" i="20"/>
  <c r="O1170" i="20"/>
  <c r="E1479" i="20"/>
  <c r="E836" i="20"/>
  <c r="L1154" i="20"/>
  <c r="O1241" i="20"/>
  <c r="F1597" i="20"/>
  <c r="K954" i="20"/>
  <c r="H118" i="20"/>
  <c r="H1479" i="20"/>
  <c r="F836" i="20"/>
  <c r="O1154" i="20"/>
  <c r="K1241" i="20"/>
  <c r="I1597" i="20"/>
  <c r="J954" i="20"/>
  <c r="O1134" i="20"/>
  <c r="M736" i="20"/>
  <c r="L206" i="20"/>
  <c r="E54" i="20"/>
  <c r="M307" i="20"/>
  <c r="J1154" i="20"/>
  <c r="D581" i="20"/>
  <c r="M1597" i="20"/>
  <c r="D1134" i="20"/>
  <c r="J118" i="20"/>
  <c r="O1557" i="20"/>
  <c r="M958" i="20"/>
  <c r="E307" i="20"/>
  <c r="H705" i="20"/>
  <c r="G307" i="20"/>
  <c r="M1241" i="20"/>
  <c r="N1261" i="20"/>
  <c r="G1407" i="20"/>
  <c r="H958" i="20"/>
  <c r="J1050" i="20"/>
  <c r="K705" i="20"/>
  <c r="M705" i="20"/>
  <c r="F1241" i="20"/>
  <c r="H202" i="20"/>
  <c r="K616" i="20"/>
  <c r="L705" i="20"/>
  <c r="G1241" i="20"/>
  <c r="I202" i="20"/>
  <c r="E285" i="20"/>
  <c r="K1404" i="20"/>
  <c r="E1557" i="20"/>
  <c r="N958" i="20"/>
  <c r="H1059" i="20"/>
  <c r="H1149" i="20"/>
  <c r="K688" i="20"/>
  <c r="K533" i="20"/>
  <c r="I736" i="20"/>
  <c r="F705" i="20"/>
  <c r="K1242" i="20"/>
  <c r="N1019" i="20"/>
  <c r="N1241" i="20"/>
  <c r="N202" i="20"/>
  <c r="F492" i="20"/>
  <c r="M1149" i="20"/>
  <c r="I533" i="20"/>
  <c r="O1572" i="20"/>
  <c r="G492" i="20"/>
  <c r="M1242" i="20"/>
  <c r="K1019" i="20"/>
  <c r="E1241" i="20"/>
  <c r="H492" i="20"/>
  <c r="G1572" i="20"/>
  <c r="H1093" i="20"/>
  <c r="L736" i="20"/>
  <c r="N492" i="20"/>
  <c r="D1242" i="20"/>
  <c r="K757" i="20"/>
  <c r="M608" i="20"/>
  <c r="J1246" i="20"/>
  <c r="E581" i="20"/>
  <c r="E1572" i="20"/>
  <c r="I802" i="20"/>
  <c r="N736" i="20"/>
  <c r="G736" i="20"/>
  <c r="F736" i="20"/>
  <c r="H1019" i="20"/>
  <c r="J1407" i="20"/>
  <c r="N1246" i="20"/>
  <c r="I581" i="20"/>
  <c r="M1139" i="20"/>
  <c r="F1572" i="20"/>
  <c r="J1139" i="20"/>
  <c r="L59" i="20"/>
  <c r="I1019" i="20"/>
  <c r="K1407" i="20"/>
  <c r="O1246" i="20"/>
  <c r="J581" i="20"/>
  <c r="D1139" i="20"/>
  <c r="I1572" i="20"/>
  <c r="N1093" i="20"/>
  <c r="J736" i="20"/>
  <c r="J1572" i="20"/>
  <c r="F1557" i="20"/>
  <c r="J533" i="20"/>
  <c r="L1407" i="20"/>
  <c r="D1246" i="20"/>
  <c r="K581" i="20"/>
  <c r="E1139" i="20"/>
  <c r="K307" i="20"/>
  <c r="N1407" i="20"/>
  <c r="O1587" i="20"/>
  <c r="L1572" i="20"/>
  <c r="L315" i="20"/>
  <c r="I1557" i="20"/>
  <c r="N1557" i="20"/>
  <c r="K1557" i="20"/>
  <c r="I1148" i="20"/>
  <c r="E521" i="20"/>
  <c r="E736" i="20"/>
  <c r="M1557" i="20"/>
  <c r="M1148" i="20"/>
  <c r="E1050" i="20"/>
  <c r="F1006" i="20"/>
  <c r="H206" i="20"/>
  <c r="D307" i="20"/>
  <c r="I1261" i="20"/>
  <c r="G1557" i="20"/>
  <c r="J958" i="20"/>
  <c r="F1050" i="20"/>
  <c r="K736" i="20"/>
  <c r="J206" i="20"/>
  <c r="I1212" i="20"/>
  <c r="L714" i="20"/>
  <c r="F1212" i="20"/>
  <c r="O714" i="20"/>
  <c r="H1557" i="20"/>
  <c r="H307" i="20"/>
  <c r="F72" i="20"/>
  <c r="K298" i="20"/>
  <c r="L958" i="20"/>
  <c r="N1050" i="20"/>
  <c r="E507" i="20"/>
  <c r="H736" i="20"/>
  <c r="H726" i="20" s="1"/>
  <c r="H714" i="20"/>
  <c r="E714" i="20"/>
  <c r="P1031" i="20"/>
  <c r="F1153" i="20"/>
  <c r="H157" i="20"/>
  <c r="I847" i="20"/>
  <c r="D614" i="20"/>
  <c r="M867" i="20"/>
  <c r="C156" i="20"/>
  <c r="G1558" i="20"/>
  <c r="E492" i="20"/>
  <c r="N847" i="20"/>
  <c r="N1597" i="20"/>
  <c r="K1486" i="20"/>
  <c r="E612" i="20"/>
  <c r="N157" i="20"/>
  <c r="H427" i="20"/>
  <c r="L172" i="20"/>
  <c r="P1464" i="20"/>
  <c r="M172" i="20"/>
  <c r="J172" i="20"/>
  <c r="P143" i="20"/>
  <c r="P386" i="20"/>
  <c r="G998" i="20"/>
  <c r="K998" i="20"/>
  <c r="F998" i="20"/>
  <c r="O998" i="20"/>
  <c r="E998" i="20"/>
  <c r="M998" i="20"/>
  <c r="H998" i="20"/>
  <c r="L998" i="20"/>
  <c r="D998" i="20"/>
  <c r="J998" i="20"/>
  <c r="I998" i="20"/>
  <c r="N998" i="20"/>
  <c r="G757" i="20"/>
  <c r="D427" i="20"/>
  <c r="L795" i="20"/>
  <c r="I554" i="20"/>
  <c r="G1597" i="20"/>
  <c r="D1569" i="20"/>
  <c r="N427" i="20"/>
  <c r="E427" i="20"/>
  <c r="F427" i="20"/>
  <c r="I427" i="20"/>
  <c r="E1027" i="20"/>
  <c r="F689" i="20"/>
  <c r="K1357" i="20"/>
  <c r="F1312" i="20"/>
  <c r="F1027" i="20"/>
  <c r="D1642" i="20"/>
  <c r="L1254" i="20"/>
  <c r="I97" i="20"/>
  <c r="L1357" i="20"/>
  <c r="D1537" i="20"/>
  <c r="K1027" i="20"/>
  <c r="J1642" i="20"/>
  <c r="E614" i="20"/>
  <c r="E1261" i="20"/>
  <c r="F1642" i="20"/>
  <c r="M97" i="20"/>
  <c r="I714" i="20"/>
  <c r="M914" i="20"/>
  <c r="K914" i="20"/>
  <c r="O914" i="20"/>
  <c r="G914" i="20"/>
  <c r="D914" i="20"/>
  <c r="I914" i="20"/>
  <c r="F914" i="20"/>
  <c r="L914" i="20"/>
  <c r="O1261" i="20"/>
  <c r="E1642" i="20"/>
  <c r="O97" i="20"/>
  <c r="L1257" i="20"/>
  <c r="D594" i="20"/>
  <c r="F614" i="20"/>
  <c r="G59" i="20"/>
  <c r="H1261" i="20"/>
  <c r="G1642" i="20"/>
  <c r="L688" i="20"/>
  <c r="C96" i="20"/>
  <c r="E533" i="20"/>
  <c r="K211" i="20"/>
  <c r="P147" i="20"/>
  <c r="L435" i="20"/>
  <c r="I1642" i="20"/>
  <c r="F97" i="20"/>
  <c r="S97" i="27"/>
  <c r="H614" i="20"/>
  <c r="M59" i="20"/>
  <c r="N435" i="20"/>
  <c r="K157" i="20"/>
  <c r="G1153" i="20"/>
  <c r="M1642" i="20"/>
  <c r="J614" i="20"/>
  <c r="I59" i="20"/>
  <c r="F435" i="20"/>
  <c r="G867" i="20"/>
  <c r="D68" i="20"/>
  <c r="D157" i="20"/>
  <c r="E847" i="20"/>
  <c r="G959" i="20"/>
  <c r="K614" i="20"/>
  <c r="J59" i="20"/>
  <c r="H435" i="20"/>
  <c r="H867" i="20"/>
  <c r="K68" i="20"/>
  <c r="E157" i="20"/>
  <c r="H608" i="20"/>
  <c r="G847" i="20"/>
  <c r="K959" i="20"/>
  <c r="O157" i="20"/>
  <c r="L614" i="20"/>
  <c r="O59" i="20"/>
  <c r="I867" i="20"/>
  <c r="O68" i="20"/>
  <c r="G157" i="20"/>
  <c r="H847" i="20"/>
  <c r="L959" i="20"/>
  <c r="D1597" i="20"/>
  <c r="O1229" i="20"/>
  <c r="F714" i="20"/>
  <c r="N914" i="20"/>
  <c r="K552" i="20"/>
  <c r="O1212" i="20"/>
  <c r="L1212" i="20"/>
  <c r="J1597" i="20"/>
  <c r="E1496" i="20"/>
  <c r="D1379" i="20"/>
  <c r="N714" i="20"/>
  <c r="M206" i="20"/>
  <c r="O206" i="20"/>
  <c r="N206" i="20"/>
  <c r="K206" i="20"/>
  <c r="G206" i="20"/>
  <c r="F206" i="20"/>
  <c r="D206" i="20"/>
  <c r="E206" i="20"/>
  <c r="N614" i="20"/>
  <c r="F1282" i="20"/>
  <c r="J157" i="20"/>
  <c r="J847" i="20"/>
  <c r="M1282" i="20"/>
  <c r="M157" i="20"/>
  <c r="D492" i="20"/>
  <c r="K847" i="20"/>
  <c r="N596" i="20"/>
  <c r="D736" i="20"/>
  <c r="H1350" i="20"/>
  <c r="N1350" i="20"/>
  <c r="O1350" i="20"/>
  <c r="J1350" i="20"/>
  <c r="F1350" i="20"/>
  <c r="M1350" i="20"/>
  <c r="K1350" i="20"/>
  <c r="I1350" i="20"/>
  <c r="G1350" i="20"/>
  <c r="E1350" i="20"/>
  <c r="D1350" i="20"/>
  <c r="L1350" i="20"/>
  <c r="F150" i="20"/>
  <c r="F141" i="20" s="1"/>
  <c r="K1282" i="20"/>
  <c r="N297" i="20"/>
  <c r="M689" i="20"/>
  <c r="I1017" i="20"/>
  <c r="N594" i="20"/>
  <c r="I489" i="20"/>
  <c r="L612" i="20"/>
  <c r="D1257" i="20"/>
  <c r="J58" i="20"/>
  <c r="O594" i="20"/>
  <c r="J489" i="20"/>
  <c r="L1282" i="20"/>
  <c r="L757" i="20"/>
  <c r="O795" i="20"/>
  <c r="O297" i="20"/>
  <c r="J959" i="20"/>
  <c r="N689" i="20"/>
  <c r="J1017" i="20"/>
  <c r="O612" i="20"/>
  <c r="E1257" i="20"/>
  <c r="L58" i="20"/>
  <c r="F1093" i="20"/>
  <c r="F103" i="20"/>
  <c r="D297" i="20"/>
  <c r="D689" i="20"/>
  <c r="K1017" i="20"/>
  <c r="D612" i="20"/>
  <c r="H1257" i="20"/>
  <c r="M58" i="20"/>
  <c r="E758" i="20"/>
  <c r="M489" i="20"/>
  <c r="N1282" i="20"/>
  <c r="K150" i="20"/>
  <c r="K141" i="20" s="1"/>
  <c r="F297" i="20"/>
  <c r="E689" i="20"/>
  <c r="O1017" i="20"/>
  <c r="E297" i="20"/>
  <c r="G689" i="20"/>
  <c r="O765" i="20"/>
  <c r="F1646" i="20"/>
  <c r="I1646" i="20"/>
  <c r="E1646" i="20"/>
  <c r="N1646" i="20"/>
  <c r="M1646" i="20"/>
  <c r="O1646" i="20"/>
  <c r="L1646" i="20"/>
  <c r="H1646" i="20"/>
  <c r="G1646" i="20"/>
  <c r="K1646" i="20"/>
  <c r="D1646" i="20"/>
  <c r="J1646" i="20"/>
  <c r="H1556" i="20"/>
  <c r="G150" i="20"/>
  <c r="G141" i="20" s="1"/>
  <c r="I404" i="20"/>
  <c r="K1327" i="20"/>
  <c r="H404" i="20"/>
  <c r="D1282" i="20"/>
  <c r="I1327" i="20"/>
  <c r="G297" i="20"/>
  <c r="E489" i="20"/>
  <c r="E1282" i="20"/>
  <c r="M1556" i="20"/>
  <c r="H150" i="20"/>
  <c r="H765" i="20"/>
  <c r="K404" i="20"/>
  <c r="H1282" i="20"/>
  <c r="F1556" i="20"/>
  <c r="D1261" i="20"/>
  <c r="L150" i="20"/>
  <c r="G877" i="20"/>
  <c r="L1327" i="20"/>
  <c r="I297" i="20"/>
  <c r="K689" i="20"/>
  <c r="I765" i="20"/>
  <c r="H879" i="20"/>
  <c r="D1059" i="20"/>
  <c r="H297" i="20"/>
  <c r="I689" i="20"/>
  <c r="O758" i="20"/>
  <c r="L404" i="20"/>
  <c r="J1282" i="20"/>
  <c r="G1261" i="20"/>
  <c r="M150" i="20"/>
  <c r="M141" i="20" s="1"/>
  <c r="H877" i="20"/>
  <c r="O1327" i="20"/>
  <c r="O689" i="20"/>
  <c r="K765" i="20"/>
  <c r="F1222" i="20"/>
  <c r="F1244" i="20"/>
  <c r="M404" i="20"/>
  <c r="I1282" i="20"/>
  <c r="J1261" i="20"/>
  <c r="N150" i="20"/>
  <c r="J877" i="20"/>
  <c r="D1327" i="20"/>
  <c r="E735" i="20"/>
  <c r="E726" i="20" s="1"/>
  <c r="L765" i="20"/>
  <c r="O1244" i="20"/>
  <c r="O1282" i="20"/>
  <c r="O150" i="20"/>
  <c r="E1327" i="20"/>
  <c r="O735" i="20"/>
  <c r="M765" i="20"/>
  <c r="I684" i="20"/>
  <c r="O284" i="20"/>
  <c r="D376" i="20"/>
  <c r="O489" i="20"/>
  <c r="N404" i="20"/>
  <c r="D735" i="20"/>
  <c r="O1222" i="20"/>
  <c r="J684" i="20"/>
  <c r="O404" i="20"/>
  <c r="D150" i="20"/>
  <c r="D141" i="20" s="1"/>
  <c r="F1327" i="20"/>
  <c r="I1559" i="20"/>
  <c r="D404" i="20"/>
  <c r="F1261" i="20"/>
  <c r="E150" i="20"/>
  <c r="E141" i="20" s="1"/>
  <c r="F877" i="20"/>
  <c r="J1327" i="20"/>
  <c r="L1559" i="20"/>
  <c r="F735" i="20"/>
  <c r="F726" i="20" s="1"/>
  <c r="D97" i="20"/>
  <c r="G1568" i="20"/>
  <c r="H1222" i="20"/>
  <c r="M758" i="20"/>
  <c r="M1327" i="20"/>
  <c r="L758" i="20"/>
  <c r="F404" i="20"/>
  <c r="I150" i="20"/>
  <c r="G1327" i="20"/>
  <c r="F1559" i="20"/>
  <c r="N601" i="20"/>
  <c r="J735" i="20"/>
  <c r="J726" i="20" s="1"/>
  <c r="E1568" i="20"/>
  <c r="P1167" i="20"/>
  <c r="G404" i="20"/>
  <c r="N1327" i="20"/>
  <c r="J1559" i="20"/>
  <c r="O601" i="20"/>
  <c r="M735" i="20"/>
  <c r="F1568" i="20"/>
  <c r="P129" i="20"/>
  <c r="N735" i="20"/>
  <c r="N726" i="20" s="1"/>
  <c r="I1568" i="20"/>
  <c r="K1559" i="20"/>
  <c r="D601" i="20"/>
  <c r="M1559" i="20"/>
  <c r="E601" i="20"/>
  <c r="D1017" i="20"/>
  <c r="H97" i="20"/>
  <c r="K1568" i="20"/>
  <c r="N1222" i="20"/>
  <c r="E114" i="20"/>
  <c r="P133" i="20"/>
  <c r="P281" i="20"/>
  <c r="P1631" i="20"/>
  <c r="E1559" i="20"/>
  <c r="E464" i="20"/>
  <c r="O1559" i="20"/>
  <c r="F601" i="20"/>
  <c r="L1017" i="20"/>
  <c r="K97" i="20"/>
  <c r="N1357" i="20"/>
  <c r="L1568" i="20"/>
  <c r="F58" i="20"/>
  <c r="D1222" i="20"/>
  <c r="D489" i="20"/>
  <c r="D1559" i="20"/>
  <c r="M1017" i="20"/>
  <c r="G612" i="20"/>
  <c r="L97" i="20"/>
  <c r="O1357" i="20"/>
  <c r="J1568" i="20"/>
  <c r="H58" i="20"/>
  <c r="D879" i="20"/>
  <c r="P191" i="20"/>
  <c r="J297" i="20"/>
  <c r="E1017" i="20"/>
  <c r="H612" i="20"/>
  <c r="M1568" i="20"/>
  <c r="I58" i="20"/>
  <c r="P1346" i="20"/>
  <c r="P1272" i="20"/>
  <c r="G464" i="20"/>
  <c r="F1017" i="20"/>
  <c r="N1568" i="20"/>
  <c r="N58" i="20"/>
  <c r="P148" i="20"/>
  <c r="P1269" i="20"/>
  <c r="P149" i="20"/>
  <c r="E404" i="20"/>
  <c r="M601" i="20"/>
  <c r="F489" i="20"/>
  <c r="G489" i="20"/>
  <c r="L297" i="20"/>
  <c r="H689" i="20"/>
  <c r="G1017" i="20"/>
  <c r="J612" i="20"/>
  <c r="N97" i="20"/>
  <c r="D1568" i="20"/>
  <c r="O58" i="20"/>
  <c r="D986" i="20"/>
  <c r="S90" i="27"/>
  <c r="I735" i="20"/>
  <c r="O1568" i="20"/>
  <c r="G1559" i="20"/>
  <c r="H1559" i="20"/>
  <c r="K297" i="20"/>
  <c r="I612" i="20"/>
  <c r="K59" i="20"/>
  <c r="N489" i="20"/>
  <c r="H757" i="20"/>
  <c r="N59" i="20"/>
  <c r="I757" i="20"/>
  <c r="O492" i="20"/>
  <c r="D898" i="20"/>
  <c r="M795" i="20"/>
  <c r="L689" i="20"/>
  <c r="K612" i="20"/>
  <c r="M1257" i="20"/>
  <c r="G58" i="20"/>
  <c r="F376" i="20"/>
  <c r="K270" i="20"/>
  <c r="O270" i="20"/>
  <c r="N270" i="20"/>
  <c r="M270" i="20"/>
  <c r="L270" i="20"/>
  <c r="H270" i="20"/>
  <c r="G270" i="20"/>
  <c r="F270" i="20"/>
  <c r="E270" i="20"/>
  <c r="D270" i="20"/>
  <c r="I459" i="20"/>
  <c r="O945" i="20"/>
  <c r="J1601" i="20"/>
  <c r="H1695" i="20"/>
  <c r="D1170" i="20"/>
  <c r="F584" i="20"/>
  <c r="E866" i="20"/>
  <c r="I1406" i="20"/>
  <c r="F210" i="20"/>
  <c r="E668" i="20"/>
  <c r="O953" i="20"/>
  <c r="D945" i="20"/>
  <c r="H1576" i="20"/>
  <c r="L72" i="20"/>
  <c r="L1447" i="20"/>
  <c r="F1391" i="20"/>
  <c r="D1483" i="20"/>
  <c r="F1229" i="20"/>
  <c r="I584" i="20"/>
  <c r="M1406" i="20"/>
  <c r="I1665" i="20"/>
  <c r="M668" i="20"/>
  <c r="F953" i="20"/>
  <c r="G1403" i="20"/>
  <c r="I56" i="20"/>
  <c r="O1483" i="20"/>
  <c r="E446" i="20"/>
  <c r="K1527" i="20"/>
  <c r="M1483" i="20"/>
  <c r="K1125" i="20"/>
  <c r="M1002" i="20"/>
  <c r="O593" i="20"/>
  <c r="E1170" i="20"/>
  <c r="L584" i="20"/>
  <c r="G165" i="20"/>
  <c r="K894" i="20"/>
  <c r="O1403" i="20"/>
  <c r="I1483" i="20"/>
  <c r="J57" i="20"/>
  <c r="F637" i="20"/>
  <c r="M1253" i="20"/>
  <c r="O879" i="20"/>
  <c r="L928" i="20"/>
  <c r="N839" i="20"/>
  <c r="H1406" i="20"/>
  <c r="D367" i="20"/>
  <c r="O839" i="20"/>
  <c r="F59" i="20"/>
  <c r="D593" i="20"/>
  <c r="E869" i="20"/>
  <c r="F1170" i="20"/>
  <c r="F613" i="20"/>
  <c r="M1261" i="20"/>
  <c r="E491" i="20"/>
  <c r="O165" i="20"/>
  <c r="L894" i="20"/>
  <c r="K322" i="20"/>
  <c r="D1403" i="20"/>
  <c r="E367" i="20"/>
  <c r="J1483" i="20"/>
  <c r="K57" i="20"/>
  <c r="G637" i="20"/>
  <c r="N1253" i="20"/>
  <c r="D686" i="20"/>
  <c r="D839" i="20"/>
  <c r="E593" i="20"/>
  <c r="F869" i="20"/>
  <c r="H1170" i="20"/>
  <c r="G613" i="20"/>
  <c r="L491" i="20"/>
  <c r="H165" i="20"/>
  <c r="L322" i="20"/>
  <c r="F1403" i="20"/>
  <c r="K367" i="20"/>
  <c r="F1483" i="20"/>
  <c r="E57" i="20"/>
  <c r="H637" i="20"/>
  <c r="O1253" i="20"/>
  <c r="E686" i="20"/>
  <c r="J1421" i="20"/>
  <c r="E839" i="20"/>
  <c r="F593" i="20"/>
  <c r="H869" i="20"/>
  <c r="I1170" i="20"/>
  <c r="D491" i="20"/>
  <c r="I165" i="20"/>
  <c r="M322" i="20"/>
  <c r="I1403" i="20"/>
  <c r="L367" i="20"/>
  <c r="D375" i="20"/>
  <c r="L1483" i="20"/>
  <c r="I57" i="20"/>
  <c r="I637" i="20"/>
  <c r="E1253" i="20"/>
  <c r="G686" i="20"/>
  <c r="I1178" i="20"/>
  <c r="G871" i="20"/>
  <c r="G593" i="20"/>
  <c r="L1170" i="20"/>
  <c r="F491" i="20"/>
  <c r="J165" i="20"/>
  <c r="N322" i="20"/>
  <c r="M1403" i="20"/>
  <c r="N367" i="20"/>
  <c r="I375" i="20"/>
  <c r="L57" i="20"/>
  <c r="K637" i="20"/>
  <c r="G1253" i="20"/>
  <c r="H686" i="20"/>
  <c r="J1229" i="20"/>
  <c r="E1016" i="20"/>
  <c r="G839" i="20"/>
  <c r="H593" i="20"/>
  <c r="E834" i="20"/>
  <c r="F1492" i="20"/>
  <c r="M1016" i="20"/>
  <c r="G491" i="20"/>
  <c r="K165" i="20"/>
  <c r="O322" i="20"/>
  <c r="F398" i="20"/>
  <c r="N1403" i="20"/>
  <c r="O367" i="20"/>
  <c r="L637" i="20"/>
  <c r="O345" i="20"/>
  <c r="H1253" i="20"/>
  <c r="G1138" i="20"/>
  <c r="N686" i="20"/>
  <c r="J1061" i="20"/>
  <c r="N1016" i="20"/>
  <c r="H491" i="20"/>
  <c r="L165" i="20"/>
  <c r="D322" i="20"/>
  <c r="G398" i="20"/>
  <c r="E1403" i="20"/>
  <c r="F367" i="20"/>
  <c r="M637" i="20"/>
  <c r="H1138" i="20"/>
  <c r="I1527" i="20"/>
  <c r="P1273" i="20"/>
  <c r="I1492" i="20"/>
  <c r="G834" i="20"/>
  <c r="H834" i="20"/>
  <c r="N609" i="20"/>
  <c r="J352" i="20"/>
  <c r="G1016" i="20"/>
  <c r="J491" i="20"/>
  <c r="N165" i="20"/>
  <c r="E945" i="20"/>
  <c r="J1576" i="20"/>
  <c r="F322" i="20"/>
  <c r="K1403" i="20"/>
  <c r="H367" i="20"/>
  <c r="E1447" i="20"/>
  <c r="H1710" i="20"/>
  <c r="D1253" i="20"/>
  <c r="J1138" i="20"/>
  <c r="G549" i="20"/>
  <c r="C108" i="19"/>
  <c r="K879" i="20"/>
  <c r="F1016" i="20"/>
  <c r="M165" i="20"/>
  <c r="G367" i="20"/>
  <c r="K1576" i="20"/>
  <c r="I367" i="20"/>
  <c r="J1253" i="20"/>
  <c r="I491" i="20"/>
  <c r="K593" i="20"/>
  <c r="L593" i="20"/>
  <c r="N352" i="20"/>
  <c r="E165" i="20"/>
  <c r="F945" i="20"/>
  <c r="E1455" i="20"/>
  <c r="G1447" i="20"/>
  <c r="D1710" i="20"/>
  <c r="K1138" i="20"/>
  <c r="M593" i="20"/>
  <c r="K481" i="20"/>
  <c r="J834" i="20"/>
  <c r="E609" i="20"/>
  <c r="K1154" i="20"/>
  <c r="O674" i="20"/>
  <c r="H210" i="20"/>
  <c r="I1016" i="20"/>
  <c r="D668" i="20"/>
  <c r="I877" i="20"/>
  <c r="F795" i="20"/>
  <c r="M491" i="20"/>
  <c r="K554" i="20"/>
  <c r="D1394" i="20"/>
  <c r="G945" i="20"/>
  <c r="O1455" i="20"/>
  <c r="D1576" i="20"/>
  <c r="J367" i="20"/>
  <c r="E548" i="20"/>
  <c r="H1447" i="20"/>
  <c r="G1148" i="20"/>
  <c r="D957" i="20"/>
  <c r="L1138" i="20"/>
  <c r="J549" i="20"/>
  <c r="F793" i="20"/>
  <c r="E1178" i="20"/>
  <c r="K839" i="20"/>
  <c r="I834" i="20"/>
  <c r="K491" i="20"/>
  <c r="K834" i="20"/>
  <c r="F609" i="20"/>
  <c r="I945" i="20"/>
  <c r="J1455" i="20"/>
  <c r="G1576" i="20"/>
  <c r="E957" i="20"/>
  <c r="M1138" i="20"/>
  <c r="H1196" i="20"/>
  <c r="N1178" i="20"/>
  <c r="J1710" i="20"/>
  <c r="O637" i="20"/>
  <c r="I1138" i="20"/>
  <c r="G674" i="20"/>
  <c r="I210" i="20"/>
  <c r="F668" i="20"/>
  <c r="N491" i="20"/>
  <c r="J1394" i="20"/>
  <c r="K1447" i="20"/>
  <c r="H105" i="20"/>
  <c r="L834" i="20"/>
  <c r="G609" i="20"/>
  <c r="E1154" i="20"/>
  <c r="J1102" i="20"/>
  <c r="J210" i="20"/>
  <c r="K1016" i="20"/>
  <c r="G668" i="20"/>
  <c r="K877" i="20"/>
  <c r="I795" i="20"/>
  <c r="O554" i="20"/>
  <c r="L1394" i="20"/>
  <c r="D953" i="20"/>
  <c r="K945" i="20"/>
  <c r="O1576" i="20"/>
  <c r="D598" i="20"/>
  <c r="G548" i="20"/>
  <c r="M1447" i="20"/>
  <c r="F957" i="20"/>
  <c r="N1138" i="20"/>
  <c r="L549" i="20"/>
  <c r="F1199" i="20"/>
  <c r="D1229" i="20"/>
  <c r="O211" i="20"/>
  <c r="E211" i="20"/>
  <c r="N211" i="20"/>
  <c r="L211" i="20"/>
  <c r="H211" i="20"/>
  <c r="F211" i="20"/>
  <c r="G211" i="20"/>
  <c r="D211" i="20"/>
  <c r="M211" i="20"/>
  <c r="D609" i="20"/>
  <c r="H1016" i="20"/>
  <c r="L481" i="20"/>
  <c r="J1016" i="20"/>
  <c r="K435" i="20"/>
  <c r="F463" i="20"/>
  <c r="M584" i="20"/>
  <c r="D105" i="20"/>
  <c r="M834" i="20"/>
  <c r="H609" i="20"/>
  <c r="D1406" i="20"/>
  <c r="K1102" i="20"/>
  <c r="K210" i="20"/>
  <c r="L1016" i="20"/>
  <c r="J668" i="20"/>
  <c r="L877" i="20"/>
  <c r="D554" i="20"/>
  <c r="M1394" i="20"/>
  <c r="H953" i="20"/>
  <c r="L945" i="20"/>
  <c r="I1576" i="20"/>
  <c r="H598" i="20"/>
  <c r="H548" i="20"/>
  <c r="N1447" i="20"/>
  <c r="L957" i="20"/>
  <c r="O1138" i="20"/>
  <c r="M549" i="20"/>
  <c r="D1724" i="20"/>
  <c r="D254" i="20"/>
  <c r="F286" i="20"/>
  <c r="G286" i="20"/>
  <c r="L286" i="20"/>
  <c r="D286" i="20"/>
  <c r="O286" i="20"/>
  <c r="N286" i="20"/>
  <c r="K286" i="20"/>
  <c r="J286" i="20"/>
  <c r="H286" i="20"/>
  <c r="N584" i="20"/>
  <c r="E105" i="20"/>
  <c r="G1408" i="20"/>
  <c r="N834" i="20"/>
  <c r="L1406" i="20"/>
  <c r="L210" i="20"/>
  <c r="O1016" i="20"/>
  <c r="K668" i="20"/>
  <c r="M877" i="20"/>
  <c r="I953" i="20"/>
  <c r="M945" i="20"/>
  <c r="M1576" i="20"/>
  <c r="I548" i="20"/>
  <c r="O1447" i="20"/>
  <c r="I957" i="20"/>
  <c r="D1138" i="20"/>
  <c r="H1454" i="20"/>
  <c r="C23" i="19"/>
  <c r="S18" i="27"/>
  <c r="AA18" i="27" s="1"/>
  <c r="N1492" i="20"/>
  <c r="F1447" i="20"/>
  <c r="J473" i="20"/>
  <c r="N957" i="20"/>
  <c r="E1138" i="20"/>
  <c r="L1229" i="20"/>
  <c r="I1493" i="20"/>
  <c r="E322" i="20"/>
  <c r="O584" i="20"/>
  <c r="F105" i="20"/>
  <c r="J1408" i="20"/>
  <c r="O834" i="20"/>
  <c r="O1406" i="20"/>
  <c r="N210" i="20"/>
  <c r="L668" i="20"/>
  <c r="J953" i="20"/>
  <c r="J945" i="20"/>
  <c r="N1576" i="20"/>
  <c r="I105" i="20"/>
  <c r="M1408" i="20"/>
  <c r="O757" i="20"/>
  <c r="G866" i="20"/>
  <c r="O210" i="20"/>
  <c r="D1515" i="20"/>
  <c r="D877" i="20"/>
  <c r="L473" i="20"/>
  <c r="G957" i="20"/>
  <c r="F1724" i="20"/>
  <c r="J1059" i="20"/>
  <c r="H403" i="20"/>
  <c r="K1042" i="20"/>
  <c r="G1200" i="20"/>
  <c r="O466" i="20"/>
  <c r="M749" i="20"/>
  <c r="G1091" i="20"/>
  <c r="O1005" i="20"/>
  <c r="I73" i="20"/>
  <c r="P1306" i="20"/>
  <c r="I1200" i="20"/>
  <c r="N296" i="20"/>
  <c r="N1005" i="20"/>
  <c r="E1537" i="20"/>
  <c r="K73" i="20"/>
  <c r="J466" i="20"/>
  <c r="F1644" i="20"/>
  <c r="N1091" i="20"/>
  <c r="D54" i="20"/>
  <c r="J1200" i="20"/>
  <c r="F1005" i="20"/>
  <c r="H954" i="20"/>
  <c r="O1537" i="20"/>
  <c r="L599" i="20"/>
  <c r="K466" i="20"/>
  <c r="H913" i="20"/>
  <c r="K1421" i="20"/>
  <c r="H1005" i="20"/>
  <c r="O954" i="20"/>
  <c r="I1537" i="20"/>
  <c r="E599" i="20"/>
  <c r="M466" i="20"/>
  <c r="M1200" i="20"/>
  <c r="O352" i="20"/>
  <c r="D1200" i="20"/>
  <c r="J1005" i="20"/>
  <c r="G954" i="20"/>
  <c r="L1537" i="20"/>
  <c r="N466" i="20"/>
  <c r="O1379" i="20"/>
  <c r="K1005" i="20"/>
  <c r="D954" i="20"/>
  <c r="D466" i="20"/>
  <c r="L913" i="20"/>
  <c r="H54" i="20"/>
  <c r="J54" i="20"/>
  <c r="K54" i="20"/>
  <c r="G352" i="20"/>
  <c r="O1141" i="20"/>
  <c r="N54" i="20"/>
  <c r="O307" i="20"/>
  <c r="H352" i="20"/>
  <c r="D608" i="20"/>
  <c r="M1587" i="20"/>
  <c r="L1005" i="20"/>
  <c r="E954" i="20"/>
  <c r="F1569" i="20"/>
  <c r="K913" i="20"/>
  <c r="K1091" i="20"/>
  <c r="P1499" i="20"/>
  <c r="P339" i="20"/>
  <c r="P1466" i="20"/>
  <c r="E298" i="20"/>
  <c r="F54" i="20"/>
  <c r="H866" i="20"/>
  <c r="K352" i="20"/>
  <c r="M294" i="20"/>
  <c r="G54" i="20"/>
  <c r="J866" i="20"/>
  <c r="M352" i="20"/>
  <c r="E1569" i="20"/>
  <c r="I1541" i="20"/>
  <c r="D533" i="20"/>
  <c r="J1091" i="20"/>
  <c r="K866" i="20"/>
  <c r="C351" i="20"/>
  <c r="K1591" i="20"/>
  <c r="D866" i="20"/>
  <c r="N1254" i="20"/>
  <c r="G1569" i="20"/>
  <c r="F866" i="20"/>
  <c r="I1042" i="20"/>
  <c r="E1486" i="20"/>
  <c r="F1254" i="20"/>
  <c r="J913" i="20"/>
  <c r="I1091" i="20"/>
  <c r="G294" i="20"/>
  <c r="M403" i="20"/>
  <c r="H294" i="20"/>
  <c r="N403" i="20"/>
  <c r="N1042" i="20"/>
  <c r="H1486" i="20"/>
  <c r="G1254" i="20"/>
  <c r="M1379" i="20"/>
  <c r="D114" i="20"/>
  <c r="P568" i="20"/>
  <c r="I294" i="20"/>
  <c r="O403" i="20"/>
  <c r="O1042" i="20"/>
  <c r="H1254" i="20"/>
  <c r="I988" i="20"/>
  <c r="D1042" i="20"/>
  <c r="L1486" i="20"/>
  <c r="J1254" i="20"/>
  <c r="I403" i="20"/>
  <c r="K294" i="20"/>
  <c r="E1042" i="20"/>
  <c r="K1200" i="20"/>
  <c r="M1588" i="20"/>
  <c r="F189" i="20"/>
  <c r="D1091" i="20"/>
  <c r="E1616" i="20"/>
  <c r="P1514" i="20"/>
  <c r="P1677" i="20"/>
  <c r="J403" i="20"/>
  <c r="L294" i="20"/>
  <c r="L403" i="20"/>
  <c r="F1042" i="20"/>
  <c r="N1200" i="20"/>
  <c r="J1486" i="20"/>
  <c r="M1254" i="20"/>
  <c r="F466" i="20"/>
  <c r="J1494" i="20"/>
  <c r="H533" i="20"/>
  <c r="M114" i="20"/>
  <c r="G1042" i="20"/>
  <c r="G403" i="20"/>
  <c r="H1042" i="20"/>
  <c r="F1200" i="20"/>
  <c r="N1486" i="20"/>
  <c r="I1254" i="20"/>
  <c r="D1093" i="20"/>
  <c r="J114" i="20"/>
  <c r="E1335" i="20"/>
  <c r="L1335" i="20"/>
  <c r="H1335" i="20"/>
  <c r="K459" i="20"/>
  <c r="H871" i="20"/>
  <c r="J688" i="20"/>
  <c r="M1125" i="20"/>
  <c r="D1013" i="20"/>
  <c r="H924" i="20"/>
  <c r="O1152" i="20"/>
  <c r="H1125" i="20"/>
  <c r="N522" i="20"/>
  <c r="N702" i="20"/>
  <c r="D626" i="20"/>
  <c r="J871" i="20"/>
  <c r="D1152" i="20"/>
  <c r="E626" i="20"/>
  <c r="J1230" i="20"/>
  <c r="F626" i="20"/>
  <c r="K896" i="20"/>
  <c r="O1230" i="20"/>
  <c r="G810" i="20"/>
  <c r="K871" i="20"/>
  <c r="D688" i="20"/>
  <c r="F958" i="20"/>
  <c r="N822" i="20"/>
  <c r="M241" i="20"/>
  <c r="M1230" i="20"/>
  <c r="H810" i="20"/>
  <c r="L871" i="20"/>
  <c r="M1133" i="20"/>
  <c r="H626" i="20"/>
  <c r="M896" i="20"/>
  <c r="N1230" i="20"/>
  <c r="I810" i="20"/>
  <c r="M871" i="20"/>
  <c r="M1496" i="20"/>
  <c r="I871" i="20"/>
  <c r="L1133" i="20"/>
  <c r="L896" i="20"/>
  <c r="J810" i="20"/>
  <c r="G896" i="20"/>
  <c r="G1139" i="20"/>
  <c r="L596" i="20"/>
  <c r="M967" i="20"/>
  <c r="E1006" i="20"/>
  <c r="F1094" i="20"/>
  <c r="P927" i="20"/>
  <c r="P444" i="20"/>
  <c r="P311" i="20"/>
  <c r="P1289" i="20"/>
  <c r="I1230" i="20"/>
  <c r="G626" i="20"/>
  <c r="N1133" i="20"/>
  <c r="K626" i="20"/>
  <c r="N896" i="20"/>
  <c r="E1230" i="20"/>
  <c r="O1133" i="20"/>
  <c r="D352" i="20"/>
  <c r="E1665" i="20"/>
  <c r="K810" i="20"/>
  <c r="D1133" i="20"/>
  <c r="I157" i="20"/>
  <c r="F352" i="20"/>
  <c r="O1665" i="20"/>
  <c r="L810" i="20"/>
  <c r="I1139" i="20"/>
  <c r="G72" i="20"/>
  <c r="M596" i="20"/>
  <c r="N967" i="20"/>
  <c r="G879" i="20"/>
  <c r="G764" i="20"/>
  <c r="E522" i="20"/>
  <c r="O1193" i="20"/>
  <c r="E1133" i="20"/>
  <c r="M810" i="20"/>
  <c r="O967" i="20"/>
  <c r="P1693" i="20"/>
  <c r="P1223" i="20"/>
  <c r="P1092" i="20"/>
  <c r="P342" i="20"/>
  <c r="P269" i="20"/>
  <c r="P1126" i="20"/>
  <c r="P731" i="20"/>
  <c r="P1214" i="20"/>
  <c r="H1133" i="20"/>
  <c r="I1589" i="20"/>
  <c r="N810" i="20"/>
  <c r="O596" i="20"/>
  <c r="H195" i="20"/>
  <c r="D967" i="20"/>
  <c r="P179" i="20"/>
  <c r="P1274" i="20"/>
  <c r="I1133" i="20"/>
  <c r="G1589" i="20"/>
  <c r="I352" i="20"/>
  <c r="O810" i="20"/>
  <c r="O1139" i="20"/>
  <c r="G596" i="20"/>
  <c r="K195" i="20"/>
  <c r="H967" i="20"/>
  <c r="J1441" i="20"/>
  <c r="L822" i="20"/>
  <c r="P1526" i="20"/>
  <c r="P414" i="20"/>
  <c r="M1589" i="20"/>
  <c r="E399" i="20"/>
  <c r="D810" i="20"/>
  <c r="L195" i="20"/>
  <c r="P931" i="20"/>
  <c r="P102" i="20"/>
  <c r="N114" i="20"/>
  <c r="P779" i="20"/>
  <c r="P1508" i="20"/>
  <c r="P1516" i="20"/>
  <c r="P1453" i="20"/>
  <c r="P283" i="20"/>
  <c r="P1468" i="20"/>
  <c r="P132" i="20"/>
  <c r="P359" i="20"/>
  <c r="P1063" i="20"/>
  <c r="P1118" i="20"/>
  <c r="P1617" i="20"/>
  <c r="L459" i="20"/>
  <c r="F810" i="20"/>
  <c r="H172" i="20"/>
  <c r="M1027" i="20"/>
  <c r="I298" i="20"/>
  <c r="L1149" i="20"/>
  <c r="H1148" i="20"/>
  <c r="G1050" i="20"/>
  <c r="N195" i="20"/>
  <c r="L114" i="20"/>
  <c r="O1695" i="20"/>
  <c r="M399" i="20"/>
  <c r="M459" i="20"/>
  <c r="J298" i="20"/>
  <c r="I1050" i="20"/>
  <c r="O195" i="20"/>
  <c r="N911" i="20"/>
  <c r="G1644" i="20"/>
  <c r="I114" i="20"/>
  <c r="G399" i="20"/>
  <c r="N459" i="20"/>
  <c r="D195" i="20"/>
  <c r="J991" i="20"/>
  <c r="P1606" i="20"/>
  <c r="P1316" i="20"/>
  <c r="P188" i="20"/>
  <c r="M1421" i="20"/>
  <c r="O1421" i="20"/>
  <c r="D1421" i="20"/>
  <c r="I1421" i="20"/>
  <c r="H1421" i="20"/>
  <c r="G1421" i="20"/>
  <c r="F1421" i="20"/>
  <c r="E1421" i="20"/>
  <c r="L1421" i="20"/>
  <c r="F1695" i="20"/>
  <c r="F399" i="20"/>
  <c r="N399" i="20"/>
  <c r="D1695" i="20"/>
  <c r="I866" i="20"/>
  <c r="E352" i="20"/>
  <c r="D399" i="20"/>
  <c r="O459" i="20"/>
  <c r="D1153" i="20"/>
  <c r="N172" i="20"/>
  <c r="G1027" i="20"/>
  <c r="L1642" i="20"/>
  <c r="L298" i="20"/>
  <c r="D1148" i="20"/>
  <c r="L1050" i="20"/>
  <c r="F686" i="20"/>
  <c r="E195" i="20"/>
  <c r="K1441" i="20"/>
  <c r="P1288" i="20"/>
  <c r="J459" i="20"/>
  <c r="K399" i="20"/>
  <c r="D459" i="20"/>
  <c r="N871" i="20"/>
  <c r="E1153" i="20"/>
  <c r="O172" i="20"/>
  <c r="I1027" i="20"/>
  <c r="N1642" i="20"/>
  <c r="N298" i="20"/>
  <c r="E1148" i="20"/>
  <c r="M1050" i="20"/>
  <c r="F195" i="20"/>
  <c r="J226" i="20"/>
  <c r="J98" i="20"/>
  <c r="S89" i="27"/>
  <c r="AA89" i="27" s="1"/>
  <c r="P1467" i="20"/>
  <c r="P571" i="20"/>
  <c r="P747" i="20"/>
  <c r="P256" i="20"/>
  <c r="J1133" i="20"/>
  <c r="F53" i="20"/>
  <c r="J1695" i="20"/>
  <c r="E459" i="20"/>
  <c r="E477" i="20"/>
  <c r="G195" i="20"/>
  <c r="O1644" i="20"/>
  <c r="P1529" i="20"/>
  <c r="P733" i="20"/>
  <c r="M195" i="20"/>
  <c r="J53" i="20"/>
  <c r="K1695" i="20"/>
  <c r="L866" i="20"/>
  <c r="F459" i="20"/>
  <c r="D871" i="20"/>
  <c r="L554" i="20"/>
  <c r="H1153" i="20"/>
  <c r="E172" i="20"/>
  <c r="H1642" i="20"/>
  <c r="F298" i="20"/>
  <c r="D477" i="20"/>
  <c r="D958" i="20"/>
  <c r="O1050" i="20"/>
  <c r="M957" i="20"/>
  <c r="I195" i="20"/>
  <c r="I186" i="20" s="1"/>
  <c r="G656" i="20"/>
  <c r="M1283" i="20"/>
  <c r="L1695" i="20"/>
  <c r="N1695" i="20"/>
  <c r="I1695" i="20"/>
  <c r="M866" i="20"/>
  <c r="G459" i="20"/>
  <c r="E871" i="20"/>
  <c r="J1153" i="20"/>
  <c r="F172" i="20"/>
  <c r="K1642" i="20"/>
  <c r="G298" i="20"/>
  <c r="G688" i="20"/>
  <c r="E958" i="20"/>
  <c r="D345" i="20"/>
  <c r="K1006" i="20"/>
  <c r="H1178" i="20"/>
  <c r="O1283" i="20"/>
  <c r="G114" i="20"/>
  <c r="G1695" i="20"/>
  <c r="O871" i="20"/>
  <c r="L53" i="20"/>
  <c r="M1695" i="20"/>
  <c r="J427" i="20"/>
  <c r="N1153" i="20"/>
  <c r="I172" i="20"/>
  <c r="E56" i="20"/>
  <c r="F954" i="20"/>
  <c r="F688" i="20"/>
  <c r="N1483" i="20"/>
  <c r="G958" i="20"/>
  <c r="N637" i="20"/>
  <c r="N345" i="20"/>
  <c r="N1537" i="20"/>
  <c r="O957" i="20"/>
  <c r="I549" i="20"/>
  <c r="L879" i="20"/>
  <c r="L793" i="20"/>
  <c r="H376" i="20"/>
  <c r="E98" i="20"/>
  <c r="K1080" i="20"/>
  <c r="J1080" i="20"/>
  <c r="I1080" i="20"/>
  <c r="E1080" i="20"/>
  <c r="F1080" i="20"/>
  <c r="O1080" i="20"/>
  <c r="N1080" i="20"/>
  <c r="H1080" i="20"/>
  <c r="G1080" i="20"/>
  <c r="D1080" i="20"/>
  <c r="M1080" i="20"/>
  <c r="L1080" i="20"/>
  <c r="H493" i="20"/>
  <c r="I478" i="20"/>
  <c r="J90" i="20"/>
  <c r="J476" i="20"/>
  <c r="O285" i="20"/>
  <c r="D1035" i="20"/>
  <c r="G315" i="20"/>
  <c r="M1134" i="20"/>
  <c r="O1359" i="20"/>
  <c r="H1314" i="20"/>
  <c r="S74" i="27"/>
  <c r="AA74" i="27" s="1"/>
  <c r="L616" i="20"/>
  <c r="I493" i="20"/>
  <c r="K277" i="20"/>
  <c r="F1242" i="20"/>
  <c r="F461" i="20"/>
  <c r="F720" i="20"/>
  <c r="O609" i="20"/>
  <c r="J478" i="20"/>
  <c r="G210" i="20"/>
  <c r="M90" i="20"/>
  <c r="F847" i="20"/>
  <c r="O1554" i="20"/>
  <c r="K476" i="20"/>
  <c r="D285" i="20"/>
  <c r="O959" i="20"/>
  <c r="H1087" i="20"/>
  <c r="G894" i="20"/>
  <c r="G1035" i="20"/>
  <c r="F624" i="20"/>
  <c r="G623" i="20"/>
  <c r="H315" i="20"/>
  <c r="L1125" i="20"/>
  <c r="N1134" i="20"/>
  <c r="E967" i="20"/>
  <c r="N1509" i="20"/>
  <c r="G1002" i="20"/>
  <c r="N1321" i="20"/>
  <c r="C1110" i="20"/>
  <c r="F1110" i="20" s="1"/>
  <c r="M493" i="20"/>
  <c r="H464" i="20"/>
  <c r="M478" i="20"/>
  <c r="N476" i="20"/>
  <c r="G285" i="20"/>
  <c r="D833" i="20"/>
  <c r="M1404" i="20"/>
  <c r="I624" i="20"/>
  <c r="K315" i="20"/>
  <c r="E1134" i="20"/>
  <c r="M507" i="20"/>
  <c r="I521" i="20"/>
  <c r="J1119" i="20"/>
  <c r="I464" i="20"/>
  <c r="I285" i="20"/>
  <c r="E1404" i="20"/>
  <c r="M315" i="20"/>
  <c r="D1389" i="20"/>
  <c r="G1134" i="20"/>
  <c r="D1156" i="20"/>
  <c r="J1558" i="20"/>
  <c r="E478" i="20"/>
  <c r="E1156" i="20"/>
  <c r="E476" i="20"/>
  <c r="K624" i="20"/>
  <c r="M1522" i="20"/>
  <c r="F76" i="20"/>
  <c r="K744" i="20"/>
  <c r="K464" i="20"/>
  <c r="M838" i="20"/>
  <c r="H742" i="20"/>
  <c r="D277" i="20"/>
  <c r="I609" i="20"/>
  <c r="F301" i="20"/>
  <c r="E68" i="20"/>
  <c r="K1558" i="20"/>
  <c r="F1156" i="20"/>
  <c r="M210" i="20"/>
  <c r="L847" i="20"/>
  <c r="G476" i="20"/>
  <c r="J285" i="20"/>
  <c r="E1394" i="20"/>
  <c r="K474" i="20"/>
  <c r="F1404" i="20"/>
  <c r="L624" i="20"/>
  <c r="D1522" i="20"/>
  <c r="H76" i="20"/>
  <c r="J553" i="20"/>
  <c r="N315" i="20"/>
  <c r="G477" i="20"/>
  <c r="K1389" i="20"/>
  <c r="N57" i="20"/>
  <c r="H1134" i="20"/>
  <c r="F1392" i="20"/>
  <c r="G473" i="20"/>
  <c r="F507" i="20"/>
  <c r="L702" i="20"/>
  <c r="L924" i="20"/>
  <c r="O521" i="20"/>
  <c r="H117" i="20"/>
  <c r="I117" i="20"/>
  <c r="E117" i="20"/>
  <c r="D117" i="20"/>
  <c r="O117" i="20"/>
  <c r="J117" i="20"/>
  <c r="N117" i="20"/>
  <c r="M117" i="20"/>
  <c r="K117" i="20"/>
  <c r="F117" i="20"/>
  <c r="L117" i="20"/>
  <c r="G117" i="20"/>
  <c r="J464" i="20"/>
  <c r="L464" i="20"/>
  <c r="N838" i="20"/>
  <c r="J742" i="20"/>
  <c r="E277" i="20"/>
  <c r="G301" i="20"/>
  <c r="J68" i="20"/>
  <c r="D1558" i="20"/>
  <c r="G1156" i="20"/>
  <c r="M847" i="20"/>
  <c r="H1394" i="20"/>
  <c r="H1404" i="20"/>
  <c r="O624" i="20"/>
  <c r="H1522" i="20"/>
  <c r="I76" i="20"/>
  <c r="K553" i="20"/>
  <c r="N477" i="20"/>
  <c r="M1389" i="20"/>
  <c r="D57" i="20"/>
  <c r="I1134" i="20"/>
  <c r="M1392" i="20"/>
  <c r="I473" i="20"/>
  <c r="K653" i="20"/>
  <c r="O838" i="20"/>
  <c r="E1365" i="20"/>
  <c r="J1156" i="20"/>
  <c r="M464" i="20"/>
  <c r="K742" i="20"/>
  <c r="E1558" i="20"/>
  <c r="I1404" i="20"/>
  <c r="D624" i="20"/>
  <c r="L1522" i="20"/>
  <c r="L76" i="20"/>
  <c r="L553" i="20"/>
  <c r="O1389" i="20"/>
  <c r="J1134" i="20"/>
  <c r="G53" i="20"/>
  <c r="N464" i="20"/>
  <c r="D869" i="20"/>
  <c r="D838" i="20"/>
  <c r="F1365" i="20"/>
  <c r="E1408" i="20"/>
  <c r="E1589" i="20"/>
  <c r="I301" i="20"/>
  <c r="N68" i="20"/>
  <c r="F896" i="20"/>
  <c r="H1558" i="20"/>
  <c r="L1230" i="20"/>
  <c r="M1156" i="20"/>
  <c r="L399" i="20"/>
  <c r="O787" i="20"/>
  <c r="O1239" i="20"/>
  <c r="K1394" i="20"/>
  <c r="M474" i="20"/>
  <c r="L1404" i="20"/>
  <c r="F1455" i="20"/>
  <c r="E624" i="20"/>
  <c r="O1522" i="20"/>
  <c r="E398" i="20"/>
  <c r="M553" i="20"/>
  <c r="F579" i="20"/>
  <c r="K1710" i="20"/>
  <c r="E1389" i="20"/>
  <c r="H57" i="20"/>
  <c r="L551" i="20"/>
  <c r="D1392" i="20"/>
  <c r="K473" i="20"/>
  <c r="K1002" i="20"/>
  <c r="D1436" i="20"/>
  <c r="F447" i="20"/>
  <c r="F1454" i="20"/>
  <c r="F1359" i="20"/>
  <c r="F1389" i="20"/>
  <c r="D74" i="20"/>
  <c r="M551" i="20"/>
  <c r="M1436" i="20"/>
  <c r="K301" i="20"/>
  <c r="N551" i="20"/>
  <c r="G1239" i="20"/>
  <c r="G579" i="20"/>
  <c r="F68" i="20"/>
  <c r="N1558" i="20"/>
  <c r="H1156" i="20"/>
  <c r="O553" i="20"/>
  <c r="F180" i="20"/>
  <c r="G1389" i="20"/>
  <c r="E74" i="20"/>
  <c r="M473" i="20"/>
  <c r="E53" i="20"/>
  <c r="I1561" i="20"/>
  <c r="F464" i="20"/>
  <c r="G869" i="20"/>
  <c r="G838" i="20"/>
  <c r="K1365" i="20"/>
  <c r="H613" i="20"/>
  <c r="K1408" i="20"/>
  <c r="I450" i="20"/>
  <c r="N1589" i="20"/>
  <c r="L301" i="20"/>
  <c r="G68" i="20"/>
  <c r="M1558" i="20"/>
  <c r="H1230" i="20"/>
  <c r="I1156" i="20"/>
  <c r="J787" i="20"/>
  <c r="E402" i="20"/>
  <c r="N1394" i="20"/>
  <c r="G1404" i="20"/>
  <c r="H398" i="20"/>
  <c r="D553" i="20"/>
  <c r="I579" i="20"/>
  <c r="N1710" i="20"/>
  <c r="I1389" i="20"/>
  <c r="G57" i="20"/>
  <c r="H74" i="20"/>
  <c r="O551" i="20"/>
  <c r="N473" i="20"/>
  <c r="E1481" i="20"/>
  <c r="D507" i="20"/>
  <c r="H446" i="20"/>
  <c r="D1454" i="20"/>
  <c r="N1193" i="20"/>
  <c r="D720" i="20"/>
  <c r="H68" i="20"/>
  <c r="K787" i="20"/>
  <c r="F1394" i="20"/>
  <c r="J1404" i="20"/>
  <c r="J398" i="20"/>
  <c r="E553" i="20"/>
  <c r="J579" i="20"/>
  <c r="O1710" i="20"/>
  <c r="J1389" i="20"/>
  <c r="J74" i="20"/>
  <c r="D551" i="20"/>
  <c r="O473" i="20"/>
  <c r="L1481" i="20"/>
  <c r="O1002" i="20"/>
  <c r="D924" i="20"/>
  <c r="J1454" i="20"/>
  <c r="E346" i="20"/>
  <c r="O476" i="20"/>
  <c r="AA81" i="27"/>
  <c r="I1365" i="20"/>
  <c r="H838" i="20"/>
  <c r="F1558" i="20"/>
  <c r="K1156" i="20"/>
  <c r="I53" i="20"/>
  <c r="E1561" i="20"/>
  <c r="I838" i="20"/>
  <c r="O1365" i="20"/>
  <c r="J613" i="20"/>
  <c r="N1408" i="20"/>
  <c r="G720" i="20"/>
  <c r="H1589" i="20"/>
  <c r="N301" i="20"/>
  <c r="I68" i="20"/>
  <c r="I1558" i="20"/>
  <c r="K1230" i="20"/>
  <c r="L1156" i="20"/>
  <c r="L787" i="20"/>
  <c r="G1394" i="20"/>
  <c r="E1035" i="20"/>
  <c r="K398" i="20"/>
  <c r="F553" i="20"/>
  <c r="K579" i="20"/>
  <c r="G1710" i="20"/>
  <c r="L1389" i="20"/>
  <c r="K74" i="20"/>
  <c r="G893" i="20"/>
  <c r="E551" i="20"/>
  <c r="D473" i="20"/>
  <c r="J1481" i="20"/>
  <c r="G1436" i="20"/>
  <c r="O464" i="20"/>
  <c r="N553" i="20"/>
  <c r="F838" i="20"/>
  <c r="N1561" i="20"/>
  <c r="K1589" i="20"/>
  <c r="M301" i="20"/>
  <c r="I869" i="20"/>
  <c r="O616" i="20"/>
  <c r="H1561" i="20"/>
  <c r="J869" i="20"/>
  <c r="J838" i="20"/>
  <c r="D481" i="20"/>
  <c r="N1365" i="20"/>
  <c r="K613" i="20"/>
  <c r="D1408" i="20"/>
  <c r="K461" i="20"/>
  <c r="I720" i="20"/>
  <c r="L1589" i="20"/>
  <c r="O301" i="20"/>
  <c r="L68" i="20"/>
  <c r="O1558" i="20"/>
  <c r="O1156" i="20"/>
  <c r="M787" i="20"/>
  <c r="O1394" i="20"/>
  <c r="F1035" i="20"/>
  <c r="L398" i="20"/>
  <c r="G553" i="20"/>
  <c r="L579" i="20"/>
  <c r="I1710" i="20"/>
  <c r="H1389" i="20"/>
  <c r="I74" i="20"/>
  <c r="H893" i="20"/>
  <c r="F551" i="20"/>
  <c r="K1481" i="20"/>
  <c r="O987" i="20"/>
  <c r="G521" i="20"/>
  <c r="H1365" i="20"/>
  <c r="D1404" i="20"/>
  <c r="G944" i="20"/>
  <c r="H53" i="20"/>
  <c r="N787" i="20"/>
  <c r="M1087" i="20"/>
  <c r="I1035" i="20"/>
  <c r="M398" i="20"/>
  <c r="H553" i="20"/>
  <c r="M579" i="20"/>
  <c r="M1710" i="20"/>
  <c r="L74" i="20"/>
  <c r="I893" i="20"/>
  <c r="G551" i="20"/>
  <c r="M1481" i="20"/>
  <c r="G507" i="20"/>
  <c r="N507" i="20"/>
  <c r="F1436" i="20"/>
  <c r="C77" i="19"/>
  <c r="M1239" i="20"/>
  <c r="L838" i="20"/>
  <c r="L1365" i="20"/>
  <c r="D1589" i="20"/>
  <c r="M961" i="20"/>
  <c r="L90" i="20"/>
  <c r="K1215" i="20"/>
  <c r="D787" i="20"/>
  <c r="C1086" i="20"/>
  <c r="J1035" i="20"/>
  <c r="D398" i="20"/>
  <c r="N579" i="20"/>
  <c r="M74" i="20"/>
  <c r="J893" i="20"/>
  <c r="H551" i="20"/>
  <c r="E293" i="20"/>
  <c r="O1481" i="20"/>
  <c r="H451" i="20"/>
  <c r="H702" i="20"/>
  <c r="I878" i="20"/>
  <c r="P566" i="20"/>
  <c r="P1123" i="20"/>
  <c r="P194" i="20"/>
  <c r="H579" i="20"/>
  <c r="O1589" i="20"/>
  <c r="O71" i="20"/>
  <c r="M613" i="20"/>
  <c r="M461" i="20"/>
  <c r="O493" i="20"/>
  <c r="H1065" i="20"/>
  <c r="K1561" i="20"/>
  <c r="M869" i="20"/>
  <c r="O481" i="20"/>
  <c r="J1365" i="20"/>
  <c r="N613" i="20"/>
  <c r="L1408" i="20"/>
  <c r="H461" i="20"/>
  <c r="J720" i="20"/>
  <c r="F1589" i="20"/>
  <c r="J1335" i="20"/>
  <c r="D478" i="20"/>
  <c r="N961" i="20"/>
  <c r="O90" i="20"/>
  <c r="N1215" i="20"/>
  <c r="E787" i="20"/>
  <c r="N1087" i="20"/>
  <c r="M894" i="20"/>
  <c r="K1035" i="20"/>
  <c r="C14" i="19"/>
  <c r="D579" i="20"/>
  <c r="N1275" i="20"/>
  <c r="N74" i="20"/>
  <c r="L893" i="20"/>
  <c r="I551" i="20"/>
  <c r="F1481" i="20"/>
  <c r="G1441" i="20"/>
  <c r="F924" i="20"/>
  <c r="M1091" i="20"/>
  <c r="D241" i="20"/>
  <c r="E838" i="20"/>
  <c r="J493" i="20"/>
  <c r="G1365" i="20"/>
  <c r="L461" i="20"/>
  <c r="E616" i="20"/>
  <c r="O1408" i="20"/>
  <c r="J461" i="20"/>
  <c r="K720" i="20"/>
  <c r="J609" i="20"/>
  <c r="M1335" i="20"/>
  <c r="F478" i="20"/>
  <c r="D961" i="20"/>
  <c r="E90" i="20"/>
  <c r="D476" i="20"/>
  <c r="K285" i="20"/>
  <c r="F787" i="20"/>
  <c r="O1087" i="20"/>
  <c r="N894" i="20"/>
  <c r="L1035" i="20"/>
  <c r="M1396" i="20"/>
  <c r="O315" i="20"/>
  <c r="E579" i="20"/>
  <c r="O74" i="20"/>
  <c r="M893" i="20"/>
  <c r="J551" i="20"/>
  <c r="G1481" i="20"/>
  <c r="O1601" i="20"/>
  <c r="N1604" i="20"/>
  <c r="I376" i="20"/>
  <c r="S72" i="27"/>
  <c r="AA72" i="27" s="1"/>
  <c r="O478" i="20"/>
  <c r="M1365" i="20"/>
  <c r="L613" i="20"/>
  <c r="H1408" i="20"/>
  <c r="D301" i="20"/>
  <c r="N493" i="20"/>
  <c r="L869" i="20"/>
  <c r="M481" i="20"/>
  <c r="I1408" i="20"/>
  <c r="H720" i="20"/>
  <c r="F616" i="20"/>
  <c r="D71" i="20"/>
  <c r="K586" i="20"/>
  <c r="G616" i="20"/>
  <c r="E71" i="20"/>
  <c r="D493" i="20"/>
  <c r="I1065" i="20"/>
  <c r="O1561" i="20"/>
  <c r="N869" i="20"/>
  <c r="E481" i="20"/>
  <c r="O613" i="20"/>
  <c r="L586" i="20"/>
  <c r="H616" i="20"/>
  <c r="F71" i="20"/>
  <c r="E493" i="20"/>
  <c r="J1065" i="20"/>
  <c r="F1561" i="20"/>
  <c r="O869" i="20"/>
  <c r="F481" i="20"/>
  <c r="D613" i="20"/>
  <c r="G277" i="20"/>
  <c r="N461" i="20"/>
  <c r="L720" i="20"/>
  <c r="O1137" i="20"/>
  <c r="K609" i="20"/>
  <c r="N1335" i="20"/>
  <c r="G478" i="20"/>
  <c r="F961" i="20"/>
  <c r="D90" i="20"/>
  <c r="F476" i="20"/>
  <c r="L285" i="20"/>
  <c r="I61" i="20"/>
  <c r="F959" i="20"/>
  <c r="G601" i="20"/>
  <c r="D1087" i="20"/>
  <c r="O894" i="20"/>
  <c r="M1035" i="20"/>
  <c r="G1396" i="20"/>
  <c r="D315" i="20"/>
  <c r="F74" i="20"/>
  <c r="H1481" i="20"/>
  <c r="L507" i="20"/>
  <c r="K986" i="20"/>
  <c r="E913" i="20"/>
  <c r="I1358" i="20"/>
  <c r="K521" i="20"/>
  <c r="H1091" i="20"/>
  <c r="D616" i="20"/>
  <c r="J1561" i="20"/>
  <c r="I481" i="20"/>
  <c r="E613" i="20"/>
  <c r="H277" i="20"/>
  <c r="O461" i="20"/>
  <c r="M720" i="20"/>
  <c r="L609" i="20"/>
  <c r="O1335" i="20"/>
  <c r="N478" i="20"/>
  <c r="E961" i="20"/>
  <c r="H90" i="20"/>
  <c r="O847" i="20"/>
  <c r="H476" i="20"/>
  <c r="M285" i="20"/>
  <c r="L61" i="20"/>
  <c r="H959" i="20"/>
  <c r="K601" i="20"/>
  <c r="E1087" i="20"/>
  <c r="D894" i="20"/>
  <c r="N1035" i="20"/>
  <c r="H899" i="20"/>
  <c r="E315" i="20"/>
  <c r="K1134" i="20"/>
  <c r="N1481" i="20"/>
  <c r="G1509" i="20"/>
  <c r="L1509" i="20"/>
  <c r="I1094" i="20"/>
  <c r="D1538" i="20"/>
  <c r="H431" i="20"/>
  <c r="L744" i="20"/>
  <c r="M1561" i="20"/>
  <c r="O720" i="20"/>
  <c r="G1561" i="20"/>
  <c r="N586" i="20"/>
  <c r="I616" i="20"/>
  <c r="F493" i="20"/>
  <c r="O586" i="20"/>
  <c r="J481" i="20"/>
  <c r="E1242" i="20"/>
  <c r="D1335" i="20"/>
  <c r="I961" i="20"/>
  <c r="I90" i="20"/>
  <c r="I959" i="20"/>
  <c r="E894" i="20"/>
  <c r="I899" i="20"/>
  <c r="H507" i="20"/>
  <c r="M1603" i="20"/>
  <c r="H114" i="20"/>
  <c r="O114" i="20"/>
  <c r="L307" i="20"/>
  <c r="M1591" i="20"/>
  <c r="D1275" i="20"/>
  <c r="K1244" i="20"/>
  <c r="D523" i="20"/>
  <c r="E1209" i="20"/>
  <c r="G1209" i="20"/>
  <c r="F1209" i="20"/>
  <c r="O1209" i="20"/>
  <c r="N1209" i="20"/>
  <c r="L1209" i="20"/>
  <c r="K1209" i="20"/>
  <c r="J1209" i="20"/>
  <c r="M1209" i="20"/>
  <c r="I1209" i="20"/>
  <c r="H1209" i="20"/>
  <c r="D1209" i="20"/>
  <c r="L1244" i="20"/>
  <c r="K296" i="20"/>
  <c r="N909" i="20"/>
  <c r="E296" i="20"/>
  <c r="M1542" i="20"/>
  <c r="D944" i="20"/>
  <c r="F254" i="20"/>
  <c r="J296" i="20"/>
  <c r="I307" i="20"/>
  <c r="J1587" i="20"/>
  <c r="J1588" i="20"/>
  <c r="K58" i="20"/>
  <c r="K1587" i="20"/>
  <c r="K1522" i="20"/>
  <c r="I1588" i="20"/>
  <c r="N1588" i="20"/>
  <c r="E1588" i="20"/>
  <c r="K983" i="20"/>
  <c r="O1618" i="20"/>
  <c r="N608" i="20"/>
  <c r="I1522" i="20"/>
  <c r="J1357" i="20"/>
  <c r="G684" i="20"/>
  <c r="M98" i="20"/>
  <c r="F284" i="20"/>
  <c r="I91" i="20"/>
  <c r="P1224" i="20"/>
  <c r="P176" i="20"/>
  <c r="L73" i="20"/>
  <c r="L448" i="20"/>
  <c r="G448" i="20"/>
  <c r="K448" i="20"/>
  <c r="H448" i="20"/>
  <c r="F448" i="20"/>
  <c r="E448" i="20"/>
  <c r="O448" i="20"/>
  <c r="D448" i="20"/>
  <c r="N448" i="20"/>
  <c r="M448" i="20"/>
  <c r="J448" i="20"/>
  <c r="I448" i="20"/>
  <c r="J608" i="20"/>
  <c r="M76" i="20"/>
  <c r="G1357" i="20"/>
  <c r="I1257" i="20"/>
  <c r="M73" i="20"/>
  <c r="D793" i="20"/>
  <c r="D1494" i="20"/>
  <c r="O533" i="20"/>
  <c r="F374" i="20"/>
  <c r="O1591" i="20"/>
  <c r="F90" i="20"/>
  <c r="D76" i="20"/>
  <c r="H1357" i="20"/>
  <c r="J1257" i="20"/>
  <c r="G73" i="20"/>
  <c r="K1093" i="20"/>
  <c r="I986" i="20"/>
  <c r="O1006" i="20"/>
  <c r="L1542" i="20"/>
  <c r="F1601" i="20"/>
  <c r="N758" i="20"/>
  <c r="O928" i="20"/>
  <c r="E1591" i="20"/>
  <c r="K90" i="20"/>
  <c r="E76" i="20"/>
  <c r="E1357" i="20"/>
  <c r="K1257" i="20"/>
  <c r="J599" i="20"/>
  <c r="N432" i="20"/>
  <c r="O1496" i="20"/>
  <c r="M879" i="20"/>
  <c r="M358" i="20"/>
  <c r="N1542" i="20"/>
  <c r="D526" i="20"/>
  <c r="F1061" i="20"/>
  <c r="G1591" i="20"/>
  <c r="L1136" i="20"/>
  <c r="M1357" i="20"/>
  <c r="N1257" i="20"/>
  <c r="K599" i="20"/>
  <c r="E1093" i="20"/>
  <c r="O1497" i="20"/>
  <c r="M1059" i="20"/>
  <c r="F1591" i="20"/>
  <c r="H1136" i="20"/>
  <c r="F1357" i="20"/>
  <c r="O1257" i="20"/>
  <c r="F1043" i="20"/>
  <c r="H793" i="20"/>
  <c r="I758" i="20"/>
  <c r="D103" i="20"/>
  <c r="G1621" i="20"/>
  <c r="P1419" i="20"/>
  <c r="E743" i="20"/>
  <c r="K1644" i="20"/>
  <c r="F1364" i="20"/>
  <c r="O788" i="20"/>
  <c r="K1721" i="20"/>
  <c r="D521" i="20"/>
  <c r="J521" i="20"/>
  <c r="K284" i="20"/>
  <c r="J354" i="20"/>
  <c r="E284" i="20"/>
  <c r="F743" i="20"/>
  <c r="G1244" i="20"/>
  <c r="I1064" i="20"/>
  <c r="E451" i="20"/>
  <c r="G913" i="20"/>
  <c r="N284" i="20"/>
  <c r="J284" i="20"/>
  <c r="J743" i="20"/>
  <c r="H103" i="20"/>
  <c r="I1244" i="20"/>
  <c r="M1006" i="20"/>
  <c r="L1379" i="20"/>
  <c r="D1707" i="20"/>
  <c r="F1448" i="20"/>
  <c r="J1244" i="20"/>
  <c r="M684" i="20"/>
  <c r="H1006" i="20"/>
  <c r="M1723" i="20"/>
  <c r="O254" i="20"/>
  <c r="M1616" i="20"/>
  <c r="O91" i="20"/>
  <c r="L1621" i="20"/>
  <c r="O1448" i="20"/>
  <c r="G718" i="20"/>
  <c r="D718" i="20"/>
  <c r="N718" i="20"/>
  <c r="M718" i="20"/>
  <c r="L718" i="20"/>
  <c r="J718" i="20"/>
  <c r="K718" i="20"/>
  <c r="I718" i="20"/>
  <c r="F718" i="20"/>
  <c r="E718" i="20"/>
  <c r="O718" i="20"/>
  <c r="H718" i="20"/>
  <c r="F757" i="20"/>
  <c r="M959" i="20"/>
  <c r="M296" i="20"/>
  <c r="M298" i="20"/>
  <c r="H180" i="20"/>
  <c r="F1257" i="20"/>
  <c r="M1244" i="20"/>
  <c r="K684" i="20"/>
  <c r="M1199" i="20"/>
  <c r="I1093" i="20"/>
  <c r="G1093" i="20"/>
  <c r="H1724" i="20"/>
  <c r="G1724" i="20"/>
  <c r="D284" i="20"/>
  <c r="H254" i="20"/>
  <c r="O1621" i="20"/>
  <c r="N751" i="20"/>
  <c r="P721" i="20"/>
  <c r="P732" i="20"/>
  <c r="P1171" i="20"/>
  <c r="H1542" i="20"/>
  <c r="N189" i="20"/>
  <c r="F1379" i="20"/>
  <c r="L284" i="20"/>
  <c r="I254" i="20"/>
  <c r="J103" i="20"/>
  <c r="D913" i="20"/>
  <c r="K1448" i="20"/>
  <c r="K1283" i="20"/>
  <c r="P1438" i="20"/>
  <c r="P1422" i="20"/>
  <c r="P413" i="20"/>
  <c r="P1471" i="20"/>
  <c r="P449" i="20"/>
  <c r="P1169" i="20"/>
  <c r="P939" i="20"/>
  <c r="P563" i="20"/>
  <c r="O296" i="20"/>
  <c r="K735" i="20"/>
  <c r="D1486" i="20"/>
  <c r="M612" i="20"/>
  <c r="O298" i="20"/>
  <c r="D1149" i="20"/>
  <c r="E893" i="20"/>
  <c r="D637" i="20"/>
  <c r="F1537" i="20"/>
  <c r="D1244" i="20"/>
  <c r="K1569" i="20"/>
  <c r="L684" i="20"/>
  <c r="F913" i="20"/>
  <c r="E1064" i="20"/>
  <c r="E1723" i="20"/>
  <c r="O793" i="20"/>
  <c r="M533" i="20"/>
  <c r="F521" i="20"/>
  <c r="H646" i="20"/>
  <c r="F1059" i="20"/>
  <c r="P729" i="20"/>
  <c r="P192" i="20"/>
  <c r="P564" i="20"/>
  <c r="M1377" i="20"/>
  <c r="F1377" i="20"/>
  <c r="J1377" i="20"/>
  <c r="D1377" i="20"/>
  <c r="L1377" i="20"/>
  <c r="H1377" i="20"/>
  <c r="G1377" i="20"/>
  <c r="E1377" i="20"/>
  <c r="N1377" i="20"/>
  <c r="K1377" i="20"/>
  <c r="O1377" i="20"/>
  <c r="I1377" i="20"/>
  <c r="N1522" i="20"/>
  <c r="D296" i="20"/>
  <c r="L735" i="20"/>
  <c r="F1486" i="20"/>
  <c r="N612" i="20"/>
  <c r="D298" i="20"/>
  <c r="J1149" i="20"/>
  <c r="F1148" i="20"/>
  <c r="F893" i="20"/>
  <c r="E637" i="20"/>
  <c r="K1537" i="20"/>
  <c r="E1244" i="20"/>
  <c r="N1569" i="20"/>
  <c r="N684" i="20"/>
  <c r="K451" i="20"/>
  <c r="J986" i="20"/>
  <c r="G432" i="20"/>
  <c r="K793" i="20"/>
  <c r="N1494" i="20"/>
  <c r="L521" i="20"/>
  <c r="O1498" i="20"/>
  <c r="M284" i="20"/>
  <c r="N103" i="20"/>
  <c r="E854" i="20"/>
  <c r="N1244" i="20"/>
  <c r="O684" i="20"/>
  <c r="J1093" i="20"/>
  <c r="I1436" i="20"/>
  <c r="M219" i="20"/>
  <c r="J758" i="20"/>
  <c r="M1498" i="20"/>
  <c r="K189" i="20"/>
  <c r="N344" i="20"/>
  <c r="J1006" i="20"/>
  <c r="P238" i="20"/>
  <c r="P716" i="20"/>
  <c r="F296" i="20"/>
  <c r="H684" i="20"/>
  <c r="K758" i="20"/>
  <c r="L1616" i="20"/>
  <c r="O804" i="20"/>
  <c r="G296" i="20"/>
  <c r="I1569" i="20"/>
  <c r="H1541" i="20"/>
  <c r="E793" i="20"/>
  <c r="J219" i="20"/>
  <c r="D758" i="20"/>
  <c r="J1379" i="20"/>
  <c r="M646" i="20"/>
  <c r="I1591" i="20"/>
  <c r="K1261" i="20"/>
  <c r="J492" i="20"/>
  <c r="E898" i="20"/>
  <c r="H296" i="20"/>
  <c r="G735" i="20"/>
  <c r="O375" i="20"/>
  <c r="J1148" i="20"/>
  <c r="H1537" i="20"/>
  <c r="N549" i="20"/>
  <c r="L1569" i="20"/>
  <c r="I913" i="20"/>
  <c r="D432" i="20"/>
  <c r="O1542" i="20"/>
  <c r="E1542" i="20"/>
  <c r="O1723" i="20"/>
  <c r="F1494" i="20"/>
  <c r="I1379" i="20"/>
  <c r="G743" i="20"/>
  <c r="G344" i="20"/>
  <c r="L1591" i="20"/>
  <c r="M492" i="20"/>
  <c r="I296" i="20"/>
  <c r="J375" i="20"/>
  <c r="L954" i="20"/>
  <c r="M1391" i="20"/>
  <c r="L1148" i="20"/>
  <c r="K893" i="20"/>
  <c r="J765" i="20"/>
  <c r="J1537" i="20"/>
  <c r="O549" i="20"/>
  <c r="L1093" i="20"/>
  <c r="H1064" i="20"/>
  <c r="N1002" i="20"/>
  <c r="I1439" i="20"/>
  <c r="E1494" i="20"/>
  <c r="E1379" i="20"/>
  <c r="D1616" i="20"/>
  <c r="K804" i="20"/>
  <c r="D1364" i="20"/>
  <c r="F1723" i="20"/>
  <c r="J793" i="20"/>
  <c r="H219" i="20"/>
  <c r="H1036" i="20"/>
  <c r="J1616" i="20"/>
  <c r="F135" i="20"/>
  <c r="N135" i="20"/>
  <c r="M135" i="20"/>
  <c r="J135" i="20"/>
  <c r="I135" i="20"/>
  <c r="H135" i="20"/>
  <c r="G135" i="20"/>
  <c r="E135" i="20"/>
  <c r="D135" i="20"/>
  <c r="O135" i="20"/>
  <c r="L135" i="20"/>
  <c r="K135" i="20"/>
  <c r="H990" i="20"/>
  <c r="D990" i="20"/>
  <c r="O990" i="20"/>
  <c r="N990" i="20"/>
  <c r="K990" i="20"/>
  <c r="J990" i="20"/>
  <c r="I990" i="20"/>
  <c r="G990" i="20"/>
  <c r="F990" i="20"/>
  <c r="E990" i="20"/>
  <c r="M990" i="20"/>
  <c r="L990" i="20"/>
  <c r="D435" i="20"/>
  <c r="E463" i="20"/>
  <c r="N105" i="20"/>
  <c r="O626" i="20"/>
  <c r="J450" i="20"/>
  <c r="G1335" i="20"/>
  <c r="H462" i="20"/>
  <c r="K674" i="20"/>
  <c r="F1554" i="20"/>
  <c r="M1141" i="20"/>
  <c r="F691" i="20"/>
  <c r="I474" i="20"/>
  <c r="H1014" i="20"/>
  <c r="L1484" i="20"/>
  <c r="E406" i="20"/>
  <c r="N56" i="20"/>
  <c r="F1149" i="20"/>
  <c r="D1136" i="20"/>
  <c r="H1573" i="20"/>
  <c r="H1151" i="20"/>
  <c r="E1425" i="20"/>
  <c r="E1229" i="20"/>
  <c r="G1193" i="20"/>
  <c r="H1088" i="20"/>
  <c r="L523" i="20"/>
  <c r="E435" i="20"/>
  <c r="O105" i="20"/>
  <c r="K450" i="20"/>
  <c r="I1335" i="20"/>
  <c r="F1230" i="20"/>
  <c r="N674" i="20"/>
  <c r="I1554" i="20"/>
  <c r="N1141" i="20"/>
  <c r="J691" i="20"/>
  <c r="J474" i="20"/>
  <c r="I1014" i="20"/>
  <c r="E1484" i="20"/>
  <c r="N1139" i="20"/>
  <c r="H406" i="20"/>
  <c r="O56" i="20"/>
  <c r="O1149" i="20"/>
  <c r="G1136" i="20"/>
  <c r="I1573" i="20"/>
  <c r="I1125" i="20"/>
  <c r="O958" i="20"/>
  <c r="G1425" i="20"/>
  <c r="F503" i="20"/>
  <c r="I764" i="20"/>
  <c r="K641" i="20"/>
  <c r="O791" i="20"/>
  <c r="O1527" i="20"/>
  <c r="E1493" i="20"/>
  <c r="H1665" i="20"/>
  <c r="L474" i="20"/>
  <c r="I598" i="20"/>
  <c r="H477" i="20"/>
  <c r="N1125" i="20"/>
  <c r="G1392" i="20"/>
  <c r="N1425" i="20"/>
  <c r="H1513" i="20"/>
  <c r="M419" i="20"/>
  <c r="D1197" i="20"/>
  <c r="I1096" i="20"/>
  <c r="I749" i="20"/>
  <c r="L1497" i="20"/>
  <c r="F1696" i="20"/>
  <c r="H1706" i="20"/>
  <c r="I477" i="20"/>
  <c r="O1125" i="20"/>
  <c r="H1392" i="20"/>
  <c r="G503" i="20"/>
  <c r="O1546" i="20"/>
  <c r="J388" i="20"/>
  <c r="J1193" i="20"/>
  <c r="G1603" i="20"/>
  <c r="I1603" i="20"/>
  <c r="F166" i="20"/>
  <c r="K1665" i="20"/>
  <c r="J477" i="20"/>
  <c r="D1125" i="20"/>
  <c r="D1116" i="20" s="1"/>
  <c r="I1392" i="20"/>
  <c r="D1513" i="20"/>
  <c r="N764" i="20"/>
  <c r="L1197" i="20"/>
  <c r="F121" i="20"/>
  <c r="E121" i="20"/>
  <c r="D121" i="20"/>
  <c r="M121" i="20"/>
  <c r="L121" i="20"/>
  <c r="K121" i="20"/>
  <c r="J121" i="20"/>
  <c r="G121" i="20"/>
  <c r="I121" i="20"/>
  <c r="H121" i="20"/>
  <c r="N121" i="20"/>
  <c r="O121" i="20"/>
  <c r="H1312" i="20"/>
  <c r="F1133" i="20"/>
  <c r="I435" i="20"/>
  <c r="G481" i="20"/>
  <c r="J1312" i="20"/>
  <c r="O896" i="20"/>
  <c r="K1335" i="20"/>
  <c r="D1230" i="20"/>
  <c r="N1102" i="20"/>
  <c r="G961" i="20"/>
  <c r="L1665" i="20"/>
  <c r="H399" i="20"/>
  <c r="G691" i="20"/>
  <c r="O474" i="20"/>
  <c r="F1014" i="20"/>
  <c r="G1455" i="20"/>
  <c r="H623" i="20"/>
  <c r="K477" i="20"/>
  <c r="E1125" i="20"/>
  <c r="J1392" i="20"/>
  <c r="I345" i="20"/>
  <c r="I1425" i="20"/>
  <c r="F1197" i="20"/>
  <c r="F358" i="20"/>
  <c r="N1497" i="20"/>
  <c r="E1193" i="20"/>
  <c r="F523" i="20"/>
  <c r="K264" i="20"/>
  <c r="F1182" i="20"/>
  <c r="H1603" i="20"/>
  <c r="M53" i="20"/>
  <c r="D53" i="20"/>
  <c r="G1133" i="20"/>
  <c r="J435" i="20"/>
  <c r="H481" i="20"/>
  <c r="L1312" i="20"/>
  <c r="G450" i="20"/>
  <c r="D896" i="20"/>
  <c r="F1335" i="20"/>
  <c r="O1102" i="20"/>
  <c r="H961" i="20"/>
  <c r="J1665" i="20"/>
  <c r="I399" i="20"/>
  <c r="H691" i="20"/>
  <c r="D474" i="20"/>
  <c r="I1455" i="20"/>
  <c r="K1152" i="20"/>
  <c r="I623" i="20"/>
  <c r="L477" i="20"/>
  <c r="F1125" i="20"/>
  <c r="L1392" i="20"/>
  <c r="K345" i="20"/>
  <c r="H1050" i="20"/>
  <c r="L1425" i="20"/>
  <c r="M1497" i="20"/>
  <c r="G701" i="20"/>
  <c r="S9" i="27"/>
  <c r="AA9" i="27" s="1"/>
  <c r="M435" i="20"/>
  <c r="N1312" i="20"/>
  <c r="E896" i="20"/>
  <c r="F1665" i="20"/>
  <c r="J399" i="20"/>
  <c r="L1455" i="20"/>
  <c r="N1152" i="20"/>
  <c r="J623" i="20"/>
  <c r="M477" i="20"/>
  <c r="G1125" i="20"/>
  <c r="N1392" i="20"/>
  <c r="L345" i="20"/>
  <c r="N1006" i="20"/>
  <c r="M911" i="20"/>
  <c r="I1497" i="20"/>
  <c r="K376" i="20"/>
  <c r="M822" i="20"/>
  <c r="H1197" i="20"/>
  <c r="G788" i="20"/>
  <c r="O166" i="20"/>
  <c r="M376" i="20"/>
  <c r="D1493" i="20"/>
  <c r="J764" i="20"/>
  <c r="L388" i="20"/>
  <c r="O1197" i="20"/>
  <c r="I1696" i="20"/>
  <c r="P1298" i="20"/>
  <c r="K53" i="20"/>
  <c r="D1312" i="20"/>
  <c r="H896" i="20"/>
  <c r="D837" i="20"/>
  <c r="G462" i="20"/>
  <c r="G1102" i="20"/>
  <c r="K961" i="20"/>
  <c r="M1665" i="20"/>
  <c r="K1455" i="20"/>
  <c r="E1152" i="20"/>
  <c r="M623" i="20"/>
  <c r="F477" i="20"/>
  <c r="E1013" i="20"/>
  <c r="F345" i="20"/>
  <c r="H1193" i="20"/>
  <c r="I1193" i="20"/>
  <c r="I1006" i="20"/>
  <c r="N53" i="20"/>
  <c r="G1312" i="20"/>
  <c r="I896" i="20"/>
  <c r="E837" i="20"/>
  <c r="I462" i="20"/>
  <c r="G578" i="20"/>
  <c r="M1455" i="20"/>
  <c r="F1152" i="20"/>
  <c r="N623" i="20"/>
  <c r="F406" i="20"/>
  <c r="H1013" i="20"/>
  <c r="G345" i="20"/>
  <c r="L1361" i="20"/>
  <c r="L818" i="20"/>
  <c r="D1527" i="20"/>
  <c r="F1527" i="20"/>
  <c r="E1527" i="20"/>
  <c r="N233" i="20"/>
  <c r="K1312" i="20"/>
  <c r="F837" i="20"/>
  <c r="J462" i="20"/>
  <c r="D1141" i="20"/>
  <c r="K578" i="20"/>
  <c r="N1455" i="20"/>
  <c r="M1484" i="20"/>
  <c r="H1152" i="20"/>
  <c r="O623" i="20"/>
  <c r="G406" i="20"/>
  <c r="I1013" i="20"/>
  <c r="H345" i="20"/>
  <c r="K1197" i="20"/>
  <c r="K822" i="20"/>
  <c r="O1088" i="20"/>
  <c r="O376" i="20"/>
  <c r="M523" i="20"/>
  <c r="K204" i="20"/>
  <c r="I204" i="20"/>
  <c r="E204" i="20"/>
  <c r="H204" i="20"/>
  <c r="F204" i="20"/>
  <c r="G204" i="20"/>
  <c r="D204" i="20"/>
  <c r="O204" i="20"/>
  <c r="N204" i="20"/>
  <c r="M204" i="20"/>
  <c r="L204" i="20"/>
  <c r="J204" i="20"/>
  <c r="G837" i="20"/>
  <c r="K462" i="20"/>
  <c r="M674" i="20"/>
  <c r="E1141" i="20"/>
  <c r="L578" i="20"/>
  <c r="D1455" i="20"/>
  <c r="F1484" i="20"/>
  <c r="I1152" i="20"/>
  <c r="D623" i="20"/>
  <c r="I406" i="20"/>
  <c r="J1013" i="20"/>
  <c r="J345" i="20"/>
  <c r="D1050" i="20"/>
  <c r="G911" i="20"/>
  <c r="M791" i="20"/>
  <c r="D1193" i="20"/>
  <c r="K1348" i="20"/>
  <c r="H837" i="20"/>
  <c r="D674" i="20"/>
  <c r="J406" i="20"/>
  <c r="D56" i="20"/>
  <c r="J1573" i="20"/>
  <c r="K1013" i="20"/>
  <c r="M345" i="20"/>
  <c r="O911" i="20"/>
  <c r="N1513" i="20"/>
  <c r="J463" i="20"/>
  <c r="I626" i="20"/>
  <c r="I837" i="20"/>
  <c r="M462" i="20"/>
  <c r="E674" i="20"/>
  <c r="G1141" i="20"/>
  <c r="N578" i="20"/>
  <c r="G1587" i="20"/>
  <c r="E959" i="20"/>
  <c r="I1484" i="20"/>
  <c r="L1152" i="20"/>
  <c r="F623" i="20"/>
  <c r="K406" i="20"/>
  <c r="F56" i="20"/>
  <c r="I1149" i="20"/>
  <c r="J1136" i="20"/>
  <c r="D1573" i="20"/>
  <c r="N1148" i="20"/>
  <c r="L1013" i="20"/>
  <c r="N841" i="20"/>
  <c r="L1151" i="20"/>
  <c r="M1509" i="20"/>
  <c r="O503" i="20"/>
  <c r="M1546" i="20"/>
  <c r="E177" i="20"/>
  <c r="N1197" i="20"/>
  <c r="K1497" i="20"/>
  <c r="G1497" i="20"/>
  <c r="J879" i="20"/>
  <c r="G282" i="20"/>
  <c r="L462" i="20"/>
  <c r="F1141" i="20"/>
  <c r="M578" i="20"/>
  <c r="H1484" i="20"/>
  <c r="J1152" i="20"/>
  <c r="L463" i="20"/>
  <c r="G105" i="20"/>
  <c r="J626" i="20"/>
  <c r="J837" i="20"/>
  <c r="N462" i="20"/>
  <c r="F674" i="20"/>
  <c r="D1554" i="20"/>
  <c r="H1141" i="20"/>
  <c r="O578" i="20"/>
  <c r="E1587" i="20"/>
  <c r="N1484" i="20"/>
  <c r="M1152" i="20"/>
  <c r="H1139" i="20"/>
  <c r="L406" i="20"/>
  <c r="G56" i="20"/>
  <c r="K1149" i="20"/>
  <c r="K1136" i="20"/>
  <c r="G1573" i="20"/>
  <c r="O1148" i="20"/>
  <c r="M1013" i="20"/>
  <c r="O1151" i="20"/>
  <c r="E1441" i="20"/>
  <c r="M177" i="20"/>
  <c r="M1096" i="20"/>
  <c r="M1229" i="20"/>
  <c r="E1497" i="20"/>
  <c r="O1603" i="20"/>
  <c r="J166" i="20"/>
  <c r="I941" i="20"/>
  <c r="S66" i="27"/>
  <c r="AA66" i="27" s="1"/>
  <c r="I1141" i="20"/>
  <c r="D578" i="20"/>
  <c r="O1484" i="20"/>
  <c r="M406" i="20"/>
  <c r="J56" i="20"/>
  <c r="M1573" i="20"/>
  <c r="N1013" i="20"/>
  <c r="E1151" i="20"/>
  <c r="E503" i="20"/>
  <c r="L1603" i="20"/>
  <c r="N463" i="20"/>
  <c r="K105" i="20"/>
  <c r="L837" i="20"/>
  <c r="D462" i="20"/>
  <c r="J674" i="20"/>
  <c r="K1554" i="20"/>
  <c r="J1141" i="20"/>
  <c r="E578" i="20"/>
  <c r="D1014" i="20"/>
  <c r="D1484" i="20"/>
  <c r="M956" i="20"/>
  <c r="N406" i="20"/>
  <c r="L56" i="20"/>
  <c r="M1136" i="20"/>
  <c r="F1573" i="20"/>
  <c r="O1013" i="20"/>
  <c r="F1151" i="20"/>
  <c r="D451" i="20"/>
  <c r="D1006" i="20"/>
  <c r="E1197" i="20"/>
  <c r="H388" i="20"/>
  <c r="G1321" i="20"/>
  <c r="K226" i="20"/>
  <c r="I226" i="20"/>
  <c r="L626" i="20"/>
  <c r="G382" i="20"/>
  <c r="O463" i="20"/>
  <c r="M105" i="20"/>
  <c r="M626" i="20"/>
  <c r="E462" i="20"/>
  <c r="L674" i="20"/>
  <c r="L1554" i="20"/>
  <c r="K1141" i="20"/>
  <c r="F578" i="20"/>
  <c r="G1014" i="20"/>
  <c r="G1484" i="20"/>
  <c r="G956" i="20"/>
  <c r="K1139" i="20"/>
  <c r="O406" i="20"/>
  <c r="M56" i="20"/>
  <c r="N1149" i="20"/>
  <c r="N1136" i="20"/>
  <c r="L1573" i="20"/>
  <c r="F1013" i="20"/>
  <c r="M1151" i="20"/>
  <c r="H1425" i="20"/>
  <c r="L1006" i="20"/>
  <c r="N879" i="20"/>
  <c r="J446" i="20"/>
  <c r="O388" i="20"/>
  <c r="G1197" i="20"/>
  <c r="O1364" i="20"/>
  <c r="J1539" i="20"/>
  <c r="D1497" i="20"/>
  <c r="E266" i="20"/>
  <c r="H1696" i="20"/>
  <c r="J1618" i="20"/>
  <c r="O1721" i="20"/>
  <c r="O462" i="20"/>
  <c r="H674" i="20"/>
  <c r="H956" i="20"/>
  <c r="O1136" i="20"/>
  <c r="E1573" i="20"/>
  <c r="I958" i="20"/>
  <c r="N1151" i="20"/>
  <c r="D1441" i="20"/>
  <c r="G924" i="20"/>
  <c r="M1361" i="20"/>
  <c r="N1361" i="20"/>
  <c r="I1229" i="20"/>
  <c r="E376" i="20"/>
  <c r="E523" i="20"/>
  <c r="O523" i="20"/>
  <c r="D1348" i="20"/>
  <c r="K91" i="20"/>
  <c r="G1043" i="20"/>
  <c r="J1619" i="20"/>
  <c r="D759" i="20"/>
  <c r="E254" i="20"/>
  <c r="D751" i="20"/>
  <c r="M759" i="20"/>
  <c r="N1439" i="20"/>
  <c r="N1619" i="20"/>
  <c r="G1542" i="20"/>
  <c r="G254" i="20"/>
  <c r="I909" i="20"/>
  <c r="H909" i="20"/>
  <c r="I1616" i="20"/>
  <c r="N76" i="20"/>
  <c r="N765" i="20"/>
  <c r="G986" i="20"/>
  <c r="J254" i="20"/>
  <c r="O983" i="20"/>
  <c r="D59" i="20"/>
  <c r="I492" i="20"/>
  <c r="I1258" i="20"/>
  <c r="K897" i="20"/>
  <c r="F1522" i="20"/>
  <c r="O76" i="20"/>
  <c r="E1005" i="20"/>
  <c r="D765" i="20"/>
  <c r="D1541" i="20"/>
  <c r="D656" i="20"/>
  <c r="K1513" i="20"/>
  <c r="I791" i="20"/>
  <c r="I1542" i="20"/>
  <c r="M793" i="20"/>
  <c r="L988" i="20"/>
  <c r="K254" i="20"/>
  <c r="F1493" i="20"/>
  <c r="L376" i="20"/>
  <c r="G523" i="20"/>
  <c r="L91" i="20"/>
  <c r="G88" i="20"/>
  <c r="G76" i="20"/>
  <c r="I1005" i="20"/>
  <c r="E765" i="20"/>
  <c r="O1513" i="20"/>
  <c r="N1043" i="20"/>
  <c r="J944" i="20"/>
  <c r="O988" i="20"/>
  <c r="M254" i="20"/>
  <c r="N983" i="20"/>
  <c r="N991" i="20"/>
  <c r="N91" i="20"/>
  <c r="L492" i="20"/>
  <c r="M897" i="20"/>
  <c r="M1042" i="20"/>
  <c r="I601" i="20"/>
  <c r="J76" i="20"/>
  <c r="M1005" i="20"/>
  <c r="F765" i="20"/>
  <c r="N1378" i="20"/>
  <c r="E822" i="20"/>
  <c r="D1542" i="20"/>
  <c r="H822" i="20"/>
  <c r="F822" i="20"/>
  <c r="O749" i="20"/>
  <c r="L254" i="20"/>
  <c r="H991" i="20"/>
  <c r="O1227" i="20"/>
  <c r="O1347" i="20"/>
  <c r="I599" i="20"/>
  <c r="J656" i="20"/>
  <c r="D419" i="20"/>
  <c r="H986" i="20"/>
  <c r="K522" i="20"/>
  <c r="M1619" i="20"/>
  <c r="O207" i="20"/>
  <c r="P443" i="20"/>
  <c r="L84" i="20"/>
  <c r="K84" i="20"/>
  <c r="I84" i="20"/>
  <c r="F84" i="20"/>
  <c r="E84" i="20"/>
  <c r="N84" i="20"/>
  <c r="H84" i="20"/>
  <c r="D84" i="20"/>
  <c r="M84" i="20"/>
  <c r="G84" i="20"/>
  <c r="O84" i="20"/>
  <c r="J84" i="20"/>
  <c r="K759" i="20"/>
  <c r="I522" i="20"/>
  <c r="J1542" i="20"/>
  <c r="D991" i="20"/>
  <c r="M1183" i="20"/>
  <c r="L1541" i="20"/>
  <c r="F1439" i="20"/>
  <c r="G1616" i="20"/>
  <c r="E1618" i="20"/>
  <c r="C81" i="20"/>
  <c r="P313" i="20"/>
  <c r="C171" i="20"/>
  <c r="F1283" i="20"/>
  <c r="I1283" i="20"/>
  <c r="E1283" i="20"/>
  <c r="D1283" i="20"/>
  <c r="N1283" i="20"/>
  <c r="L1283" i="20"/>
  <c r="D596" i="20"/>
  <c r="N599" i="20"/>
  <c r="D1439" i="20"/>
  <c r="O1043" i="20"/>
  <c r="H1619" i="20"/>
  <c r="J983" i="20"/>
  <c r="G1379" i="20"/>
  <c r="N988" i="20"/>
  <c r="K1696" i="20"/>
  <c r="I788" i="20"/>
  <c r="I1448" i="20"/>
  <c r="G1283" i="20"/>
  <c r="E596" i="20"/>
  <c r="O599" i="20"/>
  <c r="E986" i="20"/>
  <c r="L1119" i="20"/>
  <c r="L1116" i="20" s="1"/>
  <c r="D1619" i="20"/>
  <c r="F1361" i="20"/>
  <c r="I1361" i="20"/>
  <c r="L983" i="20"/>
  <c r="H749" i="20"/>
  <c r="H988" i="20"/>
  <c r="K991" i="20"/>
  <c r="K1616" i="20"/>
  <c r="G1618" i="20"/>
  <c r="C1656" i="20"/>
  <c r="C1686" i="20"/>
  <c r="P1276" i="20"/>
  <c r="N1643" i="20"/>
  <c r="H1643" i="20"/>
  <c r="L1643" i="20"/>
  <c r="I1643" i="20"/>
  <c r="F1643" i="20"/>
  <c r="E1643" i="20"/>
  <c r="D1643" i="20"/>
  <c r="O1643" i="20"/>
  <c r="J1643" i="20"/>
  <c r="G1643" i="20"/>
  <c r="M1643" i="20"/>
  <c r="K1643" i="20"/>
  <c r="F307" i="20"/>
  <c r="J1042" i="20"/>
  <c r="E688" i="20"/>
  <c r="F596" i="20"/>
  <c r="D599" i="20"/>
  <c r="F1541" i="20"/>
  <c r="L419" i="20"/>
  <c r="E1364" i="20"/>
  <c r="N944" i="20"/>
  <c r="N241" i="20"/>
  <c r="D983" i="20"/>
  <c r="H1448" i="20"/>
  <c r="E991" i="20"/>
  <c r="M1541" i="20"/>
  <c r="K1439" i="20"/>
  <c r="I954" i="20"/>
  <c r="I688" i="20"/>
  <c r="H596" i="20"/>
  <c r="F599" i="20"/>
  <c r="G1439" i="20"/>
  <c r="J1513" i="20"/>
  <c r="E1541" i="20"/>
  <c r="E358" i="20"/>
  <c r="I793" i="20"/>
  <c r="L791" i="20"/>
  <c r="O944" i="20"/>
  <c r="K1493" i="20"/>
  <c r="G1073" i="20"/>
  <c r="H91" i="20"/>
  <c r="D91" i="20"/>
  <c r="G1537" i="20"/>
  <c r="H957" i="20"/>
  <c r="G599" i="20"/>
  <c r="J1064" i="20"/>
  <c r="F1329" i="20"/>
  <c r="F759" i="20"/>
  <c r="M1043" i="20"/>
  <c r="K1524" i="20"/>
  <c r="H1527" i="20"/>
  <c r="M252" i="20"/>
  <c r="G1696" i="20"/>
  <c r="I1119" i="20"/>
  <c r="F991" i="20"/>
  <c r="H1351" i="20"/>
  <c r="I983" i="20"/>
  <c r="L1618" i="20"/>
  <c r="G91" i="20"/>
  <c r="K432" i="20"/>
  <c r="I596" i="20"/>
  <c r="D403" i="20"/>
  <c r="G1522" i="20"/>
  <c r="H72" i="20"/>
  <c r="M954" i="20"/>
  <c r="E598" i="20"/>
  <c r="N688" i="20"/>
  <c r="J596" i="20"/>
  <c r="J957" i="20"/>
  <c r="E684" i="20"/>
  <c r="L1513" i="20"/>
  <c r="N1496" i="20"/>
  <c r="M522" i="20"/>
  <c r="N793" i="20"/>
  <c r="K1542" i="20"/>
  <c r="K1229" i="20"/>
  <c r="M1058" i="20"/>
  <c r="K101" i="20"/>
  <c r="J252" i="20"/>
  <c r="F788" i="20"/>
  <c r="J1182" i="20"/>
  <c r="I1182" i="20"/>
  <c r="H1061" i="20"/>
  <c r="D1061" i="20"/>
  <c r="H98" i="20"/>
  <c r="E374" i="20"/>
  <c r="M688" i="20"/>
  <c r="D683" i="20"/>
  <c r="C261" i="20"/>
  <c r="J1522" i="20"/>
  <c r="F598" i="20"/>
  <c r="F684" i="20"/>
  <c r="F879" i="20"/>
  <c r="E879" i="20"/>
  <c r="I822" i="20"/>
  <c r="G388" i="20"/>
  <c r="N1723" i="20"/>
  <c r="H759" i="20"/>
  <c r="K911" i="20"/>
  <c r="J911" i="20"/>
  <c r="K207" i="20"/>
  <c r="J1493" i="20"/>
  <c r="K344" i="20"/>
  <c r="I344" i="20"/>
  <c r="G803" i="20"/>
  <c r="G241" i="20"/>
  <c r="N374" i="20"/>
  <c r="J1283" i="20"/>
  <c r="L986" i="20"/>
  <c r="H522" i="20"/>
  <c r="D522" i="20"/>
  <c r="O98" i="20"/>
  <c r="C381" i="20"/>
  <c r="M390" i="20"/>
  <c r="E390" i="20"/>
  <c r="J390" i="20"/>
  <c r="I390" i="20"/>
  <c r="H390" i="20"/>
  <c r="G390" i="20"/>
  <c r="F390" i="20"/>
  <c r="D390" i="20"/>
  <c r="O390" i="20"/>
  <c r="N390" i="20"/>
  <c r="K390" i="20"/>
  <c r="L390" i="20"/>
  <c r="G1571" i="20"/>
  <c r="G71" i="20"/>
  <c r="N1065" i="20"/>
  <c r="O1411" i="20"/>
  <c r="E1478" i="20"/>
  <c r="F1243" i="20"/>
  <c r="I1482" i="20"/>
  <c r="O556" i="20"/>
  <c r="D1018" i="20"/>
  <c r="F1239" i="20"/>
  <c r="H833" i="20"/>
  <c r="L1396" i="20"/>
  <c r="D597" i="20"/>
  <c r="N1391" i="20"/>
  <c r="L1393" i="20"/>
  <c r="L1359" i="20"/>
  <c r="I1634" i="20"/>
  <c r="E524" i="20"/>
  <c r="K1182" i="20"/>
  <c r="M744" i="20"/>
  <c r="O1182" i="20"/>
  <c r="F1708" i="20"/>
  <c r="G402" i="20"/>
  <c r="L552" i="20"/>
  <c r="I1556" i="20"/>
  <c r="H71" i="20"/>
  <c r="O1065" i="20"/>
  <c r="G1243" i="20"/>
  <c r="G1482" i="20"/>
  <c r="C441" i="20"/>
  <c r="C426" i="20"/>
  <c r="D556" i="20"/>
  <c r="D402" i="20"/>
  <c r="E1018" i="20"/>
  <c r="H1239" i="20"/>
  <c r="I833" i="20"/>
  <c r="N1396" i="20"/>
  <c r="E597" i="20"/>
  <c r="O1391" i="20"/>
  <c r="O1393" i="20"/>
  <c r="L1196" i="20"/>
  <c r="O1196" i="20"/>
  <c r="H1634" i="20"/>
  <c r="J1003" i="20"/>
  <c r="K1604" i="20"/>
  <c r="H1334" i="20"/>
  <c r="M1334" i="20"/>
  <c r="N699" i="20"/>
  <c r="M1047" i="20"/>
  <c r="L1047" i="20"/>
  <c r="K1047" i="20"/>
  <c r="H1047" i="20"/>
  <c r="J1047" i="20"/>
  <c r="I1047" i="20"/>
  <c r="G1047" i="20"/>
  <c r="F1047" i="20"/>
  <c r="E1047" i="20"/>
  <c r="D1047" i="20"/>
  <c r="O1047" i="20"/>
  <c r="N1047" i="20"/>
  <c r="D1065" i="20"/>
  <c r="H1243" i="20"/>
  <c r="D742" i="20"/>
  <c r="K631" i="20"/>
  <c r="E556" i="20"/>
  <c r="J402" i="20"/>
  <c r="F1018" i="20"/>
  <c r="I1239" i="20"/>
  <c r="J833" i="20"/>
  <c r="O1396" i="20"/>
  <c r="H597" i="20"/>
  <c r="E1391" i="20"/>
  <c r="E1393" i="20"/>
  <c r="K431" i="20"/>
  <c r="C1071" i="20"/>
  <c r="C981" i="20"/>
  <c r="M71" i="20"/>
  <c r="L631" i="20"/>
  <c r="F556" i="20"/>
  <c r="K402" i="20"/>
  <c r="G1018" i="20"/>
  <c r="J1239" i="20"/>
  <c r="K833" i="20"/>
  <c r="E1396" i="20"/>
  <c r="I597" i="20"/>
  <c r="G1391" i="20"/>
  <c r="F1393" i="20"/>
  <c r="M1359" i="20"/>
  <c r="K1359" i="20"/>
  <c r="I447" i="20"/>
  <c r="G1634" i="20"/>
  <c r="N1634" i="20"/>
  <c r="O447" i="20"/>
  <c r="E1598" i="20"/>
  <c r="O818" i="20"/>
  <c r="H1512" i="20"/>
  <c r="E1183" i="20"/>
  <c r="J899" i="20"/>
  <c r="F661" i="20"/>
  <c r="E1065" i="20"/>
  <c r="H1571" i="20"/>
  <c r="J1243" i="20"/>
  <c r="G742" i="20"/>
  <c r="N71" i="20"/>
  <c r="F1065" i="20"/>
  <c r="D1571" i="20"/>
  <c r="L1243" i="20"/>
  <c r="I742" i="20"/>
  <c r="K496" i="20"/>
  <c r="N631" i="20"/>
  <c r="M402" i="20"/>
  <c r="H1018" i="20"/>
  <c r="K1239" i="20"/>
  <c r="L833" i="20"/>
  <c r="I1396" i="20"/>
  <c r="H1391" i="20"/>
  <c r="D1393" i="20"/>
  <c r="K503" i="20"/>
  <c r="D447" i="20"/>
  <c r="H661" i="20"/>
  <c r="F1634" i="20"/>
  <c r="N976" i="20"/>
  <c r="I1723" i="20"/>
  <c r="I911" i="20"/>
  <c r="K661" i="20"/>
  <c r="E431" i="20"/>
  <c r="D1328" i="20"/>
  <c r="G1003" i="20"/>
  <c r="L158" i="20"/>
  <c r="J374" i="20"/>
  <c r="L1721" i="20"/>
  <c r="K71" i="20"/>
  <c r="L71" i="20"/>
  <c r="G1065" i="20"/>
  <c r="I1571" i="20"/>
  <c r="M1243" i="20"/>
  <c r="O742" i="20"/>
  <c r="L496" i="20"/>
  <c r="D1556" i="20"/>
  <c r="O631" i="20"/>
  <c r="K1238" i="20"/>
  <c r="N402" i="20"/>
  <c r="I1018" i="20"/>
  <c r="N1239" i="20"/>
  <c r="M833" i="20"/>
  <c r="J1396" i="20"/>
  <c r="I1391" i="20"/>
  <c r="J1393" i="20"/>
  <c r="E1196" i="20"/>
  <c r="G661" i="20"/>
  <c r="L451" i="20"/>
  <c r="H447" i="20"/>
  <c r="G447" i="20"/>
  <c r="J1109" i="20"/>
  <c r="J177" i="20"/>
  <c r="F1628" i="20"/>
  <c r="O744" i="20"/>
  <c r="N177" i="20"/>
  <c r="J1512" i="20"/>
  <c r="E1512" i="20"/>
  <c r="O1531" i="20"/>
  <c r="J969" i="20"/>
  <c r="D1708" i="20"/>
  <c r="L653" i="20"/>
  <c r="C786" i="20"/>
  <c r="O402" i="20"/>
  <c r="F402" i="20"/>
  <c r="F1238" i="20"/>
  <c r="G104" i="20"/>
  <c r="F104" i="20"/>
  <c r="E104" i="20"/>
  <c r="O104" i="20"/>
  <c r="D104" i="20"/>
  <c r="M104" i="20"/>
  <c r="N104" i="20"/>
  <c r="L104" i="20"/>
  <c r="I104" i="20"/>
  <c r="H104" i="20"/>
  <c r="K104" i="20"/>
  <c r="J104" i="20"/>
  <c r="K1065" i="20"/>
  <c r="L742" i="20"/>
  <c r="E1334" i="20"/>
  <c r="E496" i="20"/>
  <c r="H631" i="20"/>
  <c r="O1215" i="20"/>
  <c r="G1238" i="20"/>
  <c r="E1515" i="20"/>
  <c r="H402" i="20"/>
  <c r="N61" i="20"/>
  <c r="M552" i="20"/>
  <c r="M1259" i="20"/>
  <c r="K899" i="20"/>
  <c r="F1584" i="20"/>
  <c r="K240" i="20"/>
  <c r="J180" i="20"/>
  <c r="G1275" i="20"/>
  <c r="N447" i="20"/>
  <c r="I1073" i="20"/>
  <c r="K1708" i="20"/>
  <c r="M374" i="20"/>
  <c r="I1721" i="20"/>
  <c r="J71" i="20"/>
  <c r="G594" i="20"/>
  <c r="C1191" i="20"/>
  <c r="K1571" i="20"/>
  <c r="N69" i="20"/>
  <c r="N742" i="20"/>
  <c r="F496" i="20"/>
  <c r="L1556" i="20"/>
  <c r="I631" i="20"/>
  <c r="D1215" i="20"/>
  <c r="I1238" i="20"/>
  <c r="F1574" i="20"/>
  <c r="F1515" i="20"/>
  <c r="I402" i="20"/>
  <c r="O61" i="20"/>
  <c r="O552" i="20"/>
  <c r="N1259" i="20"/>
  <c r="L899" i="20"/>
  <c r="D1584" i="20"/>
  <c r="L240" i="20"/>
  <c r="H1275" i="20"/>
  <c r="G451" i="20"/>
  <c r="O451" i="20"/>
  <c r="G1358" i="20"/>
  <c r="D177" i="20"/>
  <c r="E976" i="20"/>
  <c r="I1628" i="20"/>
  <c r="E1058" i="20"/>
  <c r="M1182" i="20"/>
  <c r="J526" i="20"/>
  <c r="L1718" i="20"/>
  <c r="I1614" i="20"/>
  <c r="H1721" i="20"/>
  <c r="H594" i="20"/>
  <c r="E1571" i="20"/>
  <c r="E69" i="20"/>
  <c r="C696" i="20"/>
  <c r="E742" i="20"/>
  <c r="G496" i="20"/>
  <c r="O1556" i="20"/>
  <c r="J631" i="20"/>
  <c r="E1215" i="20"/>
  <c r="J1238" i="20"/>
  <c r="K1574" i="20"/>
  <c r="I1515" i="20"/>
  <c r="H61" i="20"/>
  <c r="F552" i="20"/>
  <c r="M899" i="20"/>
  <c r="L1584" i="20"/>
  <c r="M240" i="20"/>
  <c r="I1275" i="20"/>
  <c r="I1196" i="20"/>
  <c r="O1314" i="20"/>
  <c r="L177" i="20"/>
  <c r="I1314" i="20"/>
  <c r="O823" i="20"/>
  <c r="F524" i="20"/>
  <c r="J1073" i="20"/>
  <c r="E1696" i="20"/>
  <c r="H969" i="20"/>
  <c r="I1708" i="20"/>
  <c r="I594" i="20"/>
  <c r="J1478" i="20"/>
  <c r="F69" i="20"/>
  <c r="F742" i="20"/>
  <c r="H496" i="20"/>
  <c r="J1556" i="20"/>
  <c r="F1215" i="20"/>
  <c r="L1238" i="20"/>
  <c r="E1574" i="20"/>
  <c r="M1515" i="20"/>
  <c r="I864" i="20"/>
  <c r="M61" i="20"/>
  <c r="G552" i="20"/>
  <c r="N899" i="20"/>
  <c r="N1584" i="20"/>
  <c r="N240" i="20"/>
  <c r="L1275" i="20"/>
  <c r="F1196" i="20"/>
  <c r="D1359" i="20"/>
  <c r="N1359" i="20"/>
  <c r="K1628" i="20"/>
  <c r="G976" i="20"/>
  <c r="L1314" i="20"/>
  <c r="J1314" i="20"/>
  <c r="D818" i="20"/>
  <c r="G177" i="20"/>
  <c r="O1058" i="20"/>
  <c r="N823" i="20"/>
  <c r="N1182" i="20"/>
  <c r="M969" i="20"/>
  <c r="D701" i="20"/>
  <c r="G1707" i="20"/>
  <c r="G1708" i="20"/>
  <c r="K1183" i="20"/>
  <c r="N653" i="20"/>
  <c r="I1183" i="20"/>
  <c r="I851" i="20"/>
  <c r="J1215" i="20"/>
  <c r="M1238" i="20"/>
  <c r="L1574" i="20"/>
  <c r="O1515" i="20"/>
  <c r="J864" i="20"/>
  <c r="H611" i="20"/>
  <c r="D61" i="20"/>
  <c r="H552" i="20"/>
  <c r="E1586" i="20"/>
  <c r="O899" i="20"/>
  <c r="G1584" i="20"/>
  <c r="O240" i="20"/>
  <c r="M1275" i="20"/>
  <c r="I508" i="20"/>
  <c r="I1512" i="20"/>
  <c r="G508" i="20"/>
  <c r="I496" i="20"/>
  <c r="N1556" i="20"/>
  <c r="L594" i="20"/>
  <c r="N1411" i="20"/>
  <c r="G1478" i="20"/>
  <c r="H69" i="20"/>
  <c r="E1482" i="20"/>
  <c r="J496" i="20"/>
  <c r="K1556" i="20"/>
  <c r="L1215" i="20"/>
  <c r="H1238" i="20"/>
  <c r="O1574" i="20"/>
  <c r="H1515" i="20"/>
  <c r="L864" i="20"/>
  <c r="I611" i="20"/>
  <c r="E61" i="20"/>
  <c r="I552" i="20"/>
  <c r="K1586" i="20"/>
  <c r="D899" i="20"/>
  <c r="M1584" i="20"/>
  <c r="D240" i="20"/>
  <c r="O1275" i="20"/>
  <c r="J1359" i="20"/>
  <c r="E699" i="20"/>
  <c r="D976" i="20"/>
  <c r="M1314" i="20"/>
  <c r="H177" i="20"/>
  <c r="K789" i="20"/>
  <c r="E823" i="20"/>
  <c r="M1512" i="20"/>
  <c r="H1708" i="20"/>
  <c r="D1721" i="20"/>
  <c r="E1556" i="20"/>
  <c r="G556" i="20"/>
  <c r="I1574" i="20"/>
  <c r="N1515" i="20"/>
  <c r="N1506" i="20" s="1"/>
  <c r="M864" i="20"/>
  <c r="J611" i="20"/>
  <c r="F61" i="20"/>
  <c r="J552" i="20"/>
  <c r="J1586" i="20"/>
  <c r="E899" i="20"/>
  <c r="E1584" i="20"/>
  <c r="E240" i="20"/>
  <c r="E1275" i="20"/>
  <c r="N1342" i="20"/>
  <c r="D744" i="20"/>
  <c r="J508" i="20"/>
  <c r="M1073" i="20"/>
  <c r="M851" i="20"/>
  <c r="D1183" i="20"/>
  <c r="J1571" i="20"/>
  <c r="L69" i="20"/>
  <c r="J1482" i="20"/>
  <c r="H556" i="20"/>
  <c r="M1574" i="20"/>
  <c r="N864" i="20"/>
  <c r="L611" i="20"/>
  <c r="G61" i="20"/>
  <c r="E1095" i="20"/>
  <c r="F899" i="20"/>
  <c r="H1584" i="20"/>
  <c r="F240" i="20"/>
  <c r="C1206" i="20"/>
  <c r="K1275" i="20"/>
  <c r="O1342" i="20"/>
  <c r="L698" i="20"/>
  <c r="O702" i="20"/>
  <c r="H508" i="20"/>
  <c r="O1512" i="20"/>
  <c r="K1707" i="20"/>
  <c r="N969" i="20"/>
  <c r="L969" i="20"/>
  <c r="E744" i="20"/>
  <c r="F1707" i="20"/>
  <c r="G1182" i="20"/>
  <c r="J158" i="20"/>
  <c r="L374" i="20"/>
  <c r="E594" i="20"/>
  <c r="L1515" i="20"/>
  <c r="I180" i="20"/>
  <c r="L1391" i="20"/>
  <c r="E1358" i="20"/>
  <c r="J594" i="20"/>
  <c r="K1411" i="20"/>
  <c r="N1478" i="20"/>
  <c r="C31" i="19"/>
  <c r="N1482" i="20"/>
  <c r="I556" i="20"/>
  <c r="D1574" i="20"/>
  <c r="O864" i="20"/>
  <c r="O611" i="20"/>
  <c r="J61" i="20"/>
  <c r="F1095" i="20"/>
  <c r="I1584" i="20"/>
  <c r="G240" i="20"/>
  <c r="F1342" i="20"/>
  <c r="G494" i="20"/>
  <c r="H1359" i="20"/>
  <c r="O1541" i="20"/>
  <c r="G1541" i="20"/>
  <c r="I1197" i="20"/>
  <c r="L522" i="20"/>
  <c r="N924" i="20"/>
  <c r="F1358" i="20"/>
  <c r="M1197" i="20"/>
  <c r="F522" i="20"/>
  <c r="L1058" i="20"/>
  <c r="E988" i="20"/>
  <c r="M988" i="20"/>
  <c r="N1603" i="20"/>
  <c r="L264" i="20"/>
  <c r="L1334" i="20"/>
  <c r="J431" i="20"/>
  <c r="O991" i="20"/>
  <c r="L1696" i="20"/>
  <c r="M1708" i="20"/>
  <c r="N1708" i="20"/>
  <c r="N1648" i="20"/>
  <c r="E1721" i="20"/>
  <c r="M447" i="20"/>
  <c r="G69" i="20"/>
  <c r="K1482" i="20"/>
  <c r="J556" i="20"/>
  <c r="G1574" i="20"/>
  <c r="D864" i="20"/>
  <c r="E611" i="20"/>
  <c r="G1095" i="20"/>
  <c r="K1584" i="20"/>
  <c r="H240" i="20"/>
  <c r="J1342" i="20"/>
  <c r="G1393" i="20"/>
  <c r="H494" i="20"/>
  <c r="E761" i="20"/>
  <c r="H818" i="20"/>
  <c r="D1109" i="20"/>
  <c r="J1723" i="20"/>
  <c r="N987" i="20"/>
  <c r="K1109" i="20"/>
  <c r="I744" i="20"/>
  <c r="G1512" i="20"/>
  <c r="O524" i="20"/>
  <c r="D1182" i="20"/>
  <c r="F1334" i="20"/>
  <c r="F128" i="20"/>
  <c r="G941" i="20"/>
  <c r="S26" i="27"/>
  <c r="AA26" i="27" s="1"/>
  <c r="J186" i="20"/>
  <c r="G631" i="20"/>
  <c r="E833" i="20"/>
  <c r="F594" i="20"/>
  <c r="D69" i="20"/>
  <c r="F1411" i="20"/>
  <c r="K556" i="20"/>
  <c r="H1574" i="20"/>
  <c r="F864" i="20"/>
  <c r="F611" i="20"/>
  <c r="J1095" i="20"/>
  <c r="C1521" i="20"/>
  <c r="H1396" i="20"/>
  <c r="L597" i="20"/>
  <c r="O1584" i="20"/>
  <c r="I240" i="20"/>
  <c r="D1342" i="20"/>
  <c r="N1393" i="20"/>
  <c r="J494" i="20"/>
  <c r="G699" i="20"/>
  <c r="I818" i="20"/>
  <c r="M1644" i="20"/>
  <c r="F818" i="20"/>
  <c r="D1043" i="20"/>
  <c r="G522" i="20"/>
  <c r="H1644" i="20"/>
  <c r="K988" i="20"/>
  <c r="D1321" i="20"/>
  <c r="K1621" i="20"/>
  <c r="K241" i="20"/>
  <c r="M1696" i="20"/>
  <c r="G851" i="20"/>
  <c r="I852" i="20"/>
  <c r="G751" i="20"/>
  <c r="E1681" i="20"/>
  <c r="I1478" i="20"/>
  <c r="M1478" i="20"/>
  <c r="D1478" i="20"/>
  <c r="O1482" i="20"/>
  <c r="L556" i="20"/>
  <c r="J1574" i="20"/>
  <c r="K1018" i="20"/>
  <c r="L1239" i="20"/>
  <c r="G611" i="20"/>
  <c r="K1095" i="20"/>
  <c r="K1396" i="20"/>
  <c r="M597" i="20"/>
  <c r="H1393" i="20"/>
  <c r="K494" i="20"/>
  <c r="O1509" i="20"/>
  <c r="C66" i="19"/>
  <c r="K699" i="20"/>
  <c r="D1644" i="20"/>
  <c r="E1109" i="20"/>
  <c r="I1644" i="20"/>
  <c r="J822" i="20"/>
  <c r="O924" i="20"/>
  <c r="K266" i="20"/>
  <c r="M1194" i="20"/>
  <c r="I524" i="20"/>
  <c r="O344" i="20"/>
  <c r="D969" i="20"/>
  <c r="O128" i="20"/>
  <c r="M594" i="20"/>
  <c r="E1411" i="20"/>
  <c r="H1478" i="20"/>
  <c r="K69" i="20"/>
  <c r="F1482" i="20"/>
  <c r="L1478" i="20"/>
  <c r="H1411" i="20"/>
  <c r="M1411" i="20"/>
  <c r="I1411" i="20"/>
  <c r="F1478" i="20"/>
  <c r="D1482" i="20"/>
  <c r="M556" i="20"/>
  <c r="L1018" i="20"/>
  <c r="D1239" i="20"/>
  <c r="F833" i="20"/>
  <c r="N959" i="20"/>
  <c r="M1095" i="20"/>
  <c r="D1396" i="20"/>
  <c r="N597" i="20"/>
  <c r="F1136" i="20"/>
  <c r="D1391" i="20"/>
  <c r="I1393" i="20"/>
  <c r="G419" i="20"/>
  <c r="E1119" i="20"/>
  <c r="L699" i="20"/>
  <c r="F1064" i="20"/>
  <c r="F699" i="20"/>
  <c r="D1361" i="20"/>
  <c r="D1723" i="20"/>
  <c r="M1724" i="20"/>
  <c r="G1619" i="20"/>
  <c r="G1314" i="20"/>
  <c r="I266" i="20"/>
  <c r="G1454" i="20"/>
  <c r="E646" i="20"/>
  <c r="M226" i="20"/>
  <c r="M983" i="20"/>
  <c r="M103" i="20"/>
  <c r="L1088" i="20"/>
  <c r="H1707" i="20"/>
  <c r="D264" i="20"/>
  <c r="J233" i="20"/>
  <c r="N1721" i="20"/>
  <c r="M1648" i="20"/>
  <c r="L1259" i="20"/>
  <c r="F1275" i="20"/>
  <c r="H699" i="20"/>
  <c r="F1183" i="20"/>
  <c r="L1065" i="20"/>
  <c r="G1411" i="20"/>
  <c r="J1411" i="20"/>
  <c r="O1478" i="20"/>
  <c r="L1482" i="20"/>
  <c r="L1411" i="20"/>
  <c r="E1243" i="20"/>
  <c r="H1482" i="20"/>
  <c r="N141" i="20"/>
  <c r="D1095" i="20"/>
  <c r="O597" i="20"/>
  <c r="C1506" i="20"/>
  <c r="K1393" i="20"/>
  <c r="M698" i="20"/>
  <c r="L447" i="20"/>
  <c r="J641" i="20"/>
  <c r="G266" i="20"/>
  <c r="E1194" i="20"/>
  <c r="K1512" i="20"/>
  <c r="K969" i="20"/>
  <c r="G991" i="20"/>
  <c r="K1543" i="20"/>
  <c r="F1721" i="20"/>
  <c r="K1541" i="20"/>
  <c r="O1588" i="20"/>
  <c r="F73" i="20"/>
  <c r="G1628" i="20"/>
  <c r="M1598" i="20"/>
  <c r="O252" i="20"/>
  <c r="G526" i="20"/>
  <c r="K282" i="20"/>
  <c r="K751" i="20"/>
  <c r="E1711" i="20"/>
  <c r="I1711" i="20"/>
  <c r="N1711" i="20"/>
  <c r="G1711" i="20"/>
  <c r="D1711" i="20"/>
  <c r="M1711" i="20"/>
  <c r="J1711" i="20"/>
  <c r="H1711" i="20"/>
  <c r="L1711" i="20"/>
  <c r="F1711" i="20"/>
  <c r="K1711" i="20"/>
  <c r="O1711" i="20"/>
  <c r="D698" i="20"/>
  <c r="F1598" i="20"/>
  <c r="K509" i="20"/>
  <c r="I252" i="20"/>
  <c r="O282" i="20"/>
  <c r="J698" i="20"/>
  <c r="N854" i="20"/>
  <c r="D534" i="20"/>
  <c r="L209" i="20"/>
  <c r="C996" i="20"/>
  <c r="D1588" i="20"/>
  <c r="J73" i="20"/>
  <c r="I1201" i="20"/>
  <c r="K354" i="20"/>
  <c r="N354" i="20"/>
  <c r="L504" i="20"/>
  <c r="O526" i="20"/>
  <c r="H1215" i="20"/>
  <c r="H1095" i="20"/>
  <c r="H1586" i="20"/>
  <c r="F1259" i="20"/>
  <c r="F597" i="20"/>
  <c r="G1588" i="20"/>
  <c r="N73" i="20"/>
  <c r="K698" i="20"/>
  <c r="L1201" i="20"/>
  <c r="D1314" i="20"/>
  <c r="F983" i="20"/>
  <c r="M354" i="20"/>
  <c r="M944" i="20"/>
  <c r="F509" i="20"/>
  <c r="O431" i="20"/>
  <c r="O851" i="20"/>
  <c r="I751" i="20"/>
  <c r="I1215" i="20"/>
  <c r="I1095" i="20"/>
  <c r="D1586" i="20"/>
  <c r="O1259" i="20"/>
  <c r="G597" i="20"/>
  <c r="E1136" i="20"/>
  <c r="K1588" i="20"/>
  <c r="O73" i="20"/>
  <c r="L1003" i="20"/>
  <c r="K1634" i="20"/>
  <c r="O1441" i="20"/>
  <c r="O1094" i="20"/>
  <c r="K1314" i="20"/>
  <c r="D1096" i="20"/>
  <c r="E1601" i="20"/>
  <c r="H1361" i="20"/>
  <c r="L1109" i="20"/>
  <c r="L266" i="20"/>
  <c r="I944" i="20"/>
  <c r="G524" i="20"/>
  <c r="F1194" i="20"/>
  <c r="I1434" i="20"/>
  <c r="N1434" i="20"/>
  <c r="O1317" i="20"/>
  <c r="O1718" i="20"/>
  <c r="M1718" i="20"/>
  <c r="D852" i="20"/>
  <c r="N282" i="20"/>
  <c r="F233" i="20"/>
  <c r="K519" i="20"/>
  <c r="M653" i="20"/>
  <c r="H233" i="20"/>
  <c r="D73" i="20"/>
  <c r="G987" i="20"/>
  <c r="F987" i="20"/>
  <c r="D509" i="20"/>
  <c r="J1194" i="20"/>
  <c r="O1328" i="20"/>
  <c r="F282" i="20"/>
  <c r="L1614" i="20"/>
  <c r="N1614" i="20"/>
  <c r="O1614" i="20"/>
  <c r="M1215" i="20"/>
  <c r="L1095" i="20"/>
  <c r="L1586" i="20"/>
  <c r="J597" i="20"/>
  <c r="H73" i="20"/>
  <c r="I641" i="20"/>
  <c r="G641" i="20"/>
  <c r="O1628" i="20"/>
  <c r="H266" i="20"/>
  <c r="E526" i="20"/>
  <c r="N526" i="20"/>
  <c r="L1317" i="20"/>
  <c r="E804" i="20"/>
  <c r="M282" i="20"/>
  <c r="D233" i="20"/>
  <c r="L233" i="20"/>
  <c r="P1709" i="20"/>
  <c r="L1424" i="20"/>
  <c r="J761" i="20"/>
  <c r="F1614" i="20"/>
  <c r="O1571" i="20"/>
  <c r="K1243" i="20"/>
  <c r="K864" i="20"/>
  <c r="C936" i="20"/>
  <c r="N1095" i="20"/>
  <c r="N1586" i="20"/>
  <c r="J1259" i="20"/>
  <c r="F494" i="20"/>
  <c r="J1634" i="20"/>
  <c r="I1543" i="20"/>
  <c r="H1543" i="20"/>
  <c r="N698" i="20"/>
  <c r="M1358" i="20"/>
  <c r="E1043" i="20"/>
  <c r="N1601" i="20"/>
  <c r="N1109" i="20"/>
  <c r="H1601" i="20"/>
  <c r="O446" i="20"/>
  <c r="K878" i="20"/>
  <c r="J744" i="20"/>
  <c r="F266" i="20"/>
  <c r="J524" i="20"/>
  <c r="D524" i="20"/>
  <c r="J266" i="20"/>
  <c r="H1321" i="20"/>
  <c r="F1073" i="20"/>
  <c r="D1073" i="20"/>
  <c r="N804" i="20"/>
  <c r="H1106" i="20"/>
  <c r="J1183" i="20"/>
  <c r="F88" i="20"/>
  <c r="H1614" i="20"/>
  <c r="AA25" i="27"/>
  <c r="I1586" i="20"/>
  <c r="D1259" i="20"/>
  <c r="M1196" i="20"/>
  <c r="N1598" i="20"/>
  <c r="F641" i="20"/>
  <c r="K1361" i="20"/>
  <c r="N509" i="20"/>
  <c r="M526" i="20"/>
  <c r="K1531" i="20"/>
  <c r="F852" i="20"/>
  <c r="O852" i="20"/>
  <c r="N534" i="20"/>
  <c r="F1681" i="20"/>
  <c r="D1094" i="20"/>
  <c r="N1628" i="20"/>
  <c r="E641" i="20"/>
  <c r="H1194" i="20"/>
  <c r="G226" i="20"/>
  <c r="F226" i="20"/>
  <c r="I804" i="20"/>
  <c r="O1598" i="20"/>
  <c r="D266" i="20"/>
  <c r="I1081" i="20"/>
  <c r="H282" i="20"/>
  <c r="E282" i="20"/>
  <c r="AA7" i="27"/>
  <c r="E1342" i="20"/>
  <c r="N1196" i="20"/>
  <c r="K1424" i="20"/>
  <c r="I698" i="20"/>
  <c r="I354" i="20"/>
  <c r="O266" i="20"/>
  <c r="G509" i="20"/>
  <c r="K1434" i="20"/>
  <c r="H226" i="20"/>
  <c r="O226" i="20"/>
  <c r="J941" i="20"/>
  <c r="E941" i="20"/>
  <c r="G1342" i="20"/>
  <c r="L686" i="20"/>
  <c r="M1634" i="20"/>
  <c r="H761" i="20"/>
  <c r="M641" i="20"/>
  <c r="I446" i="20"/>
  <c r="K702" i="20"/>
  <c r="H641" i="20"/>
  <c r="I1619" i="20"/>
  <c r="M1601" i="20"/>
  <c r="O789" i="20"/>
  <c r="K446" i="20"/>
  <c r="M1454" i="20"/>
  <c r="L509" i="20"/>
  <c r="E241" i="20"/>
  <c r="E912" i="20"/>
  <c r="L1061" i="20"/>
  <c r="J264" i="20"/>
  <c r="L508" i="20"/>
  <c r="J852" i="20"/>
  <c r="L88" i="20"/>
  <c r="D653" i="20"/>
  <c r="O751" i="20"/>
  <c r="M751" i="20"/>
  <c r="C306" i="20"/>
  <c r="O180" i="20"/>
  <c r="E864" i="20"/>
  <c r="K611" i="20"/>
  <c r="N552" i="20"/>
  <c r="O72" i="20"/>
  <c r="K180" i="20"/>
  <c r="I1342" i="20"/>
  <c r="M686" i="20"/>
  <c r="F1003" i="20"/>
  <c r="M1543" i="20"/>
  <c r="O698" i="20"/>
  <c r="H1719" i="20"/>
  <c r="L1358" i="20"/>
  <c r="I1598" i="20"/>
  <c r="I1003" i="20"/>
  <c r="G878" i="20"/>
  <c r="E1314" i="20"/>
  <c r="N266" i="20"/>
  <c r="E1184" i="20"/>
  <c r="N524" i="20"/>
  <c r="F1081" i="20"/>
  <c r="N974" i="20"/>
  <c r="O241" i="20"/>
  <c r="F1513" i="20"/>
  <c r="F701" i="20"/>
  <c r="N523" i="20"/>
  <c r="O1434" i="20"/>
  <c r="I523" i="20"/>
  <c r="I1441" i="20"/>
  <c r="L282" i="20"/>
  <c r="F941" i="20"/>
  <c r="M233" i="20"/>
  <c r="K233" i="20"/>
  <c r="L180" i="20"/>
  <c r="K1342" i="20"/>
  <c r="K761" i="20"/>
  <c r="H354" i="20"/>
  <c r="J644" i="20"/>
  <c r="F354" i="20"/>
  <c r="G1598" i="20"/>
  <c r="O504" i="20"/>
  <c r="K1194" i="20"/>
  <c r="M1328" i="20"/>
  <c r="H264" i="20"/>
  <c r="M1434" i="20"/>
  <c r="M1094" i="20"/>
  <c r="C1056" i="20"/>
  <c r="G864" i="20"/>
  <c r="M611" i="20"/>
  <c r="D552" i="20"/>
  <c r="D180" i="20"/>
  <c r="F1588" i="20"/>
  <c r="C1341" i="20"/>
  <c r="E1543" i="20"/>
  <c r="I656" i="20"/>
  <c r="F656" i="20"/>
  <c r="E924" i="20"/>
  <c r="H1628" i="20"/>
  <c r="E354" i="20"/>
  <c r="K1003" i="20"/>
  <c r="K1046" i="20"/>
  <c r="E1081" i="20"/>
  <c r="E1328" i="20"/>
  <c r="O1696" i="20"/>
  <c r="H1073" i="20"/>
  <c r="L526" i="20"/>
  <c r="F928" i="20"/>
  <c r="G264" i="20"/>
  <c r="L804" i="20"/>
  <c r="L851" i="20"/>
  <c r="E233" i="20"/>
  <c r="K1614" i="20"/>
  <c r="E1614" i="20"/>
  <c r="N611" i="20"/>
  <c r="E180" i="20"/>
  <c r="H1588" i="20"/>
  <c r="M1342" i="20"/>
  <c r="D1196" i="20"/>
  <c r="K1119" i="20"/>
  <c r="J699" i="20"/>
  <c r="H1201" i="20"/>
  <c r="K1598" i="20"/>
  <c r="G1601" i="20"/>
  <c r="I1601" i="20"/>
  <c r="J1361" i="20"/>
  <c r="D354" i="20"/>
  <c r="N504" i="20"/>
  <c r="H944" i="20"/>
  <c r="L252" i="20"/>
  <c r="O912" i="20"/>
  <c r="L431" i="20"/>
  <c r="E852" i="20"/>
  <c r="D851" i="20"/>
  <c r="N1183" i="20"/>
  <c r="O1184" i="20"/>
  <c r="G180" i="20"/>
  <c r="H1342" i="20"/>
  <c r="J1094" i="20"/>
  <c r="G698" i="20"/>
  <c r="L354" i="20"/>
  <c r="G354" i="20"/>
  <c r="F1314" i="20"/>
  <c r="M504" i="20"/>
  <c r="I1194" i="20"/>
  <c r="N252" i="20"/>
  <c r="O1081" i="20"/>
  <c r="D1434" i="20"/>
  <c r="F1531" i="20"/>
  <c r="I928" i="20"/>
  <c r="H1002" i="20"/>
  <c r="M852" i="20"/>
  <c r="F698" i="20"/>
  <c r="G1681" i="20"/>
  <c r="O956" i="20"/>
  <c r="N598" i="20"/>
  <c r="I1151" i="20"/>
  <c r="D494" i="20"/>
  <c r="G1424" i="20"/>
  <c r="F432" i="20"/>
  <c r="N1424" i="20"/>
  <c r="M1378" i="20"/>
  <c r="F702" i="20"/>
  <c r="E702" i="20"/>
  <c r="J1628" i="20"/>
  <c r="F923" i="20"/>
  <c r="N788" i="20"/>
  <c r="H789" i="20"/>
  <c r="M1539" i="20"/>
  <c r="G1539" i="20"/>
  <c r="H803" i="20"/>
  <c r="O1604" i="20"/>
  <c r="M1321" i="20"/>
  <c r="D1106" i="20"/>
  <c r="O653" i="20"/>
  <c r="D761" i="20"/>
  <c r="E1347" i="20"/>
  <c r="L141" i="20"/>
  <c r="M1492" i="20"/>
  <c r="I1312" i="20"/>
  <c r="O1492" i="20"/>
  <c r="K608" i="20"/>
  <c r="G427" i="20"/>
  <c r="D956" i="20"/>
  <c r="O598" i="20"/>
  <c r="J1151" i="20"/>
  <c r="E494" i="20"/>
  <c r="J967" i="20"/>
  <c r="I1424" i="20"/>
  <c r="F853" i="20"/>
  <c r="L1456" i="20"/>
  <c r="I923" i="20"/>
  <c r="D504" i="20"/>
  <c r="K1454" i="20"/>
  <c r="E923" i="20"/>
  <c r="N1088" i="20"/>
  <c r="H1621" i="20"/>
  <c r="G166" i="20"/>
  <c r="L159" i="20"/>
  <c r="M1663" i="20"/>
  <c r="O88" i="20"/>
  <c r="L1448" i="20"/>
  <c r="N1347" i="20"/>
  <c r="I653" i="20"/>
  <c r="E1492" i="20"/>
  <c r="L608" i="20"/>
  <c r="C1446" i="20"/>
  <c r="K1151" i="20"/>
  <c r="E803" i="20"/>
  <c r="K853" i="20"/>
  <c r="I1546" i="20"/>
  <c r="K1374" i="20"/>
  <c r="O1524" i="20"/>
  <c r="G1048" i="20"/>
  <c r="O159" i="20"/>
  <c r="G159" i="20"/>
  <c r="H853" i="20"/>
  <c r="I189" i="20"/>
  <c r="G1498" i="20"/>
  <c r="E1539" i="20"/>
  <c r="G646" i="20"/>
  <c r="M1424" i="20"/>
  <c r="M974" i="20"/>
  <c r="M1227" i="20"/>
  <c r="I538" i="20"/>
  <c r="O1312" i="20"/>
  <c r="J1492" i="20"/>
  <c r="O608" i="20"/>
  <c r="G598" i="20"/>
  <c r="D1151" i="20"/>
  <c r="L503" i="20"/>
  <c r="F761" i="20"/>
  <c r="D1543" i="20"/>
  <c r="O1543" i="20"/>
  <c r="G189" i="20"/>
  <c r="N789" i="20"/>
  <c r="L1423" i="20"/>
  <c r="E1088" i="20"/>
  <c r="D1048" i="20"/>
  <c r="F803" i="20"/>
  <c r="G1184" i="20"/>
  <c r="L1199" i="20"/>
  <c r="E263" i="20"/>
  <c r="G1706" i="20"/>
  <c r="M1678" i="20"/>
  <c r="L1492" i="20"/>
  <c r="J503" i="20"/>
  <c r="G791" i="20"/>
  <c r="K791" i="20"/>
  <c r="G1423" i="20"/>
  <c r="H1347" i="20"/>
  <c r="I1227" i="20"/>
  <c r="M586" i="20"/>
  <c r="G608" i="20"/>
  <c r="O427" i="20"/>
  <c r="L761" i="20"/>
  <c r="I819" i="20"/>
  <c r="E1424" i="20"/>
  <c r="O764" i="20"/>
  <c r="I644" i="20"/>
  <c r="K987" i="20"/>
  <c r="E189" i="20"/>
  <c r="E186" i="20" s="1"/>
  <c r="H1539" i="20"/>
  <c r="D252" i="20"/>
  <c r="D646" i="20"/>
  <c r="D1351" i="20"/>
  <c r="N1328" i="20"/>
  <c r="H698" i="20"/>
  <c r="K1706" i="20"/>
  <c r="C111" i="20"/>
  <c r="F1543" i="20"/>
  <c r="F764" i="20"/>
  <c r="E764" i="20"/>
  <c r="F1109" i="20"/>
  <c r="K818" i="20"/>
  <c r="F1456" i="20"/>
  <c r="L1378" i="20"/>
  <c r="L976" i="20"/>
  <c r="D189" i="20"/>
  <c r="I219" i="20"/>
  <c r="F944" i="20"/>
  <c r="K524" i="20"/>
  <c r="D1081" i="20"/>
  <c r="M264" i="20"/>
  <c r="N431" i="20"/>
  <c r="D1088" i="20"/>
  <c r="H1604" i="20"/>
  <c r="M912" i="20"/>
  <c r="D1604" i="20"/>
  <c r="O1321" i="20"/>
  <c r="G1434" i="20"/>
  <c r="M764" i="20"/>
  <c r="N656" i="20"/>
  <c r="N1678" i="20"/>
  <c r="M538" i="20"/>
  <c r="I1678" i="20"/>
  <c r="N346" i="20"/>
  <c r="N293" i="20"/>
  <c r="K1456" i="20"/>
  <c r="J1423" i="20"/>
  <c r="K116" i="20"/>
  <c r="O1423" i="20"/>
  <c r="O293" i="20"/>
  <c r="E419" i="20"/>
  <c r="N1724" i="20"/>
  <c r="H189" i="20"/>
  <c r="L1454" i="20"/>
  <c r="O646" i="20"/>
  <c r="M1061" i="20"/>
  <c r="K1718" i="20"/>
  <c r="M431" i="20"/>
  <c r="E1718" i="20"/>
  <c r="H743" i="20"/>
  <c r="L1328" i="20"/>
  <c r="F851" i="20"/>
  <c r="K159" i="20"/>
  <c r="G1448" i="20"/>
  <c r="C366" i="20"/>
  <c r="F586" i="20"/>
  <c r="D293" i="20"/>
  <c r="I853" i="20"/>
  <c r="H1424" i="20"/>
  <c r="G1546" i="20"/>
  <c r="D1546" i="20"/>
  <c r="H791" i="20"/>
  <c r="I1718" i="20"/>
  <c r="G1317" i="20"/>
  <c r="K1061" i="20"/>
  <c r="D1317" i="20"/>
  <c r="D974" i="20"/>
  <c r="M1604" i="20"/>
  <c r="D1347" i="20"/>
  <c r="O761" i="20"/>
  <c r="F293" i="20"/>
  <c r="M1456" i="20"/>
  <c r="J1524" i="20"/>
  <c r="M803" i="20"/>
  <c r="K1423" i="20"/>
  <c r="I1347" i="20"/>
  <c r="I586" i="20"/>
  <c r="E956" i="20"/>
  <c r="G293" i="20"/>
  <c r="N1546" i="20"/>
  <c r="K1199" i="20"/>
  <c r="O1436" i="20"/>
  <c r="F791" i="20"/>
  <c r="M987" i="20"/>
  <c r="L446" i="20"/>
  <c r="J789" i="20"/>
  <c r="F101" i="20"/>
  <c r="I1184" i="20"/>
  <c r="K1539" i="20"/>
  <c r="N1718" i="20"/>
  <c r="K166" i="20"/>
  <c r="M1317" i="20"/>
  <c r="M1184" i="20"/>
  <c r="K1184" i="20"/>
  <c r="F1048" i="20"/>
  <c r="E653" i="20"/>
  <c r="C1356" i="20"/>
  <c r="L1153" i="20"/>
  <c r="F956" i="20"/>
  <c r="H293" i="20"/>
  <c r="N503" i="20"/>
  <c r="I1199" i="20"/>
  <c r="K1546" i="20"/>
  <c r="J1199" i="20"/>
  <c r="J1456" i="20"/>
  <c r="G446" i="20"/>
  <c r="D1628" i="20"/>
  <c r="L1628" i="20"/>
  <c r="K1378" i="20"/>
  <c r="M923" i="20"/>
  <c r="L788" i="20"/>
  <c r="J1046" i="20"/>
  <c r="F1184" i="20"/>
  <c r="D1184" i="20"/>
  <c r="K1317" i="20"/>
  <c r="H1718" i="20"/>
  <c r="K1328" i="20"/>
  <c r="M743" i="20"/>
  <c r="L1663" i="20"/>
  <c r="H159" i="20"/>
  <c r="J432" i="20"/>
  <c r="O209" i="20"/>
  <c r="L1184" i="20"/>
  <c r="I293" i="20"/>
  <c r="D819" i="20"/>
  <c r="E1524" i="20"/>
  <c r="N1524" i="20"/>
  <c r="L974" i="20"/>
  <c r="G974" i="20"/>
  <c r="N853" i="20"/>
  <c r="M757" i="20"/>
  <c r="H894" i="20"/>
  <c r="M624" i="20"/>
  <c r="O1586" i="20"/>
  <c r="H1259" i="20"/>
  <c r="I956" i="20"/>
  <c r="N398" i="20"/>
  <c r="J72" i="20"/>
  <c r="K375" i="20"/>
  <c r="M180" i="20"/>
  <c r="I270" i="20"/>
  <c r="E1710" i="20"/>
  <c r="M57" i="20"/>
  <c r="E473" i="20"/>
  <c r="J293" i="20"/>
  <c r="I686" i="20"/>
  <c r="F967" i="20"/>
  <c r="J1509" i="20"/>
  <c r="G1199" i="20"/>
  <c r="K1436" i="20"/>
  <c r="O661" i="20"/>
  <c r="E656" i="20"/>
  <c r="O1358" i="20"/>
  <c r="O1378" i="20"/>
  <c r="J522" i="20"/>
  <c r="M976" i="20"/>
  <c r="L1601" i="20"/>
  <c r="L923" i="20"/>
  <c r="J788" i="20"/>
  <c r="N759" i="20"/>
  <c r="G219" i="20"/>
  <c r="O1454" i="20"/>
  <c r="D988" i="20"/>
  <c r="D1498" i="20"/>
  <c r="N1539" i="20"/>
  <c r="D1539" i="20"/>
  <c r="K1088" i="20"/>
  <c r="L803" i="20"/>
  <c r="J974" i="20"/>
  <c r="N1334" i="20"/>
  <c r="N1531" i="20"/>
  <c r="I1061" i="20"/>
  <c r="H1434" i="20"/>
  <c r="E1073" i="20"/>
  <c r="L701" i="20"/>
  <c r="O803" i="20"/>
  <c r="I1663" i="20"/>
  <c r="J159" i="20"/>
  <c r="J804" i="20"/>
  <c r="F534" i="20"/>
  <c r="J519" i="20"/>
  <c r="C756" i="20"/>
  <c r="I771" i="20"/>
  <c r="G322" i="20"/>
  <c r="F1586" i="20"/>
  <c r="I1259" i="20"/>
  <c r="K956" i="20"/>
  <c r="O398" i="20"/>
  <c r="K72" i="20"/>
  <c r="L375" i="20"/>
  <c r="J598" i="20"/>
  <c r="J270" i="20"/>
  <c r="L1710" i="20"/>
  <c r="O57" i="20"/>
  <c r="F473" i="20"/>
  <c r="K293" i="20"/>
  <c r="K686" i="20"/>
  <c r="G967" i="20"/>
  <c r="L656" i="20"/>
  <c r="G761" i="20"/>
  <c r="D1424" i="20"/>
  <c r="N661" i="20"/>
  <c r="I702" i="20"/>
  <c r="L1096" i="20"/>
  <c r="E504" i="20"/>
  <c r="K504" i="20"/>
  <c r="E749" i="20"/>
  <c r="O509" i="20"/>
  <c r="J803" i="20"/>
  <c r="L241" i="20"/>
  <c r="I264" i="20"/>
  <c r="L912" i="20"/>
  <c r="F1423" i="20"/>
  <c r="G1661" i="20"/>
  <c r="N851" i="20"/>
  <c r="G854" i="20"/>
  <c r="F653" i="20"/>
  <c r="N1541" i="20"/>
  <c r="E88" i="20"/>
  <c r="H88" i="20"/>
  <c r="D1492" i="20"/>
  <c r="H322" i="20"/>
  <c r="G1586" i="20"/>
  <c r="L956" i="20"/>
  <c r="M375" i="20"/>
  <c r="K598" i="20"/>
  <c r="C1416" i="20"/>
  <c r="L293" i="20"/>
  <c r="C1221" i="20"/>
  <c r="O686" i="20"/>
  <c r="D1481" i="20"/>
  <c r="M494" i="20"/>
  <c r="I967" i="20"/>
  <c r="D503" i="20"/>
  <c r="E1436" i="20"/>
  <c r="L1543" i="20"/>
  <c r="D661" i="20"/>
  <c r="O1424" i="20"/>
  <c r="I987" i="20"/>
  <c r="E1628" i="20"/>
  <c r="E791" i="20"/>
  <c r="L911" i="20"/>
  <c r="G1088" i="20"/>
  <c r="D789" i="20"/>
  <c r="H1317" i="20"/>
  <c r="E1048" i="20"/>
  <c r="E1317" i="20"/>
  <c r="J1604" i="20"/>
  <c r="D431" i="20"/>
  <c r="E928" i="20"/>
  <c r="L764" i="20"/>
  <c r="K852" i="20"/>
  <c r="D346" i="20"/>
  <c r="H941" i="20"/>
  <c r="L1227" i="20"/>
  <c r="G1227" i="20"/>
  <c r="M1344" i="20"/>
  <c r="G1426" i="20"/>
  <c r="F1426" i="20"/>
  <c r="D1426" i="20"/>
  <c r="L1426" i="20"/>
  <c r="I1426" i="20"/>
  <c r="K1426" i="20"/>
  <c r="H1426" i="20"/>
  <c r="E1426" i="20"/>
  <c r="O1426" i="20"/>
  <c r="N1426" i="20"/>
  <c r="M1426" i="20"/>
  <c r="J1426" i="20"/>
  <c r="I322" i="20"/>
  <c r="J956" i="20"/>
  <c r="N375" i="20"/>
  <c r="L598" i="20"/>
  <c r="N494" i="20"/>
  <c r="K967" i="20"/>
  <c r="D1199" i="20"/>
  <c r="H764" i="20"/>
  <c r="E1199" i="20"/>
  <c r="F1424" i="20"/>
  <c r="E1634" i="20"/>
  <c r="L759" i="20"/>
  <c r="D987" i="20"/>
  <c r="D911" i="20"/>
  <c r="F446" i="20"/>
  <c r="K1358" i="20"/>
  <c r="N791" i="20"/>
  <c r="H744" i="20"/>
  <c r="N1454" i="20"/>
  <c r="L1194" i="20"/>
  <c r="K1498" i="20"/>
  <c r="E1434" i="20"/>
  <c r="G1328" i="20"/>
  <c r="G207" i="20"/>
  <c r="I1328" i="20"/>
  <c r="N743" i="20"/>
  <c r="I1423" i="20"/>
  <c r="G1061" i="20"/>
  <c r="D1634" i="20"/>
  <c r="H1348" i="20"/>
  <c r="M699" i="20"/>
  <c r="M661" i="20"/>
  <c r="K1678" i="20"/>
  <c r="E1706" i="20"/>
  <c r="J1546" i="20"/>
  <c r="N1706" i="20"/>
  <c r="G1492" i="20"/>
  <c r="C1041" i="20"/>
  <c r="K1492" i="20"/>
  <c r="E375" i="20"/>
  <c r="I661" i="20"/>
  <c r="L1634" i="20"/>
  <c r="G1543" i="20"/>
  <c r="E853" i="20"/>
  <c r="G1109" i="20"/>
  <c r="K976" i="20"/>
  <c r="N446" i="20"/>
  <c r="F1088" i="20"/>
  <c r="L219" i="20"/>
  <c r="D749" i="20"/>
  <c r="F1524" i="20"/>
  <c r="H1524" i="20"/>
  <c r="G1194" i="20"/>
  <c r="E1531" i="20"/>
  <c r="E974" i="20"/>
  <c r="O1663" i="20"/>
  <c r="N1543" i="20"/>
  <c r="M804" i="20"/>
  <c r="J209" i="20"/>
  <c r="O538" i="20"/>
  <c r="N1436" i="20"/>
  <c r="G1347" i="20"/>
  <c r="L1648" i="20"/>
  <c r="E1648" i="20"/>
  <c r="E1545" i="20"/>
  <c r="K1545" i="20"/>
  <c r="J1545" i="20"/>
  <c r="G1545" i="20"/>
  <c r="N1545" i="20"/>
  <c r="M1545" i="20"/>
  <c r="H1545" i="20"/>
  <c r="D1545" i="20"/>
  <c r="O1545" i="20"/>
  <c r="L1545" i="20"/>
  <c r="I1545" i="20"/>
  <c r="F1545" i="20"/>
  <c r="C1536" i="20"/>
  <c r="L915" i="20"/>
  <c r="K915" i="20"/>
  <c r="J915" i="20"/>
  <c r="F915" i="20"/>
  <c r="M915" i="20"/>
  <c r="I915" i="20"/>
  <c r="H915" i="20"/>
  <c r="G915" i="20"/>
  <c r="E915" i="20"/>
  <c r="O915" i="20"/>
  <c r="N915" i="20"/>
  <c r="C906" i="20"/>
  <c r="D915" i="20"/>
  <c r="D255" i="20"/>
  <c r="O255" i="20"/>
  <c r="F255" i="20"/>
  <c r="E255" i="20"/>
  <c r="L255" i="20"/>
  <c r="K255" i="20"/>
  <c r="J255" i="20"/>
  <c r="I255" i="20"/>
  <c r="H255" i="20"/>
  <c r="G255" i="20"/>
  <c r="C246" i="20"/>
  <c r="N255" i="20"/>
  <c r="M255" i="20"/>
  <c r="F1496" i="20"/>
  <c r="H1378" i="20"/>
  <c r="K644" i="20"/>
  <c r="G759" i="20"/>
  <c r="J1724" i="20"/>
  <c r="I646" i="20"/>
  <c r="K743" i="20"/>
  <c r="D323" i="20"/>
  <c r="L1707" i="20"/>
  <c r="I1621" i="20"/>
  <c r="N1036" i="20"/>
  <c r="L344" i="20"/>
  <c r="E344" i="20"/>
  <c r="I158" i="20"/>
  <c r="H1694" i="20"/>
  <c r="K88" i="20"/>
  <c r="I1344" i="20"/>
  <c r="I88" i="20"/>
  <c r="F209" i="20"/>
  <c r="H538" i="20"/>
  <c r="E207" i="20"/>
  <c r="AA19" i="27"/>
  <c r="O519" i="20"/>
  <c r="D1344" i="20"/>
  <c r="H1329" i="20"/>
  <c r="J1719" i="20"/>
  <c r="K1661" i="20"/>
  <c r="M1329" i="20"/>
  <c r="D1036" i="20"/>
  <c r="N158" i="20"/>
  <c r="F263" i="20"/>
  <c r="J1648" i="20"/>
  <c r="O1344" i="20"/>
  <c r="K1344" i="20"/>
  <c r="O771" i="20"/>
  <c r="I1719" i="20"/>
  <c r="O1096" i="20"/>
  <c r="O759" i="20"/>
  <c r="F646" i="20"/>
  <c r="J701" i="20"/>
  <c r="I701" i="20"/>
  <c r="M1351" i="20"/>
  <c r="I1513" i="20"/>
  <c r="D1694" i="20"/>
  <c r="G1648" i="20"/>
  <c r="O1648" i="20"/>
  <c r="O534" i="20"/>
  <c r="J207" i="20"/>
  <c r="N519" i="20"/>
  <c r="E1719" i="20"/>
  <c r="E1351" i="20"/>
  <c r="D116" i="20"/>
  <c r="N701" i="20"/>
  <c r="J1448" i="20"/>
  <c r="K1096" i="20"/>
  <c r="M1719" i="20"/>
  <c r="O701" i="20"/>
  <c r="I1661" i="20"/>
  <c r="H158" i="20"/>
  <c r="F158" i="20"/>
  <c r="I1694" i="20"/>
  <c r="P916" i="20"/>
  <c r="M519" i="20"/>
  <c r="P309" i="20"/>
  <c r="N1719" i="20"/>
  <c r="L1036" i="20"/>
  <c r="G519" i="20"/>
  <c r="J1694" i="20"/>
  <c r="G1694" i="20"/>
  <c r="S17" i="27"/>
  <c r="AA17" i="27" s="1"/>
  <c r="D263" i="20"/>
  <c r="O263" i="20"/>
  <c r="S103" i="27"/>
  <c r="AA103" i="27" s="1"/>
  <c r="G1329" i="20"/>
  <c r="J1661" i="20"/>
  <c r="N263" i="20"/>
  <c r="N1694" i="20"/>
  <c r="P717" i="20"/>
  <c r="AA78" i="27"/>
  <c r="N1587" i="20"/>
  <c r="I1153" i="20"/>
  <c r="H1027" i="20"/>
  <c r="M1513" i="20"/>
  <c r="K656" i="20"/>
  <c r="G1094" i="20"/>
  <c r="L1496" i="20"/>
  <c r="D853" i="20"/>
  <c r="N644" i="20"/>
  <c r="G702" i="20"/>
  <c r="N1229" i="20"/>
  <c r="I388" i="20"/>
  <c r="G1719" i="20"/>
  <c r="G1494" i="20"/>
  <c r="O1494" i="20"/>
  <c r="N749" i="20"/>
  <c r="M1524" i="20"/>
  <c r="J509" i="20"/>
  <c r="M1081" i="20"/>
  <c r="J1088" i="20"/>
  <c r="J1707" i="20"/>
  <c r="L116" i="20"/>
  <c r="H1423" i="20"/>
  <c r="O1707" i="20"/>
  <c r="G928" i="20"/>
  <c r="I1048" i="20"/>
  <c r="K158" i="20"/>
  <c r="I98" i="20"/>
  <c r="E851" i="20"/>
  <c r="F1618" i="20"/>
  <c r="D98" i="20"/>
  <c r="H1648" i="20"/>
  <c r="N1681" i="20"/>
  <c r="J346" i="20"/>
  <c r="J1436" i="20"/>
  <c r="M263" i="20"/>
  <c r="L1694" i="20"/>
  <c r="M941" i="20"/>
  <c r="H432" i="20"/>
  <c r="L1436" i="20"/>
  <c r="N1441" i="20"/>
  <c r="M702" i="20"/>
  <c r="K1601" i="20"/>
  <c r="H1456" i="20"/>
  <c r="J759" i="20"/>
  <c r="D791" i="20"/>
  <c r="M1109" i="20"/>
  <c r="E759" i="20"/>
  <c r="G822" i="20"/>
  <c r="F388" i="20"/>
  <c r="O189" i="20"/>
  <c r="K219" i="20"/>
  <c r="F219" i="20"/>
  <c r="I1109" i="20"/>
  <c r="E509" i="20"/>
  <c r="L1498" i="20"/>
  <c r="F1539" i="20"/>
  <c r="D928" i="20"/>
  <c r="H222" i="20"/>
  <c r="L1351" i="20"/>
  <c r="N1423" i="20"/>
  <c r="F1603" i="20"/>
  <c r="O743" i="20"/>
  <c r="K928" i="20"/>
  <c r="L1493" i="20"/>
  <c r="D1603" i="20"/>
  <c r="M207" i="20"/>
  <c r="I1348" i="20"/>
  <c r="O1199" i="20"/>
  <c r="L852" i="20"/>
  <c r="F1347" i="20"/>
  <c r="N1344" i="20"/>
  <c r="L1344" i="20"/>
  <c r="L854" i="20"/>
  <c r="L157" i="20"/>
  <c r="F1587" i="20"/>
  <c r="M1153" i="20"/>
  <c r="H601" i="20"/>
  <c r="J1027" i="20"/>
  <c r="D1496" i="20"/>
  <c r="H1094" i="20"/>
  <c r="O699" i="20"/>
  <c r="D764" i="20"/>
  <c r="E661" i="20"/>
  <c r="N1199" i="20"/>
  <c r="I1496" i="20"/>
  <c r="I1002" i="20"/>
  <c r="K1724" i="20"/>
  <c r="N1364" i="20"/>
  <c r="F878" i="20"/>
  <c r="M189" i="20"/>
  <c r="M186" i="20" s="1"/>
  <c r="I1498" i="20"/>
  <c r="F1193" i="20"/>
  <c r="M928" i="20"/>
  <c r="N323" i="20"/>
  <c r="F974" i="20"/>
  <c r="O1493" i="20"/>
  <c r="E1321" i="20"/>
  <c r="N159" i="20"/>
  <c r="F1002" i="20"/>
  <c r="N98" i="20"/>
  <c r="E158" i="20"/>
  <c r="I534" i="20"/>
  <c r="L1347" i="20"/>
  <c r="K1048" i="20"/>
  <c r="L346" i="20"/>
  <c r="K1227" i="20"/>
  <c r="F1227" i="20"/>
  <c r="D1448" i="20"/>
  <c r="AA47" i="27"/>
  <c r="L1719" i="20"/>
  <c r="D1719" i="20"/>
  <c r="E323" i="20"/>
  <c r="G1351" i="20"/>
  <c r="O116" i="20"/>
  <c r="H1493" i="20"/>
  <c r="O1048" i="20"/>
  <c r="I803" i="20"/>
  <c r="F1321" i="20"/>
  <c r="J1036" i="20"/>
  <c r="I419" i="20"/>
  <c r="H1663" i="20"/>
  <c r="N1348" i="20"/>
  <c r="E209" i="20"/>
  <c r="J1048" i="20"/>
  <c r="K854" i="20"/>
  <c r="L1546" i="20"/>
  <c r="H1546" i="20"/>
  <c r="O1694" i="20"/>
  <c r="H578" i="20"/>
  <c r="K1153" i="20"/>
  <c r="J601" i="20"/>
  <c r="L1027" i="20"/>
  <c r="F375" i="20"/>
  <c r="N893" i="20"/>
  <c r="H1509" i="20"/>
  <c r="H1506" i="20" s="1"/>
  <c r="E1509" i="20"/>
  <c r="G1064" i="20"/>
  <c r="G1513" i="20"/>
  <c r="H656" i="20"/>
  <c r="E911" i="20"/>
  <c r="G1229" i="20"/>
  <c r="K388" i="20"/>
  <c r="J1378" i="20"/>
  <c r="J1096" i="20"/>
  <c r="L189" i="20"/>
  <c r="K1494" i="20"/>
  <c r="M1527" i="20"/>
  <c r="I1321" i="20"/>
  <c r="H207" i="20"/>
  <c r="O1351" i="20"/>
  <c r="K323" i="20"/>
  <c r="N1351" i="20"/>
  <c r="J1621" i="20"/>
  <c r="I1351" i="20"/>
  <c r="D804" i="20"/>
  <c r="O1661" i="20"/>
  <c r="E1663" i="20"/>
  <c r="M1048" i="20"/>
  <c r="L263" i="20"/>
  <c r="K263" i="20"/>
  <c r="C1326" i="20"/>
  <c r="I578" i="20"/>
  <c r="K172" i="20"/>
  <c r="O1027" i="20"/>
  <c r="G375" i="20"/>
  <c r="O893" i="20"/>
  <c r="I1329" i="20"/>
  <c r="L1002" i="20"/>
  <c r="J1329" i="20"/>
  <c r="H1496" i="20"/>
  <c r="F911" i="20"/>
  <c r="G358" i="20"/>
  <c r="J1364" i="20"/>
  <c r="N1456" i="20"/>
  <c r="N744" i="20"/>
  <c r="E219" i="20"/>
  <c r="J702" i="20"/>
  <c r="E1454" i="20"/>
  <c r="L1512" i="20"/>
  <c r="L1527" i="20"/>
  <c r="D1524" i="20"/>
  <c r="I1538" i="20"/>
  <c r="E1036" i="20"/>
  <c r="I1531" i="20"/>
  <c r="N1048" i="20"/>
  <c r="L323" i="20"/>
  <c r="L1048" i="20"/>
  <c r="G1531" i="20"/>
  <c r="L1531" i="20"/>
  <c r="M158" i="20"/>
  <c r="O656" i="20"/>
  <c r="D1648" i="20"/>
  <c r="H209" i="20"/>
  <c r="J854" i="20"/>
  <c r="I854" i="20"/>
  <c r="S61" i="27"/>
  <c r="AA61" i="27" s="1"/>
  <c r="C801" i="20"/>
  <c r="D1002" i="20"/>
  <c r="J1002" i="20"/>
  <c r="D699" i="20"/>
  <c r="F1546" i="20"/>
  <c r="H358" i="20"/>
  <c r="I1456" i="20"/>
  <c r="O1109" i="20"/>
  <c r="E1456" i="20"/>
  <c r="I1088" i="20"/>
  <c r="G744" i="20"/>
  <c r="D822" i="20"/>
  <c r="F207" i="20"/>
  <c r="D222" i="20"/>
  <c r="L1064" i="20"/>
  <c r="N86" i="20"/>
  <c r="G346" i="20"/>
  <c r="C300" i="20"/>
  <c r="E300" i="20" s="1"/>
  <c r="S20" i="27"/>
  <c r="AA20" i="27" s="1"/>
  <c r="AA3" i="27"/>
  <c r="C116" i="27"/>
  <c r="D3" i="27" s="1"/>
  <c r="C885" i="20"/>
  <c r="K885" i="20" s="1"/>
  <c r="S59" i="27"/>
  <c r="AA59" i="27" s="1"/>
  <c r="O222" i="20"/>
  <c r="I654" i="20"/>
  <c r="G654" i="20"/>
  <c r="F654" i="20"/>
  <c r="H654" i="20"/>
  <c r="E654" i="20"/>
  <c r="D654" i="20"/>
  <c r="O654" i="20"/>
  <c r="N654" i="20"/>
  <c r="M654" i="20"/>
  <c r="L654" i="20"/>
  <c r="K654" i="20"/>
  <c r="J654" i="20"/>
  <c r="G1374" i="20"/>
  <c r="J1374" i="20"/>
  <c r="I1374" i="20"/>
  <c r="L1374" i="20"/>
  <c r="L494" i="20"/>
  <c r="I494" i="20"/>
  <c r="I1451" i="20"/>
  <c r="G1451" i="20"/>
  <c r="H1451" i="20"/>
  <c r="F1451" i="20"/>
  <c r="E1451" i="20"/>
  <c r="N1451" i="20"/>
  <c r="M1451" i="20"/>
  <c r="J1451" i="20"/>
  <c r="D1451" i="20"/>
  <c r="L1451" i="20"/>
  <c r="O1451" i="20"/>
  <c r="K1451" i="20"/>
  <c r="H128" i="20"/>
  <c r="I128" i="20"/>
  <c r="E128" i="20"/>
  <c r="M128" i="20"/>
  <c r="J128" i="20"/>
  <c r="K128" i="20"/>
  <c r="AA54" i="27"/>
  <c r="H1498" i="20"/>
  <c r="E1498" i="20"/>
  <c r="F1498" i="20"/>
  <c r="N1498" i="20"/>
  <c r="O116" i="27"/>
  <c r="P3" i="27" s="1"/>
  <c r="C675" i="20"/>
  <c r="O675" i="20" s="1"/>
  <c r="S45" i="27"/>
  <c r="AA45" i="27" s="1"/>
  <c r="O819" i="20"/>
  <c r="D1374" i="20"/>
  <c r="N1374" i="20"/>
  <c r="E222" i="20"/>
  <c r="L128" i="20"/>
  <c r="O1376" i="20"/>
  <c r="M1376" i="20"/>
  <c r="E1376" i="20"/>
  <c r="N1376" i="20"/>
  <c r="K1376" i="20"/>
  <c r="L1376" i="20"/>
  <c r="I1376" i="20"/>
  <c r="F1376" i="20"/>
  <c r="D1376" i="20"/>
  <c r="J1376" i="20"/>
  <c r="G1376" i="20"/>
  <c r="H1376" i="20"/>
  <c r="AA97" i="27"/>
  <c r="E166" i="20"/>
  <c r="N166" i="20"/>
  <c r="H166" i="20"/>
  <c r="D166" i="20"/>
  <c r="I166" i="20"/>
  <c r="E389" i="20"/>
  <c r="D389" i="20"/>
  <c r="N389" i="20"/>
  <c r="K389" i="20"/>
  <c r="J389" i="20"/>
  <c r="H389" i="20"/>
  <c r="G389" i="20"/>
  <c r="M389" i="20"/>
  <c r="L389" i="20"/>
  <c r="F389" i="20"/>
  <c r="O389" i="20"/>
  <c r="I389" i="20"/>
  <c r="O223" i="20"/>
  <c r="N223" i="20"/>
  <c r="M223" i="20"/>
  <c r="K223" i="20"/>
  <c r="J223" i="20"/>
  <c r="H223" i="20"/>
  <c r="G223" i="20"/>
  <c r="F223" i="20"/>
  <c r="E223" i="20"/>
  <c r="D223" i="20"/>
  <c r="L223" i="20"/>
  <c r="I223" i="20"/>
  <c r="D387" i="20"/>
  <c r="M387" i="20"/>
  <c r="L387" i="20"/>
  <c r="K387" i="20"/>
  <c r="J387" i="20"/>
  <c r="I387" i="20"/>
  <c r="N387" i="20"/>
  <c r="H387" i="20"/>
  <c r="F387" i="20"/>
  <c r="E387" i="20"/>
  <c r="O387" i="20"/>
  <c r="G387" i="20"/>
  <c r="F368" i="20"/>
  <c r="E368" i="20"/>
  <c r="O368" i="20"/>
  <c r="N368" i="20"/>
  <c r="M368" i="20"/>
  <c r="K368" i="20"/>
  <c r="J368" i="20"/>
  <c r="L368" i="20"/>
  <c r="I368" i="20"/>
  <c r="H368" i="20"/>
  <c r="G368" i="20"/>
  <c r="D368" i="20"/>
  <c r="H1439" i="20"/>
  <c r="J1439" i="20"/>
  <c r="O1439" i="20"/>
  <c r="M1439" i="20"/>
  <c r="E1439" i="20"/>
  <c r="G638" i="20"/>
  <c r="N638" i="20"/>
  <c r="M638" i="20"/>
  <c r="K638" i="20"/>
  <c r="L638" i="20"/>
  <c r="J638" i="20"/>
  <c r="I638" i="20"/>
  <c r="H638" i="20"/>
  <c r="F638" i="20"/>
  <c r="E638" i="20"/>
  <c r="D638" i="20"/>
  <c r="O638" i="20"/>
  <c r="N436" i="20"/>
  <c r="L436" i="20"/>
  <c r="H436" i="20"/>
  <c r="G436" i="20"/>
  <c r="D436" i="20"/>
  <c r="O436" i="20"/>
  <c r="I436" i="20"/>
  <c r="F436" i="20"/>
  <c r="E436" i="20"/>
  <c r="J436" i="20"/>
  <c r="K436" i="20"/>
  <c r="M436" i="20"/>
  <c r="AA30" i="27"/>
  <c r="F131" i="20"/>
  <c r="E131" i="20"/>
  <c r="N131" i="20"/>
  <c r="L131" i="20"/>
  <c r="K131" i="20"/>
  <c r="I131" i="20"/>
  <c r="O131" i="20"/>
  <c r="H131" i="20"/>
  <c r="G131" i="20"/>
  <c r="M131" i="20"/>
  <c r="J131" i="20"/>
  <c r="D131" i="20"/>
  <c r="AA52" i="27"/>
  <c r="U116" i="27"/>
  <c r="V5" i="27" s="1"/>
  <c r="C1470" i="20"/>
  <c r="S98" i="27"/>
  <c r="E819" i="20"/>
  <c r="J1673" i="20"/>
  <c r="O508" i="20"/>
  <c r="D508" i="20"/>
  <c r="N508" i="20"/>
  <c r="O969" i="20"/>
  <c r="E969" i="20"/>
  <c r="G969" i="20"/>
  <c r="I451" i="20"/>
  <c r="N451" i="20"/>
  <c r="J451" i="20"/>
  <c r="F451" i="20"/>
  <c r="I1602" i="20"/>
  <c r="E1602" i="20"/>
  <c r="O1602" i="20"/>
  <c r="D1602" i="20"/>
  <c r="N1602" i="20"/>
  <c r="M1602" i="20"/>
  <c r="J1602" i="20"/>
  <c r="K1602" i="20"/>
  <c r="G1602" i="20"/>
  <c r="H1602" i="20"/>
  <c r="L1602" i="20"/>
  <c r="F1602" i="20"/>
  <c r="K1186" i="20"/>
  <c r="G1186" i="20"/>
  <c r="D1186" i="20"/>
  <c r="M1186" i="20"/>
  <c r="H1186" i="20"/>
  <c r="E1186" i="20"/>
  <c r="O1186" i="20"/>
  <c r="L1186" i="20"/>
  <c r="N1186" i="20"/>
  <c r="I1186" i="20"/>
  <c r="F1186" i="20"/>
  <c r="J1186" i="20"/>
  <c r="I1299" i="20"/>
  <c r="E1299" i="20"/>
  <c r="M1299" i="20"/>
  <c r="F1299" i="20"/>
  <c r="O1299" i="20"/>
  <c r="N1299" i="20"/>
  <c r="L1299" i="20"/>
  <c r="J1299" i="20"/>
  <c r="H1299" i="20"/>
  <c r="D1299" i="20"/>
  <c r="G1299" i="20"/>
  <c r="K1299" i="20"/>
  <c r="C960" i="20"/>
  <c r="O960" i="20" s="1"/>
  <c r="S64" i="27"/>
  <c r="G86" i="20"/>
  <c r="G221" i="20"/>
  <c r="J221" i="20"/>
  <c r="I221" i="20"/>
  <c r="H221" i="20"/>
  <c r="F221" i="20"/>
  <c r="E221" i="20"/>
  <c r="O221" i="20"/>
  <c r="N221" i="20"/>
  <c r="L221" i="20"/>
  <c r="K221" i="20"/>
  <c r="D221" i="20"/>
  <c r="M221" i="20"/>
  <c r="F1706" i="20"/>
  <c r="I1706" i="20"/>
  <c r="D1706" i="20"/>
  <c r="M1706" i="20"/>
  <c r="J1706" i="20"/>
  <c r="E538" i="20"/>
  <c r="G538" i="20"/>
  <c r="L538" i="20"/>
  <c r="N538" i="20"/>
  <c r="D538" i="20"/>
  <c r="F538" i="20"/>
  <c r="L853" i="20"/>
  <c r="M853" i="20"/>
  <c r="O853" i="20"/>
  <c r="J853" i="20"/>
  <c r="AA75" i="27"/>
  <c r="N986" i="20"/>
  <c r="F986" i="20"/>
  <c r="M986" i="20"/>
  <c r="G658" i="20"/>
  <c r="E658" i="20"/>
  <c r="O658" i="20"/>
  <c r="N658" i="20"/>
  <c r="I658" i="20"/>
  <c r="H658" i="20"/>
  <c r="D658" i="20"/>
  <c r="M658" i="20"/>
  <c r="L658" i="20"/>
  <c r="K658" i="20"/>
  <c r="J658" i="20"/>
  <c r="F658" i="20"/>
  <c r="C1395" i="20"/>
  <c r="N1395" i="20" s="1"/>
  <c r="S93" i="27"/>
  <c r="AA93" i="27" s="1"/>
  <c r="G1181" i="20"/>
  <c r="M1181" i="20"/>
  <c r="L1181" i="20"/>
  <c r="I1181" i="20"/>
  <c r="H1181" i="20"/>
  <c r="K1181" i="20"/>
  <c r="J1181" i="20"/>
  <c r="D1181" i="20"/>
  <c r="F1181" i="20"/>
  <c r="O1181" i="20"/>
  <c r="E1181" i="20"/>
  <c r="N1181" i="20"/>
  <c r="E1106" i="20"/>
  <c r="F1106" i="20"/>
  <c r="J1106" i="20"/>
  <c r="G1106" i="20"/>
  <c r="O1106" i="20"/>
  <c r="K1106" i="20"/>
  <c r="F1673" i="20"/>
  <c r="I1673" i="20"/>
  <c r="K1673" i="20"/>
  <c r="O1673" i="20"/>
  <c r="H1673" i="20"/>
  <c r="H1119" i="20"/>
  <c r="H1116" i="20" s="1"/>
  <c r="G1119" i="20"/>
  <c r="M1119" i="20"/>
  <c r="O1119" i="20"/>
  <c r="O1116" i="20" s="1"/>
  <c r="J99" i="20"/>
  <c r="G99" i="20"/>
  <c r="O99" i="20"/>
  <c r="K99" i="20"/>
  <c r="I99" i="20"/>
  <c r="F99" i="20"/>
  <c r="N99" i="20"/>
  <c r="M99" i="20"/>
  <c r="H99" i="20"/>
  <c r="E99" i="20"/>
  <c r="D99" i="20"/>
  <c r="L99" i="20"/>
  <c r="D923" i="20"/>
  <c r="N923" i="20"/>
  <c r="K923" i="20"/>
  <c r="H923" i="20"/>
  <c r="F749" i="20"/>
  <c r="K749" i="20"/>
  <c r="J749" i="20"/>
  <c r="L749" i="20"/>
  <c r="M909" i="20"/>
  <c r="O909" i="20"/>
  <c r="F909" i="20"/>
  <c r="G909" i="20"/>
  <c r="L909" i="20"/>
  <c r="E909" i="20"/>
  <c r="J909" i="20"/>
  <c r="D1078" i="20"/>
  <c r="K1078" i="20"/>
  <c r="J1078" i="20"/>
  <c r="H1078" i="20"/>
  <c r="G1078" i="20"/>
  <c r="M1078" i="20"/>
  <c r="I1078" i="20"/>
  <c r="F1078" i="20"/>
  <c r="E1078" i="20"/>
  <c r="O1078" i="20"/>
  <c r="N1078" i="20"/>
  <c r="L1078" i="20"/>
  <c r="I1366" i="20"/>
  <c r="J1366" i="20"/>
  <c r="G1366" i="20"/>
  <c r="F1366" i="20"/>
  <c r="D1366" i="20"/>
  <c r="O1366" i="20"/>
  <c r="M1366" i="20"/>
  <c r="H1366" i="20"/>
  <c r="E1366" i="20"/>
  <c r="K1366" i="20"/>
  <c r="N1366" i="20"/>
  <c r="L1366" i="20"/>
  <c r="C615" i="20"/>
  <c r="L615" i="20" s="1"/>
  <c r="S41" i="27"/>
  <c r="AA41" i="27" s="1"/>
  <c r="C525" i="20"/>
  <c r="S35" i="27"/>
  <c r="AA35" i="27" s="1"/>
  <c r="E1348" i="20"/>
  <c r="C1305" i="20"/>
  <c r="S87" i="27"/>
  <c r="J972" i="20"/>
  <c r="E972" i="20"/>
  <c r="H972" i="20"/>
  <c r="G972" i="20"/>
  <c r="O972" i="20"/>
  <c r="K972" i="20"/>
  <c r="I972" i="20"/>
  <c r="N972" i="20"/>
  <c r="L972" i="20"/>
  <c r="F972" i="20"/>
  <c r="D972" i="20"/>
  <c r="M972" i="20"/>
  <c r="AA101" i="27"/>
  <c r="H1681" i="20"/>
  <c r="L1681" i="20"/>
  <c r="D1681" i="20"/>
  <c r="K1681" i="20"/>
  <c r="M1681" i="20"/>
  <c r="I1681" i="20"/>
  <c r="J1681" i="20"/>
  <c r="K1094" i="20"/>
  <c r="L1094" i="20"/>
  <c r="N1094" i="20"/>
  <c r="AA48" i="27"/>
  <c r="E883" i="20"/>
  <c r="L883" i="20"/>
  <c r="J883" i="20"/>
  <c r="K883" i="20"/>
  <c r="I883" i="20"/>
  <c r="H883" i="20"/>
  <c r="G883" i="20"/>
  <c r="F883" i="20"/>
  <c r="D883" i="20"/>
  <c r="O883" i="20"/>
  <c r="N883" i="20"/>
  <c r="M883" i="20"/>
  <c r="C60" i="20"/>
  <c r="H60" i="20" s="1"/>
  <c r="S4" i="27"/>
  <c r="AA4" i="27" s="1"/>
  <c r="C1290" i="20"/>
  <c r="S86" i="27"/>
  <c r="AA86" i="27" s="1"/>
  <c r="I1509" i="20"/>
  <c r="K1509" i="20"/>
  <c r="D1509" i="20"/>
  <c r="H763" i="20"/>
  <c r="M763" i="20"/>
  <c r="L763" i="20"/>
  <c r="K763" i="20"/>
  <c r="J763" i="20"/>
  <c r="G763" i="20"/>
  <c r="F763" i="20"/>
  <c r="D763" i="20"/>
  <c r="O763" i="20"/>
  <c r="N763" i="20"/>
  <c r="I763" i="20"/>
  <c r="E763" i="20"/>
  <c r="L719" i="20"/>
  <c r="K719" i="20"/>
  <c r="J719" i="20"/>
  <c r="H719" i="20"/>
  <c r="N719" i="20"/>
  <c r="M719" i="20"/>
  <c r="G719" i="20"/>
  <c r="F719" i="20"/>
  <c r="O719" i="20"/>
  <c r="I719" i="20"/>
  <c r="E719" i="20"/>
  <c r="D719" i="20"/>
  <c r="I432" i="20"/>
  <c r="L432" i="20"/>
  <c r="M432" i="20"/>
  <c r="O432" i="20"/>
  <c r="D344" i="20"/>
  <c r="F344" i="20"/>
  <c r="J344" i="20"/>
  <c r="M344" i="20"/>
  <c r="C1020" i="20"/>
  <c r="D1020" i="20" s="1"/>
  <c r="S68" i="27"/>
  <c r="AA68" i="27" s="1"/>
  <c r="C555" i="20"/>
  <c r="D555" i="20" s="1"/>
  <c r="S37" i="27"/>
  <c r="AA37" i="27" s="1"/>
  <c r="C1590" i="20"/>
  <c r="N1590" i="20" s="1"/>
  <c r="S106" i="27"/>
  <c r="AA106" i="27" s="1"/>
  <c r="C495" i="20"/>
  <c r="L495" i="20" s="1"/>
  <c r="S33" i="27"/>
  <c r="AA33" i="27" s="1"/>
  <c r="C660" i="20"/>
  <c r="D660" i="20" s="1"/>
  <c r="S44" i="27"/>
  <c r="AA44" i="27" s="1"/>
  <c r="C1320" i="20"/>
  <c r="O1320" i="20" s="1"/>
  <c r="S88" i="27"/>
  <c r="AA88" i="27" s="1"/>
  <c r="C103" i="19"/>
  <c r="C540" i="20"/>
  <c r="S36" i="27"/>
  <c r="AA36" i="27" s="1"/>
  <c r="M1074" i="20"/>
  <c r="L1074" i="20"/>
  <c r="K1074" i="20"/>
  <c r="I1074" i="20"/>
  <c r="H1074" i="20"/>
  <c r="F1074" i="20"/>
  <c r="E1074" i="20"/>
  <c r="D1074" i="20"/>
  <c r="O1074" i="20"/>
  <c r="N1074" i="20"/>
  <c r="J1074" i="20"/>
  <c r="G1074" i="20"/>
  <c r="L541" i="20"/>
  <c r="J541" i="20"/>
  <c r="H541" i="20"/>
  <c r="G541" i="20"/>
  <c r="N541" i="20"/>
  <c r="I541" i="20"/>
  <c r="F541" i="20"/>
  <c r="E541" i="20"/>
  <c r="D541" i="20"/>
  <c r="O541" i="20"/>
  <c r="M541" i="20"/>
  <c r="K541" i="20"/>
  <c r="F1619" i="20"/>
  <c r="L1619" i="20"/>
  <c r="K1619" i="20"/>
  <c r="E1619" i="20"/>
  <c r="AA73" i="27"/>
  <c r="E942" i="20"/>
  <c r="F942" i="20"/>
  <c r="M942" i="20"/>
  <c r="O942" i="20"/>
  <c r="N942" i="20"/>
  <c r="D942" i="20"/>
  <c r="G942" i="20"/>
  <c r="L942" i="20"/>
  <c r="J942" i="20"/>
  <c r="I942" i="20"/>
  <c r="H942" i="20"/>
  <c r="K942" i="20"/>
  <c r="M116" i="27"/>
  <c r="N65" i="27" s="1"/>
  <c r="C420" i="20"/>
  <c r="K420" i="20" s="1"/>
  <c r="S28" i="27"/>
  <c r="AA28" i="27" s="1"/>
  <c r="AA6" i="27"/>
  <c r="L819" i="20"/>
  <c r="N819" i="20"/>
  <c r="J222" i="20"/>
  <c r="L222" i="20"/>
  <c r="F222" i="20"/>
  <c r="N222" i="20"/>
  <c r="G222" i="20"/>
  <c r="M222" i="20"/>
  <c r="L353" i="20"/>
  <c r="F353" i="20"/>
  <c r="O353" i="20"/>
  <c r="N353" i="20"/>
  <c r="G353" i="20"/>
  <c r="E353" i="20"/>
  <c r="M353" i="20"/>
  <c r="J353" i="20"/>
  <c r="I353" i="20"/>
  <c r="D353" i="20"/>
  <c r="K353" i="20"/>
  <c r="H353" i="20"/>
  <c r="O328" i="20"/>
  <c r="N328" i="20"/>
  <c r="M328" i="20"/>
  <c r="H328" i="20"/>
  <c r="G328" i="20"/>
  <c r="F328" i="20"/>
  <c r="E328" i="20"/>
  <c r="D328" i="20"/>
  <c r="L328" i="20"/>
  <c r="J328" i="20"/>
  <c r="I328" i="20"/>
  <c r="K328" i="20"/>
  <c r="G267" i="20"/>
  <c r="E267" i="20"/>
  <c r="O267" i="20"/>
  <c r="D267" i="20"/>
  <c r="M267" i="20"/>
  <c r="L267" i="20"/>
  <c r="K267" i="20"/>
  <c r="J267" i="20"/>
  <c r="I267" i="20"/>
  <c r="H267" i="20"/>
  <c r="F267" i="20"/>
  <c r="N267" i="20"/>
  <c r="K1676" i="20"/>
  <c r="I1676" i="20"/>
  <c r="F1676" i="20"/>
  <c r="H1676" i="20"/>
  <c r="E1676" i="20"/>
  <c r="O1676" i="20"/>
  <c r="J1676" i="20"/>
  <c r="L1676" i="20"/>
  <c r="I358" i="20"/>
  <c r="D358" i="20"/>
  <c r="O358" i="20"/>
  <c r="O86" i="20"/>
  <c r="K86" i="20"/>
  <c r="H86" i="20"/>
  <c r="M86" i="20"/>
  <c r="E86" i="20"/>
  <c r="C630" i="20"/>
  <c r="K630" i="20" s="1"/>
  <c r="S42" i="27"/>
  <c r="AA42" i="27" s="1"/>
  <c r="C600" i="20"/>
  <c r="N600" i="20" s="1"/>
  <c r="S40" i="27"/>
  <c r="AA40" i="27" s="1"/>
  <c r="K819" i="20"/>
  <c r="L358" i="20"/>
  <c r="G923" i="20"/>
  <c r="C510" i="20"/>
  <c r="S34" i="27"/>
  <c r="L1706" i="20"/>
  <c r="E369" i="20"/>
  <c r="H369" i="20"/>
  <c r="G369" i="20"/>
  <c r="F369" i="20"/>
  <c r="D369" i="20"/>
  <c r="I369" i="20"/>
  <c r="O369" i="20"/>
  <c r="K369" i="20"/>
  <c r="N369" i="20"/>
  <c r="M369" i="20"/>
  <c r="L369" i="20"/>
  <c r="J369" i="20"/>
  <c r="H83" i="20"/>
  <c r="E83" i="20"/>
  <c r="D83" i="20"/>
  <c r="O83" i="20"/>
  <c r="K83" i="20"/>
  <c r="M83" i="20"/>
  <c r="J83" i="20"/>
  <c r="G83" i="20"/>
  <c r="F83" i="20"/>
  <c r="I83" i="20"/>
  <c r="N83" i="20"/>
  <c r="L83" i="20"/>
  <c r="E1003" i="20"/>
  <c r="H1003" i="20"/>
  <c r="M1003" i="20"/>
  <c r="D1003" i="20"/>
  <c r="O1003" i="20"/>
  <c r="O1719" i="20"/>
  <c r="K1719" i="20"/>
  <c r="AA8" i="27"/>
  <c r="E704" i="20"/>
  <c r="I704" i="20"/>
  <c r="K704" i="20"/>
  <c r="J704" i="20"/>
  <c r="F704" i="20"/>
  <c r="O704" i="20"/>
  <c r="M704" i="20"/>
  <c r="N704" i="20"/>
  <c r="L704" i="20"/>
  <c r="H704" i="20"/>
  <c r="G704" i="20"/>
  <c r="D704" i="20"/>
  <c r="K884" i="20"/>
  <c r="J884" i="20"/>
  <c r="I884" i="20"/>
  <c r="H884" i="20"/>
  <c r="G884" i="20"/>
  <c r="F884" i="20"/>
  <c r="M884" i="20"/>
  <c r="L884" i="20"/>
  <c r="N884" i="20"/>
  <c r="E884" i="20"/>
  <c r="D884" i="20"/>
  <c r="O884" i="20"/>
  <c r="C1560" i="20"/>
  <c r="K1560" i="20" s="1"/>
  <c r="S104" i="27"/>
  <c r="AA104" i="27" s="1"/>
  <c r="N583" i="20"/>
  <c r="C840" i="20"/>
  <c r="I840" i="20" s="1"/>
  <c r="S56" i="27"/>
  <c r="J358" i="20"/>
  <c r="J923" i="20"/>
  <c r="AA12" i="27"/>
  <c r="H1441" i="20"/>
  <c r="M1441" i="20"/>
  <c r="F1441" i="20"/>
  <c r="E1182" i="20"/>
  <c r="H1182" i="20"/>
  <c r="M113" i="20"/>
  <c r="L113" i="20"/>
  <c r="H113" i="20"/>
  <c r="G113" i="20"/>
  <c r="F113" i="20"/>
  <c r="E113" i="20"/>
  <c r="J113" i="20"/>
  <c r="D113" i="20"/>
  <c r="N113" i="20"/>
  <c r="K113" i="20"/>
  <c r="O113" i="20"/>
  <c r="I113" i="20"/>
  <c r="H1658" i="20"/>
  <c r="N1658" i="20"/>
  <c r="M1658" i="20"/>
  <c r="G1658" i="20"/>
  <c r="F1658" i="20"/>
  <c r="L1658" i="20"/>
  <c r="K1658" i="20"/>
  <c r="O1658" i="20"/>
  <c r="I1658" i="20"/>
  <c r="E1658" i="20"/>
  <c r="D1658" i="20"/>
  <c r="J1658" i="20"/>
  <c r="D1378" i="20"/>
  <c r="F1378" i="20"/>
  <c r="E1378" i="20"/>
  <c r="I1378" i="20"/>
  <c r="H653" i="20"/>
  <c r="J653" i="20"/>
  <c r="M346" i="20"/>
  <c r="O346" i="20"/>
  <c r="H346" i="20"/>
  <c r="K346" i="20"/>
  <c r="I346" i="20"/>
  <c r="G912" i="20"/>
  <c r="J912" i="20"/>
  <c r="I912" i="20"/>
  <c r="K912" i="20"/>
  <c r="D912" i="20"/>
  <c r="H912" i="20"/>
  <c r="N912" i="20"/>
  <c r="C405" i="20"/>
  <c r="N405" i="20" s="1"/>
  <c r="S27" i="27"/>
  <c r="O583" i="20"/>
  <c r="C825" i="20"/>
  <c r="C816" i="20" s="1"/>
  <c r="S55" i="27"/>
  <c r="AA55" i="27" s="1"/>
  <c r="M1106" i="20"/>
  <c r="L86" i="20"/>
  <c r="N1449" i="20"/>
  <c r="J1449" i="20"/>
  <c r="H1449" i="20"/>
  <c r="G1449" i="20"/>
  <c r="E1449" i="20"/>
  <c r="D1449" i="20"/>
  <c r="M1449" i="20"/>
  <c r="K1449" i="20"/>
  <c r="I1449" i="20"/>
  <c r="O1449" i="20"/>
  <c r="L1449" i="20"/>
  <c r="F1449" i="20"/>
  <c r="F1344" i="20"/>
  <c r="E1344" i="20"/>
  <c r="G1344" i="20"/>
  <c r="H1344" i="20"/>
  <c r="M1599" i="20"/>
  <c r="J1599" i="20"/>
  <c r="I1599" i="20"/>
  <c r="H1599" i="20"/>
  <c r="K1599" i="20"/>
  <c r="G1599" i="20"/>
  <c r="E1599" i="20"/>
  <c r="D1599" i="20"/>
  <c r="O1599" i="20"/>
  <c r="N1599" i="20"/>
  <c r="L1599" i="20"/>
  <c r="F1599" i="20"/>
  <c r="M913" i="20"/>
  <c r="N913" i="20"/>
  <c r="M45" i="7"/>
  <c r="M16" i="7"/>
  <c r="C1245" i="20"/>
  <c r="C1236" i="20" s="1"/>
  <c r="S83" i="27"/>
  <c r="D583" i="20"/>
  <c r="C1185" i="20"/>
  <c r="S79" i="27"/>
  <c r="AA79" i="27" s="1"/>
  <c r="M1348" i="20"/>
  <c r="O1348" i="20"/>
  <c r="F1348" i="20"/>
  <c r="F116" i="20"/>
  <c r="G116" i="20"/>
  <c r="J116" i="20"/>
  <c r="E116" i="20"/>
  <c r="M116" i="20"/>
  <c r="L1666" i="20"/>
  <c r="I1666" i="20"/>
  <c r="K1666" i="20"/>
  <c r="H1666" i="20"/>
  <c r="G1666" i="20"/>
  <c r="F1666" i="20"/>
  <c r="E1666" i="20"/>
  <c r="N1666" i="20"/>
  <c r="D1666" i="20"/>
  <c r="M1666" i="20"/>
  <c r="O1666" i="20"/>
  <c r="J1666" i="20"/>
  <c r="H1364" i="20"/>
  <c r="L1364" i="20"/>
  <c r="I1364" i="20"/>
  <c r="M1364" i="20"/>
  <c r="K1364" i="20"/>
  <c r="J1531" i="20"/>
  <c r="D1531" i="20"/>
  <c r="M1531" i="20"/>
  <c r="E1644" i="20"/>
  <c r="N1644" i="20"/>
  <c r="L1644" i="20"/>
  <c r="D374" i="20"/>
  <c r="H374" i="20"/>
  <c r="G374" i="20"/>
  <c r="K374" i="20"/>
  <c r="I374" i="20"/>
  <c r="C1650" i="20"/>
  <c r="S110" i="27"/>
  <c r="G971" i="20"/>
  <c r="D971" i="20"/>
  <c r="K971" i="20"/>
  <c r="E971" i="20"/>
  <c r="L971" i="20"/>
  <c r="J971" i="20"/>
  <c r="F971" i="20"/>
  <c r="N971" i="20"/>
  <c r="I971" i="20"/>
  <c r="H971" i="20"/>
  <c r="O971" i="20"/>
  <c r="M971" i="20"/>
  <c r="I218" i="20"/>
  <c r="G218" i="20"/>
  <c r="E218" i="20"/>
  <c r="D218" i="20"/>
  <c r="O218" i="20"/>
  <c r="N218" i="20"/>
  <c r="M218" i="20"/>
  <c r="L218" i="20"/>
  <c r="K218" i="20"/>
  <c r="J218" i="20"/>
  <c r="H218" i="20"/>
  <c r="F218" i="20"/>
  <c r="F177" i="20"/>
  <c r="O177" i="20"/>
  <c r="K177" i="20"/>
  <c r="D519" i="20"/>
  <c r="F519" i="20"/>
  <c r="H519" i="20"/>
  <c r="E519" i="20"/>
  <c r="AA53" i="27"/>
  <c r="J1663" i="20"/>
  <c r="N1663" i="20"/>
  <c r="F1663" i="20"/>
  <c r="D1663" i="20"/>
  <c r="K1663" i="20"/>
  <c r="C1140" i="20"/>
  <c r="C1131" i="20" s="1"/>
  <c r="S76" i="27"/>
  <c r="AA76" i="27" s="1"/>
  <c r="H819" i="20"/>
  <c r="C1500" i="20"/>
  <c r="S100" i="27"/>
  <c r="AA100" i="27" s="1"/>
  <c r="C1620" i="20"/>
  <c r="S108" i="27"/>
  <c r="AA108" i="27" s="1"/>
  <c r="AA11" i="27"/>
  <c r="G1334" i="20"/>
  <c r="D1334" i="20"/>
  <c r="J1334" i="20"/>
  <c r="O1334" i="20"/>
  <c r="L748" i="20"/>
  <c r="H748" i="20"/>
  <c r="N748" i="20"/>
  <c r="O748" i="20"/>
  <c r="J748" i="20"/>
  <c r="K748" i="20"/>
  <c r="F748" i="20"/>
  <c r="D748" i="20"/>
  <c r="M748" i="20"/>
  <c r="I748" i="20"/>
  <c r="G748" i="20"/>
  <c r="E748" i="20"/>
  <c r="G808" i="20"/>
  <c r="N808" i="20"/>
  <c r="M808" i="20"/>
  <c r="K808" i="20"/>
  <c r="I808" i="20"/>
  <c r="H808" i="20"/>
  <c r="F808" i="20"/>
  <c r="E808" i="20"/>
  <c r="D808" i="20"/>
  <c r="O808" i="20"/>
  <c r="L808" i="20"/>
  <c r="J808" i="20"/>
  <c r="AA113" i="27"/>
  <c r="C900" i="20"/>
  <c r="N900" i="20" s="1"/>
  <c r="S60" i="27"/>
  <c r="AA60" i="27" s="1"/>
  <c r="G583" i="20"/>
  <c r="C1575" i="20"/>
  <c r="O1575" i="20" s="1"/>
  <c r="S105" i="27"/>
  <c r="AA105" i="27" s="1"/>
  <c r="C75" i="20"/>
  <c r="G75" i="20" s="1"/>
  <c r="S5" i="27"/>
  <c r="AA5" i="27" s="1"/>
  <c r="C1380" i="20"/>
  <c r="G1380" i="20" s="1"/>
  <c r="S92" i="27"/>
  <c r="AA92" i="27" s="1"/>
  <c r="E1374" i="20"/>
  <c r="G128" i="20"/>
  <c r="J86" i="20"/>
  <c r="G341" i="20"/>
  <c r="F341" i="20"/>
  <c r="E341" i="20"/>
  <c r="N341" i="20"/>
  <c r="L341" i="20"/>
  <c r="J341" i="20"/>
  <c r="I341" i="20"/>
  <c r="H341" i="20"/>
  <c r="D341" i="20"/>
  <c r="O341" i="20"/>
  <c r="K341" i="20"/>
  <c r="M341" i="20"/>
  <c r="O644" i="20"/>
  <c r="E644" i="20"/>
  <c r="D644" i="20"/>
  <c r="L644" i="20"/>
  <c r="M644" i="20"/>
  <c r="H644" i="20"/>
  <c r="J1108" i="20"/>
  <c r="H1108" i="20"/>
  <c r="O1108" i="20"/>
  <c r="N1108" i="20"/>
  <c r="L1108" i="20"/>
  <c r="K1108" i="20"/>
  <c r="I1108" i="20"/>
  <c r="G1108" i="20"/>
  <c r="F1108" i="20"/>
  <c r="E1108" i="20"/>
  <c r="M1108" i="20"/>
  <c r="D1108" i="20"/>
  <c r="K973" i="20"/>
  <c r="M973" i="20"/>
  <c r="N973" i="20"/>
  <c r="J973" i="20"/>
  <c r="I973" i="20"/>
  <c r="H973" i="20"/>
  <c r="D973" i="20"/>
  <c r="L973" i="20"/>
  <c r="F973" i="20"/>
  <c r="O973" i="20"/>
  <c r="G973" i="20"/>
  <c r="E973" i="20"/>
  <c r="M1076" i="20"/>
  <c r="L1076" i="20"/>
  <c r="K1076" i="20"/>
  <c r="J1076" i="20"/>
  <c r="I1076" i="20"/>
  <c r="H1076" i="20"/>
  <c r="F1076" i="20"/>
  <c r="E1076" i="20"/>
  <c r="O1076" i="20"/>
  <c r="N1076" i="20"/>
  <c r="D1076" i="20"/>
  <c r="G1076" i="20"/>
  <c r="H1058" i="20"/>
  <c r="N1058" i="20"/>
  <c r="I1058" i="20"/>
  <c r="G1058" i="20"/>
  <c r="F1058" i="20"/>
  <c r="D1058" i="20"/>
  <c r="K1058" i="20"/>
  <c r="K178" i="20"/>
  <c r="N178" i="20"/>
  <c r="E178" i="20"/>
  <c r="H178" i="20"/>
  <c r="G178" i="20"/>
  <c r="F178" i="20"/>
  <c r="M178" i="20"/>
  <c r="O178" i="20"/>
  <c r="J178" i="20"/>
  <c r="I178" i="20"/>
  <c r="D178" i="20"/>
  <c r="L178" i="20"/>
  <c r="I583" i="20"/>
  <c r="K116" i="27"/>
  <c r="L77" i="27" s="1"/>
  <c r="C645" i="20"/>
  <c r="N645" i="20" s="1"/>
  <c r="S43" i="27"/>
  <c r="AA43" i="27" s="1"/>
  <c r="N358" i="20"/>
  <c r="D1676" i="20"/>
  <c r="M1673" i="20"/>
  <c r="C570" i="20"/>
  <c r="S38" i="27"/>
  <c r="M819" i="20"/>
  <c r="J1104" i="20"/>
  <c r="O1104" i="20"/>
  <c r="N1104" i="20"/>
  <c r="M1104" i="20"/>
  <c r="L1104" i="20"/>
  <c r="F1104" i="20"/>
  <c r="E1104" i="20"/>
  <c r="D1104" i="20"/>
  <c r="K1104" i="20"/>
  <c r="I1104" i="20"/>
  <c r="H1104" i="20"/>
  <c r="G1104" i="20"/>
  <c r="H976" i="20"/>
  <c r="J976" i="20"/>
  <c r="I976" i="20"/>
  <c r="O976" i="20"/>
  <c r="J818" i="20"/>
  <c r="N818" i="20"/>
  <c r="E818" i="20"/>
  <c r="G818" i="20"/>
  <c r="M1613" i="20"/>
  <c r="J1613" i="20"/>
  <c r="L1613" i="20"/>
  <c r="I1613" i="20"/>
  <c r="H1613" i="20"/>
  <c r="D1613" i="20"/>
  <c r="N1613" i="20"/>
  <c r="G1613" i="20"/>
  <c r="F1613" i="20"/>
  <c r="O1613" i="20"/>
  <c r="K1613" i="20"/>
  <c r="E1613" i="20"/>
  <c r="E789" i="20"/>
  <c r="G789" i="20"/>
  <c r="M789" i="20"/>
  <c r="F789" i="20"/>
  <c r="L789" i="20"/>
  <c r="AA82" i="27"/>
  <c r="D159" i="20"/>
  <c r="E159" i="20"/>
  <c r="M159" i="20"/>
  <c r="I159" i="20"/>
  <c r="H101" i="20"/>
  <c r="G101" i="20"/>
  <c r="M101" i="20"/>
  <c r="J101" i="20"/>
  <c r="I101" i="20"/>
  <c r="D101" i="20"/>
  <c r="L101" i="20"/>
  <c r="O101" i="20"/>
  <c r="N101" i="20"/>
  <c r="G116" i="27"/>
  <c r="H55" i="27" s="1"/>
  <c r="C465" i="20"/>
  <c r="E465" i="20" s="1"/>
  <c r="S31" i="27"/>
  <c r="AA31" i="27" s="1"/>
  <c r="C585" i="20"/>
  <c r="C576" i="20" s="1"/>
  <c r="S39" i="27"/>
  <c r="AA39" i="27" s="1"/>
  <c r="J583" i="20"/>
  <c r="C38" i="19"/>
  <c r="J819" i="20"/>
  <c r="C750" i="20"/>
  <c r="J750" i="20" s="1"/>
  <c r="S50" i="27"/>
  <c r="AA50" i="27" s="1"/>
  <c r="K909" i="20"/>
  <c r="N1676" i="20"/>
  <c r="H116" i="20"/>
  <c r="I116" i="20"/>
  <c r="E1708" i="20"/>
  <c r="K508" i="20"/>
  <c r="O264" i="20"/>
  <c r="E264" i="20"/>
  <c r="F264" i="20"/>
  <c r="L743" i="20"/>
  <c r="D743" i="20"/>
  <c r="L506" i="20"/>
  <c r="K506" i="20"/>
  <c r="J506" i="20"/>
  <c r="H506" i="20"/>
  <c r="N506" i="20"/>
  <c r="M506" i="20"/>
  <c r="E506" i="20"/>
  <c r="D506" i="20"/>
  <c r="O506" i="20"/>
  <c r="G506" i="20"/>
  <c r="F506" i="20"/>
  <c r="I506" i="20"/>
  <c r="C870" i="20"/>
  <c r="F870" i="20" s="1"/>
  <c r="S58" i="27"/>
  <c r="AA58" i="27" s="1"/>
  <c r="K583" i="20"/>
  <c r="C126" i="20"/>
  <c r="F644" i="20"/>
  <c r="E508" i="20"/>
  <c r="F969" i="20"/>
  <c r="I1334" i="20"/>
  <c r="J1348" i="20"/>
  <c r="I1106" i="20"/>
  <c r="I86" i="20"/>
  <c r="K538" i="20"/>
  <c r="D86" i="20"/>
  <c r="J1678" i="20"/>
  <c r="H1678" i="20"/>
  <c r="O1678" i="20"/>
  <c r="G1678" i="20"/>
  <c r="L1678" i="20"/>
  <c r="E1678" i="20"/>
  <c r="F1678" i="20"/>
  <c r="J987" i="20"/>
  <c r="H987" i="20"/>
  <c r="E987" i="20"/>
  <c r="AA69" i="27"/>
  <c r="N161" i="20"/>
  <c r="M161" i="20"/>
  <c r="H161" i="20"/>
  <c r="G161" i="20"/>
  <c r="J161" i="20"/>
  <c r="I161" i="20"/>
  <c r="F161" i="20"/>
  <c r="D161" i="20"/>
  <c r="O161" i="20"/>
  <c r="E161" i="20"/>
  <c r="L161" i="20"/>
  <c r="K161" i="20"/>
  <c r="G356" i="20"/>
  <c r="O356" i="20"/>
  <c r="M356" i="20"/>
  <c r="J356" i="20"/>
  <c r="I356" i="20"/>
  <c r="H356" i="20"/>
  <c r="F356" i="20"/>
  <c r="N356" i="20"/>
  <c r="L356" i="20"/>
  <c r="E356" i="20"/>
  <c r="D356" i="20"/>
  <c r="K356" i="20"/>
  <c r="K1081" i="20"/>
  <c r="N1081" i="20"/>
  <c r="J1081" i="20"/>
  <c r="G1081" i="20"/>
  <c r="H1081" i="20"/>
  <c r="K252" i="20"/>
  <c r="H252" i="20"/>
  <c r="G252" i="20"/>
  <c r="F252" i="20"/>
  <c r="C480" i="20"/>
  <c r="F480" i="20" s="1"/>
  <c r="S32" i="27"/>
  <c r="Q116" i="27"/>
  <c r="R76" i="27" s="1"/>
  <c r="L583" i="20"/>
  <c r="C690" i="20"/>
  <c r="J690" i="20" s="1"/>
  <c r="S46" i="27"/>
  <c r="AA46" i="27" s="1"/>
  <c r="F819" i="20"/>
  <c r="F1374" i="20"/>
  <c r="I222" i="20"/>
  <c r="N1106" i="20"/>
  <c r="N128" i="20"/>
  <c r="H419" i="20"/>
  <c r="F419" i="20"/>
  <c r="K419" i="20"/>
  <c r="J419" i="20"/>
  <c r="O419" i="20"/>
  <c r="G323" i="20"/>
  <c r="I323" i="20"/>
  <c r="J323" i="20"/>
  <c r="H323" i="20"/>
  <c r="O1662" i="20"/>
  <c r="K1662" i="20"/>
  <c r="G1662" i="20"/>
  <c r="D1662" i="20"/>
  <c r="L1662" i="20"/>
  <c r="J1662" i="20"/>
  <c r="I1662" i="20"/>
  <c r="F1662" i="20"/>
  <c r="E1662" i="20"/>
  <c r="N1662" i="20"/>
  <c r="M1662" i="20"/>
  <c r="H1662" i="20"/>
  <c r="C1485" i="20"/>
  <c r="J1485" i="20" s="1"/>
  <c r="S99" i="27"/>
  <c r="AA99" i="27" s="1"/>
  <c r="N1119" i="20"/>
  <c r="F1119" i="20"/>
  <c r="O1374" i="20"/>
  <c r="F323" i="20"/>
  <c r="M166" i="20"/>
  <c r="N1673" i="20"/>
  <c r="M323" i="20"/>
  <c r="L1673" i="20"/>
  <c r="F508" i="20"/>
  <c r="L519" i="20"/>
  <c r="F1096" i="20"/>
  <c r="G1096" i="20"/>
  <c r="H1096" i="20"/>
  <c r="E1096" i="20"/>
  <c r="H1183" i="20"/>
  <c r="L1183" i="20"/>
  <c r="O1183" i="20"/>
  <c r="AA114" i="27"/>
  <c r="M1286" i="20"/>
  <c r="G1286" i="20"/>
  <c r="F1286" i="20"/>
  <c r="D1286" i="20"/>
  <c r="J1286" i="20"/>
  <c r="I1286" i="20"/>
  <c r="H1286" i="20"/>
  <c r="N1286" i="20"/>
  <c r="K1286" i="20"/>
  <c r="E1286" i="20"/>
  <c r="L1286" i="20"/>
  <c r="O1286" i="20"/>
  <c r="L327" i="20"/>
  <c r="D327" i="20"/>
  <c r="F327" i="20"/>
  <c r="E327" i="20"/>
  <c r="O327" i="20"/>
  <c r="N327" i="20"/>
  <c r="M327" i="20"/>
  <c r="K327" i="20"/>
  <c r="J327" i="20"/>
  <c r="I327" i="20"/>
  <c r="H327" i="20"/>
  <c r="G327" i="20"/>
  <c r="C1155" i="20"/>
  <c r="D1155" i="20" s="1"/>
  <c r="S77" i="27"/>
  <c r="AA77" i="27" s="1"/>
  <c r="C1410" i="20"/>
  <c r="N1410" i="20" s="1"/>
  <c r="S94" i="27"/>
  <c r="AA94" i="27" s="1"/>
  <c r="C1260" i="20"/>
  <c r="D1260" i="20" s="1"/>
  <c r="S84" i="27"/>
  <c r="H1374" i="20"/>
  <c r="C1605" i="20"/>
  <c r="S107" i="27"/>
  <c r="E1673" i="20"/>
  <c r="M1676" i="20"/>
  <c r="D1673" i="20"/>
  <c r="L1348" i="20"/>
  <c r="J1708" i="20"/>
  <c r="L1708" i="20"/>
  <c r="M163" i="20"/>
  <c r="L163" i="20"/>
  <c r="E163" i="20"/>
  <c r="H163" i="20"/>
  <c r="G163" i="20"/>
  <c r="D163" i="20"/>
  <c r="I163" i="20"/>
  <c r="F163" i="20"/>
  <c r="K163" i="20"/>
  <c r="O163" i="20"/>
  <c r="J163" i="20"/>
  <c r="N163" i="20"/>
  <c r="K1329" i="20"/>
  <c r="N1329" i="20"/>
  <c r="E1329" i="20"/>
  <c r="O1329" i="20"/>
  <c r="L1329" i="20"/>
  <c r="N226" i="20"/>
  <c r="D226" i="20"/>
  <c r="L226" i="20"/>
  <c r="O1724" i="20"/>
  <c r="E1724" i="20"/>
  <c r="L1724" i="20"/>
  <c r="K338" i="20"/>
  <c r="H338" i="20"/>
  <c r="G338" i="20"/>
  <c r="F338" i="20"/>
  <c r="D338" i="20"/>
  <c r="O338" i="20"/>
  <c r="J338" i="20"/>
  <c r="I338" i="20"/>
  <c r="M338" i="20"/>
  <c r="L338" i="20"/>
  <c r="E338" i="20"/>
  <c r="N338" i="20"/>
  <c r="K941" i="20"/>
  <c r="O941" i="20"/>
  <c r="D941" i="20"/>
  <c r="F751" i="20"/>
  <c r="L751" i="20"/>
  <c r="M1621" i="20"/>
  <c r="E1621" i="20"/>
  <c r="N1621" i="20"/>
  <c r="K248" i="20"/>
  <c r="N248" i="20"/>
  <c r="M248" i="20"/>
  <c r="L248" i="20"/>
  <c r="J248" i="20"/>
  <c r="I248" i="20"/>
  <c r="D248" i="20"/>
  <c r="O248" i="20"/>
  <c r="H248" i="20"/>
  <c r="G248" i="20"/>
  <c r="F248" i="20"/>
  <c r="E248" i="20"/>
  <c r="E1691" i="20"/>
  <c r="N1691" i="20"/>
  <c r="J1691" i="20"/>
  <c r="G1691" i="20"/>
  <c r="M1691" i="20"/>
  <c r="D1691" i="20"/>
  <c r="F1691" i="20"/>
  <c r="O1691" i="20"/>
  <c r="K1691" i="20"/>
  <c r="L1691" i="20"/>
  <c r="I1691" i="20"/>
  <c r="H1691" i="20"/>
  <c r="H1494" i="20"/>
  <c r="I1494" i="20"/>
  <c r="M1494" i="20"/>
  <c r="AA22" i="27"/>
  <c r="G376" i="20"/>
  <c r="J376" i="20"/>
  <c r="H324" i="20"/>
  <c r="D324" i="20"/>
  <c r="K324" i="20"/>
  <c r="J324" i="20"/>
  <c r="I324" i="20"/>
  <c r="G324" i="20"/>
  <c r="F324" i="20"/>
  <c r="E324" i="20"/>
  <c r="O324" i="20"/>
  <c r="M324" i="20"/>
  <c r="L324" i="20"/>
  <c r="N324" i="20"/>
  <c r="H928" i="20"/>
  <c r="J928" i="20"/>
  <c r="H1379" i="20"/>
  <c r="K1379" i="20"/>
  <c r="L312" i="20"/>
  <c r="E312" i="20"/>
  <c r="D312" i="20"/>
  <c r="O312" i="20"/>
  <c r="N312" i="20"/>
  <c r="M312" i="20"/>
  <c r="K312" i="20"/>
  <c r="I312" i="20"/>
  <c r="G312" i="20"/>
  <c r="F312" i="20"/>
  <c r="J312" i="20"/>
  <c r="H312" i="20"/>
  <c r="N762" i="20"/>
  <c r="F762" i="20"/>
  <c r="M762" i="20"/>
  <c r="L762" i="20"/>
  <c r="J762" i="20"/>
  <c r="I762" i="20"/>
  <c r="G762" i="20"/>
  <c r="D762" i="20"/>
  <c r="O762" i="20"/>
  <c r="H762" i="20"/>
  <c r="E762" i="20"/>
  <c r="K762" i="20"/>
  <c r="M1661" i="20"/>
  <c r="E1661" i="20"/>
  <c r="I1036" i="20"/>
  <c r="K1036" i="20"/>
  <c r="E1201" i="20"/>
  <c r="O1201" i="20"/>
  <c r="G1201" i="20"/>
  <c r="M1201" i="20"/>
  <c r="D1201" i="20"/>
  <c r="N1201" i="20"/>
  <c r="F1201" i="20"/>
  <c r="J1201" i="20"/>
  <c r="O968" i="20"/>
  <c r="F968" i="20"/>
  <c r="N968" i="20"/>
  <c r="M968" i="20"/>
  <c r="J968" i="20"/>
  <c r="D968" i="20"/>
  <c r="K968" i="20"/>
  <c r="L968" i="20"/>
  <c r="H968" i="20"/>
  <c r="E968" i="20"/>
  <c r="I968" i="20"/>
  <c r="G968" i="20"/>
  <c r="D326" i="20"/>
  <c r="N326" i="20"/>
  <c r="L326" i="20"/>
  <c r="M326" i="20"/>
  <c r="J326" i="20"/>
  <c r="O326" i="20"/>
  <c r="E326" i="20"/>
  <c r="K326" i="20"/>
  <c r="I326" i="20"/>
  <c r="G326" i="20"/>
  <c r="F326" i="20"/>
  <c r="H326" i="20"/>
  <c r="O224" i="20"/>
  <c r="N224" i="20"/>
  <c r="M224" i="20"/>
  <c r="L224" i="20"/>
  <c r="K224" i="20"/>
  <c r="I224" i="20"/>
  <c r="H224" i="20"/>
  <c r="F224" i="20"/>
  <c r="D224" i="20"/>
  <c r="E224" i="20"/>
  <c r="G224" i="20"/>
  <c r="J224" i="20"/>
  <c r="L207" i="20"/>
  <c r="N207" i="20"/>
  <c r="N1032" i="20"/>
  <c r="J1032" i="20"/>
  <c r="G1032" i="20"/>
  <c r="E1032" i="20"/>
  <c r="K1032" i="20"/>
  <c r="O1032" i="20"/>
  <c r="M1032" i="20"/>
  <c r="L1032" i="20"/>
  <c r="I1032" i="20"/>
  <c r="H1032" i="20"/>
  <c r="F1032" i="20"/>
  <c r="D1032" i="20"/>
  <c r="K646" i="20"/>
  <c r="N646" i="20"/>
  <c r="J646" i="20"/>
  <c r="AA49" i="27"/>
  <c r="F391" i="20"/>
  <c r="M391" i="20"/>
  <c r="J391" i="20"/>
  <c r="H391" i="20"/>
  <c r="D391" i="20"/>
  <c r="L391" i="20"/>
  <c r="I391" i="20"/>
  <c r="G391" i="20"/>
  <c r="E391" i="20"/>
  <c r="O391" i="20"/>
  <c r="N391" i="20"/>
  <c r="K391" i="20"/>
  <c r="H1722" i="20"/>
  <c r="F1722" i="20"/>
  <c r="O1722" i="20"/>
  <c r="J1722" i="20"/>
  <c r="L1722" i="20"/>
  <c r="E1722" i="20"/>
  <c r="G1722" i="20"/>
  <c r="D1722" i="20"/>
  <c r="K1722" i="20"/>
  <c r="N1722" i="20"/>
  <c r="M1722" i="20"/>
  <c r="I1722" i="20"/>
  <c r="H1362" i="20"/>
  <c r="E1362" i="20"/>
  <c r="I1362" i="20"/>
  <c r="F1362" i="20"/>
  <c r="G1362" i="20"/>
  <c r="M1362" i="20"/>
  <c r="J1362" i="20"/>
  <c r="L1362" i="20"/>
  <c r="K1362" i="20"/>
  <c r="D1362" i="20"/>
  <c r="N1362" i="20"/>
  <c r="O1362" i="20"/>
  <c r="E703" i="20"/>
  <c r="M703" i="20"/>
  <c r="L703" i="20"/>
  <c r="K703" i="20"/>
  <c r="H703" i="20"/>
  <c r="G703" i="20"/>
  <c r="F703" i="20"/>
  <c r="N703" i="20"/>
  <c r="I703" i="20"/>
  <c r="O703" i="20"/>
  <c r="D703" i="20"/>
  <c r="J703" i="20"/>
  <c r="H361" i="20"/>
  <c r="N361" i="20"/>
  <c r="M361" i="20"/>
  <c r="L361" i="20"/>
  <c r="J361" i="20"/>
  <c r="I361" i="20"/>
  <c r="F361" i="20"/>
  <c r="E361" i="20"/>
  <c r="K361" i="20"/>
  <c r="D361" i="20"/>
  <c r="O361" i="20"/>
  <c r="G361" i="20"/>
  <c r="H1616" i="20"/>
  <c r="N1616" i="20"/>
  <c r="F1616" i="20"/>
  <c r="J1321" i="20"/>
  <c r="K1321" i="20"/>
  <c r="J447" i="20"/>
  <c r="K447" i="20"/>
  <c r="F758" i="20"/>
  <c r="G758" i="20"/>
  <c r="H1692" i="20"/>
  <c r="K1692" i="20"/>
  <c r="L1692" i="20"/>
  <c r="G1692" i="20"/>
  <c r="E1692" i="20"/>
  <c r="O1692" i="20"/>
  <c r="F1692" i="20"/>
  <c r="J1692" i="20"/>
  <c r="D1692" i="20"/>
  <c r="N1692" i="20"/>
  <c r="M1692" i="20"/>
  <c r="I1692" i="20"/>
  <c r="O1331" i="20"/>
  <c r="D1331" i="20"/>
  <c r="J1331" i="20"/>
  <c r="K1331" i="20"/>
  <c r="M1331" i="20"/>
  <c r="I1331" i="20"/>
  <c r="G1331" i="20"/>
  <c r="E1331" i="20"/>
  <c r="F1331" i="20"/>
  <c r="H1331" i="20"/>
  <c r="N1331" i="20"/>
  <c r="L1331" i="20"/>
  <c r="D1198" i="20"/>
  <c r="M1198" i="20"/>
  <c r="I1198" i="20"/>
  <c r="G1198" i="20"/>
  <c r="F1198" i="20"/>
  <c r="J1198" i="20"/>
  <c r="E1198" i="20"/>
  <c r="K1198" i="20"/>
  <c r="O1198" i="20"/>
  <c r="N1198" i="20"/>
  <c r="L1198" i="20"/>
  <c r="H1198" i="20"/>
  <c r="F804" i="20"/>
  <c r="G804" i="20"/>
  <c r="G1452" i="20"/>
  <c r="E1452" i="20"/>
  <c r="J1452" i="20"/>
  <c r="I1452" i="20"/>
  <c r="H1452" i="20"/>
  <c r="O1452" i="20"/>
  <c r="L1452" i="20"/>
  <c r="D1452" i="20"/>
  <c r="K1452" i="20"/>
  <c r="N1452" i="20"/>
  <c r="M1452" i="20"/>
  <c r="F1452" i="20"/>
  <c r="H746" i="20"/>
  <c r="L746" i="20"/>
  <c r="K746" i="20"/>
  <c r="O746" i="20"/>
  <c r="N746" i="20"/>
  <c r="F746" i="20"/>
  <c r="D746" i="20"/>
  <c r="M746" i="20"/>
  <c r="J746" i="20"/>
  <c r="I746" i="20"/>
  <c r="G746" i="20"/>
  <c r="E746" i="20"/>
  <c r="AA90" i="27"/>
  <c r="I1059" i="20"/>
  <c r="G1059" i="20"/>
  <c r="N1059" i="20"/>
  <c r="L1059" i="20"/>
  <c r="K1059" i="20"/>
  <c r="H1538" i="20"/>
  <c r="L1538" i="20"/>
  <c r="F1538" i="20"/>
  <c r="K1538" i="20"/>
  <c r="K209" i="20"/>
  <c r="N209" i="20"/>
  <c r="M209" i="20"/>
  <c r="H1184" i="20"/>
  <c r="N1184" i="20"/>
  <c r="J174" i="20"/>
  <c r="H174" i="20"/>
  <c r="G174" i="20"/>
  <c r="L174" i="20"/>
  <c r="N174" i="20"/>
  <c r="O174" i="20"/>
  <c r="D174" i="20"/>
  <c r="M174" i="20"/>
  <c r="K174" i="20"/>
  <c r="I174" i="20"/>
  <c r="F174" i="20"/>
  <c r="E174" i="20"/>
  <c r="G271" i="20"/>
  <c r="E271" i="20"/>
  <c r="D271" i="20"/>
  <c r="N271" i="20"/>
  <c r="M271" i="20"/>
  <c r="L271" i="20"/>
  <c r="J271" i="20"/>
  <c r="H271" i="20"/>
  <c r="F271" i="20"/>
  <c r="K271" i="20"/>
  <c r="I271" i="20"/>
  <c r="O271" i="20"/>
  <c r="AA111" i="27"/>
  <c r="N1302" i="20"/>
  <c r="O1302" i="20"/>
  <c r="L1302" i="20"/>
  <c r="E1302" i="20"/>
  <c r="D1302" i="20"/>
  <c r="M1302" i="20"/>
  <c r="K1302" i="20"/>
  <c r="H1302" i="20"/>
  <c r="J1302" i="20"/>
  <c r="F1302" i="20"/>
  <c r="G1302" i="20"/>
  <c r="I1302" i="20"/>
  <c r="L1333" i="20"/>
  <c r="K1333" i="20"/>
  <c r="M1333" i="20"/>
  <c r="I1333" i="20"/>
  <c r="E1333" i="20"/>
  <c r="D1333" i="20"/>
  <c r="O1333" i="20"/>
  <c r="G1333" i="20"/>
  <c r="N1333" i="20"/>
  <c r="H1333" i="20"/>
  <c r="F1333" i="20"/>
  <c r="J1333" i="20"/>
  <c r="I924" i="20"/>
  <c r="K924" i="20"/>
  <c r="J924" i="20"/>
  <c r="AA24" i="27"/>
  <c r="N1707" i="20"/>
  <c r="M1707" i="20"/>
  <c r="E1707" i="20"/>
  <c r="J1696" i="20"/>
  <c r="D1696" i="20"/>
  <c r="J1497" i="20"/>
  <c r="F1497" i="20"/>
  <c r="J1528" i="20"/>
  <c r="M1528" i="20"/>
  <c r="H1528" i="20"/>
  <c r="L1528" i="20"/>
  <c r="I1528" i="20"/>
  <c r="F1528" i="20"/>
  <c r="G1528" i="20"/>
  <c r="E1528" i="20"/>
  <c r="N1528" i="20"/>
  <c r="K1528" i="20"/>
  <c r="D1528" i="20"/>
  <c r="O1528" i="20"/>
  <c r="H1313" i="20"/>
  <c r="M1313" i="20"/>
  <c r="K1313" i="20"/>
  <c r="I1313" i="20"/>
  <c r="G1313" i="20"/>
  <c r="E1313" i="20"/>
  <c r="D1313" i="20"/>
  <c r="N1313" i="20"/>
  <c r="J1313" i="20"/>
  <c r="F1313" i="20"/>
  <c r="O1313" i="20"/>
  <c r="L1313" i="20"/>
  <c r="N239" i="20"/>
  <c r="K239" i="20"/>
  <c r="J239" i="20"/>
  <c r="H239" i="20"/>
  <c r="G239" i="20"/>
  <c r="F239" i="20"/>
  <c r="E239" i="20"/>
  <c r="O239" i="20"/>
  <c r="M239" i="20"/>
  <c r="I239" i="20"/>
  <c r="D239" i="20"/>
  <c r="L239" i="20"/>
  <c r="N1064" i="20"/>
  <c r="O1064" i="20"/>
  <c r="O1361" i="20"/>
  <c r="F1091" i="20"/>
  <c r="L661" i="20"/>
  <c r="N1618" i="20"/>
  <c r="H1661" i="20"/>
  <c r="I209" i="20"/>
  <c r="F657" i="20"/>
  <c r="E657" i="20"/>
  <c r="D657" i="20"/>
  <c r="N657" i="20"/>
  <c r="M657" i="20"/>
  <c r="K657" i="20"/>
  <c r="J657" i="20"/>
  <c r="I657" i="20"/>
  <c r="H657" i="20"/>
  <c r="G657" i="20"/>
  <c r="O657" i="20"/>
  <c r="L657" i="20"/>
  <c r="L181" i="20"/>
  <c r="E181" i="20"/>
  <c r="D181" i="20"/>
  <c r="N181" i="20"/>
  <c r="K181" i="20"/>
  <c r="G181" i="20"/>
  <c r="F181" i="20"/>
  <c r="M181" i="20"/>
  <c r="I181" i="20"/>
  <c r="H181" i="20"/>
  <c r="O181" i="20"/>
  <c r="J181" i="20"/>
  <c r="G263" i="20"/>
  <c r="I263" i="20"/>
  <c r="J263" i="20"/>
  <c r="N1448" i="20"/>
  <c r="E1448" i="20"/>
  <c r="M418" i="20"/>
  <c r="L418" i="20"/>
  <c r="G418" i="20"/>
  <c r="D418" i="20"/>
  <c r="O418" i="20"/>
  <c r="N418" i="20"/>
  <c r="F418" i="20"/>
  <c r="E418" i="20"/>
  <c r="J418" i="20"/>
  <c r="I418" i="20"/>
  <c r="K418" i="20"/>
  <c r="H418" i="20"/>
  <c r="H856" i="20"/>
  <c r="D856" i="20"/>
  <c r="E856" i="20"/>
  <c r="O856" i="20"/>
  <c r="N856" i="20"/>
  <c r="M856" i="20"/>
  <c r="L856" i="20"/>
  <c r="J856" i="20"/>
  <c r="G856" i="20"/>
  <c r="F856" i="20"/>
  <c r="K856" i="20"/>
  <c r="I856" i="20"/>
  <c r="AA51" i="27"/>
  <c r="O1704" i="20"/>
  <c r="M1704" i="20"/>
  <c r="F1704" i="20"/>
  <c r="G1704" i="20"/>
  <c r="L1704" i="20"/>
  <c r="N1704" i="20"/>
  <c r="I1704" i="20"/>
  <c r="D1704" i="20"/>
  <c r="J1704" i="20"/>
  <c r="E1704" i="20"/>
  <c r="H1704" i="20"/>
  <c r="K1704" i="20"/>
  <c r="K944" i="20"/>
  <c r="E944" i="20"/>
  <c r="AA16" i="27"/>
  <c r="F526" i="20"/>
  <c r="H526" i="20"/>
  <c r="I526" i="20"/>
  <c r="N803" i="20"/>
  <c r="D803" i="20"/>
  <c r="F988" i="20"/>
  <c r="J988" i="20"/>
  <c r="D1689" i="20"/>
  <c r="I1689" i="20"/>
  <c r="F1689" i="20"/>
  <c r="K1689" i="20"/>
  <c r="G1689" i="20"/>
  <c r="E1689" i="20"/>
  <c r="O1689" i="20"/>
  <c r="M1689" i="20"/>
  <c r="L1689" i="20"/>
  <c r="H1689" i="20"/>
  <c r="N1689" i="20"/>
  <c r="J1689" i="20"/>
  <c r="D357" i="20"/>
  <c r="M357" i="20"/>
  <c r="K357" i="20"/>
  <c r="J357" i="20"/>
  <c r="O357" i="20"/>
  <c r="N357" i="20"/>
  <c r="L357" i="20"/>
  <c r="I357" i="20"/>
  <c r="H357" i="20"/>
  <c r="F357" i="20"/>
  <c r="E357" i="20"/>
  <c r="G357" i="20"/>
  <c r="D1512" i="20"/>
  <c r="F1512" i="20"/>
  <c r="C1440" i="20"/>
  <c r="L1440" i="20" s="1"/>
  <c r="S96" i="27"/>
  <c r="O1036" i="20"/>
  <c r="N1661" i="20"/>
  <c r="C1635" i="20"/>
  <c r="S109" i="27"/>
  <c r="AA109" i="27" s="1"/>
  <c r="C1680" i="20"/>
  <c r="S112" i="27"/>
  <c r="J751" i="20"/>
  <c r="N316" i="20"/>
  <c r="M316" i="20"/>
  <c r="J316" i="20"/>
  <c r="D316" i="20"/>
  <c r="O316" i="20"/>
  <c r="L316" i="20"/>
  <c r="H316" i="20"/>
  <c r="F316" i="20"/>
  <c r="E316" i="20"/>
  <c r="K316" i="20"/>
  <c r="I316" i="20"/>
  <c r="G316" i="20"/>
  <c r="AA102" i="27"/>
  <c r="G983" i="20"/>
  <c r="H983" i="20"/>
  <c r="L849" i="20"/>
  <c r="M849" i="20"/>
  <c r="K849" i="20"/>
  <c r="J849" i="20"/>
  <c r="I849" i="20"/>
  <c r="H849" i="20"/>
  <c r="O849" i="20"/>
  <c r="N849" i="20"/>
  <c r="G849" i="20"/>
  <c r="F849" i="20"/>
  <c r="E849" i="20"/>
  <c r="D849" i="20"/>
  <c r="I639" i="20"/>
  <c r="H639" i="20"/>
  <c r="F639" i="20"/>
  <c r="E639" i="20"/>
  <c r="K639" i="20"/>
  <c r="J639" i="20"/>
  <c r="M639" i="20"/>
  <c r="L639" i="20"/>
  <c r="G639" i="20"/>
  <c r="D639" i="20"/>
  <c r="O639" i="20"/>
  <c r="N639" i="20"/>
  <c r="M539" i="20"/>
  <c r="L539" i="20"/>
  <c r="J539" i="20"/>
  <c r="I539" i="20"/>
  <c r="G539" i="20"/>
  <c r="F539" i="20"/>
  <c r="E539" i="20"/>
  <c r="D539" i="20"/>
  <c r="O539" i="20"/>
  <c r="N539" i="20"/>
  <c r="K539" i="20"/>
  <c r="H539" i="20"/>
  <c r="G233" i="20"/>
  <c r="I233" i="20"/>
  <c r="O158" i="20"/>
  <c r="D158" i="20"/>
  <c r="I428" i="20"/>
  <c r="H428" i="20"/>
  <c r="O428" i="20"/>
  <c r="G428" i="20"/>
  <c r="F428" i="20"/>
  <c r="K428" i="20"/>
  <c r="J428" i="20"/>
  <c r="E428" i="20"/>
  <c r="N428" i="20"/>
  <c r="M428" i="20"/>
  <c r="D428" i="20"/>
  <c r="L428" i="20"/>
  <c r="L1089" i="20"/>
  <c r="J1089" i="20"/>
  <c r="I1089" i="20"/>
  <c r="H1089" i="20"/>
  <c r="G1089" i="20"/>
  <c r="E1089" i="20"/>
  <c r="D1089" i="20"/>
  <c r="N1089" i="20"/>
  <c r="O1089" i="20"/>
  <c r="F1089" i="20"/>
  <c r="M1089" i="20"/>
  <c r="K1089" i="20"/>
  <c r="N388" i="20"/>
  <c r="E388" i="20"/>
  <c r="D388" i="20"/>
  <c r="F241" i="20"/>
  <c r="I241" i="20"/>
  <c r="H241" i="20"/>
  <c r="H523" i="20"/>
  <c r="J523" i="20"/>
  <c r="I659" i="20"/>
  <c r="J659" i="20"/>
  <c r="H659" i="20"/>
  <c r="F659" i="20"/>
  <c r="E659" i="20"/>
  <c r="L659" i="20"/>
  <c r="K659" i="20"/>
  <c r="D659" i="20"/>
  <c r="O659" i="20"/>
  <c r="N659" i="20"/>
  <c r="M659" i="20"/>
  <c r="G659" i="20"/>
  <c r="K1437" i="20"/>
  <c r="E1437" i="20"/>
  <c r="O1437" i="20"/>
  <c r="M1437" i="20"/>
  <c r="J1437" i="20"/>
  <c r="I1437" i="20"/>
  <c r="N1437" i="20"/>
  <c r="F1437" i="20"/>
  <c r="G1437" i="20"/>
  <c r="D1437" i="20"/>
  <c r="H1437" i="20"/>
  <c r="L1437" i="20"/>
  <c r="N1194" i="20"/>
  <c r="O1194" i="20"/>
  <c r="K208" i="20"/>
  <c r="J208" i="20"/>
  <c r="I208" i="20"/>
  <c r="H208" i="20"/>
  <c r="G208" i="20"/>
  <c r="E208" i="20"/>
  <c r="D208" i="20"/>
  <c r="O208" i="20"/>
  <c r="N208" i="20"/>
  <c r="M208" i="20"/>
  <c r="F208" i="20"/>
  <c r="L208" i="20"/>
  <c r="H509" i="20"/>
  <c r="I509" i="20"/>
  <c r="G1196" i="20"/>
  <c r="J1196" i="20"/>
  <c r="N878" i="20"/>
  <c r="M878" i="20"/>
  <c r="E878" i="20"/>
  <c r="O878" i="20"/>
  <c r="J878" i="20"/>
  <c r="L878" i="20"/>
  <c r="H878" i="20"/>
  <c r="D383" i="20"/>
  <c r="M383" i="20"/>
  <c r="H383" i="20"/>
  <c r="F383" i="20"/>
  <c r="L383" i="20"/>
  <c r="E383" i="20"/>
  <c r="O383" i="20"/>
  <c r="N383" i="20"/>
  <c r="K383" i="20"/>
  <c r="J383" i="20"/>
  <c r="I383" i="20"/>
  <c r="G383" i="20"/>
  <c r="AA13" i="27"/>
  <c r="N1523" i="20"/>
  <c r="I1523" i="20"/>
  <c r="E1523" i="20"/>
  <c r="K1523" i="20"/>
  <c r="L1523" i="20"/>
  <c r="J1523" i="20"/>
  <c r="H1523" i="20"/>
  <c r="F1523" i="20"/>
  <c r="G1523" i="20"/>
  <c r="D1523" i="20"/>
  <c r="O1523" i="20"/>
  <c r="M1523" i="20"/>
  <c r="L524" i="20"/>
  <c r="M524" i="20"/>
  <c r="F504" i="20"/>
  <c r="I504" i="20"/>
  <c r="H504" i="20"/>
  <c r="G504" i="20"/>
  <c r="K1044" i="20"/>
  <c r="J1044" i="20"/>
  <c r="I1044" i="20"/>
  <c r="H1044" i="20"/>
  <c r="F1044" i="20"/>
  <c r="E1044" i="20"/>
  <c r="L1044" i="20"/>
  <c r="G1044" i="20"/>
  <c r="D1044" i="20"/>
  <c r="O1044" i="20"/>
  <c r="N1044" i="20"/>
  <c r="M1044" i="20"/>
  <c r="M521" i="20"/>
  <c r="N521" i="20"/>
  <c r="E1359" i="20"/>
  <c r="G1359" i="20"/>
  <c r="O164" i="20"/>
  <c r="N164" i="20"/>
  <c r="M164" i="20"/>
  <c r="K164" i="20"/>
  <c r="J164" i="20"/>
  <c r="D164" i="20"/>
  <c r="H164" i="20"/>
  <c r="E164" i="20"/>
  <c r="G164" i="20"/>
  <c r="F164" i="20"/>
  <c r="L164" i="20"/>
  <c r="I164" i="20"/>
  <c r="J1718" i="20"/>
  <c r="D1718" i="20"/>
  <c r="I807" i="20"/>
  <c r="G807" i="20"/>
  <c r="E807" i="20"/>
  <c r="D807" i="20"/>
  <c r="N807" i="20"/>
  <c r="L807" i="20"/>
  <c r="M807" i="20"/>
  <c r="K807" i="20"/>
  <c r="O807" i="20"/>
  <c r="J807" i="20"/>
  <c r="H807" i="20"/>
  <c r="F807" i="20"/>
  <c r="O1179" i="20"/>
  <c r="K1179" i="20"/>
  <c r="J1179" i="20"/>
  <c r="H1179" i="20"/>
  <c r="G1179" i="20"/>
  <c r="M1179" i="20"/>
  <c r="L1179" i="20"/>
  <c r="I1179" i="20"/>
  <c r="F1179" i="20"/>
  <c r="E1179" i="20"/>
  <c r="D1179" i="20"/>
  <c r="N1179" i="20"/>
  <c r="AA62" i="27"/>
  <c r="L1659" i="20"/>
  <c r="D1659" i="20"/>
  <c r="K1659" i="20"/>
  <c r="F1659" i="20"/>
  <c r="E1659" i="20"/>
  <c r="I1659" i="20"/>
  <c r="H1659" i="20"/>
  <c r="G1659" i="20"/>
  <c r="O1659" i="20"/>
  <c r="M1659" i="20"/>
  <c r="J1659" i="20"/>
  <c r="N1659" i="20"/>
  <c r="H823" i="20"/>
  <c r="D823" i="20"/>
  <c r="G823" i="20"/>
  <c r="F823" i="20"/>
  <c r="M823" i="20"/>
  <c r="K823" i="20"/>
  <c r="J823" i="20"/>
  <c r="I823" i="20"/>
  <c r="M761" i="20"/>
  <c r="N761" i="20"/>
  <c r="K98" i="20"/>
  <c r="L98" i="20"/>
  <c r="O821" i="20"/>
  <c r="N821" i="20"/>
  <c r="M821" i="20"/>
  <c r="L821" i="20"/>
  <c r="F821" i="20"/>
  <c r="E821" i="20"/>
  <c r="D821" i="20"/>
  <c r="K821" i="20"/>
  <c r="J821" i="20"/>
  <c r="I821" i="20"/>
  <c r="H821" i="20"/>
  <c r="G821" i="20"/>
  <c r="H1674" i="20"/>
  <c r="D1674" i="20"/>
  <c r="K1674" i="20"/>
  <c r="I1674" i="20"/>
  <c r="M1674" i="20"/>
  <c r="F1674" i="20"/>
  <c r="E1674" i="20"/>
  <c r="N1674" i="20"/>
  <c r="G1674" i="20"/>
  <c r="O1674" i="20"/>
  <c r="L1674" i="20"/>
  <c r="J1674" i="20"/>
  <c r="I421" i="20"/>
  <c r="E421" i="20"/>
  <c r="D421" i="20"/>
  <c r="L421" i="20"/>
  <c r="K421" i="20"/>
  <c r="G421" i="20"/>
  <c r="M421" i="20"/>
  <c r="J421" i="20"/>
  <c r="O421" i="20"/>
  <c r="F421" i="20"/>
  <c r="N421" i="20"/>
  <c r="H421" i="20"/>
  <c r="J507" i="20"/>
  <c r="K507" i="20"/>
  <c r="H1618" i="20"/>
  <c r="I1618" i="20"/>
  <c r="K1318" i="20"/>
  <c r="I1318" i="20"/>
  <c r="H1318" i="20"/>
  <c r="J1318" i="20"/>
  <c r="G1318" i="20"/>
  <c r="F1318" i="20"/>
  <c r="D1318" i="20"/>
  <c r="O1318" i="20"/>
  <c r="N1318" i="20"/>
  <c r="E1318" i="20"/>
  <c r="M1318" i="20"/>
  <c r="L1318" i="20"/>
  <c r="H886" i="20"/>
  <c r="G886" i="20"/>
  <c r="F886" i="20"/>
  <c r="I886" i="20"/>
  <c r="E886" i="20"/>
  <c r="D886" i="20"/>
  <c r="O886" i="20"/>
  <c r="M886" i="20"/>
  <c r="L886" i="20"/>
  <c r="J886" i="20"/>
  <c r="N886" i="20"/>
  <c r="K886" i="20"/>
  <c r="O536" i="20"/>
  <c r="M536" i="20"/>
  <c r="L536" i="20"/>
  <c r="K536" i="20"/>
  <c r="J536" i="20"/>
  <c r="E536" i="20"/>
  <c r="D536" i="20"/>
  <c r="N536" i="20"/>
  <c r="I536" i="20"/>
  <c r="H536" i="20"/>
  <c r="G536" i="20"/>
  <c r="F536" i="20"/>
  <c r="D1227" i="20"/>
  <c r="N1227" i="20"/>
  <c r="E1227" i="20"/>
  <c r="E1343" i="20"/>
  <c r="M1343" i="20"/>
  <c r="J1343" i="20"/>
  <c r="F1343" i="20"/>
  <c r="D1343" i="20"/>
  <c r="N1343" i="20"/>
  <c r="L1343" i="20"/>
  <c r="K1343" i="20"/>
  <c r="H1343" i="20"/>
  <c r="I1343" i="20"/>
  <c r="G1343" i="20"/>
  <c r="O1343" i="20"/>
  <c r="I1284" i="20"/>
  <c r="L1284" i="20"/>
  <c r="E1284" i="20"/>
  <c r="K1284" i="20"/>
  <c r="M1284" i="20"/>
  <c r="G1284" i="20"/>
  <c r="O1284" i="20"/>
  <c r="N1284" i="20"/>
  <c r="H1284" i="20"/>
  <c r="D1284" i="20"/>
  <c r="J1284" i="20"/>
  <c r="F1284" i="20"/>
  <c r="H706" i="20"/>
  <c r="F706" i="20"/>
  <c r="D706" i="20"/>
  <c r="O706" i="20"/>
  <c r="N706" i="20"/>
  <c r="M706" i="20"/>
  <c r="K706" i="20"/>
  <c r="G706" i="20"/>
  <c r="I706" i="20"/>
  <c r="E706" i="20"/>
  <c r="L706" i="20"/>
  <c r="J706" i="20"/>
  <c r="D826" i="20"/>
  <c r="L826" i="20"/>
  <c r="M826" i="20"/>
  <c r="K826" i="20"/>
  <c r="J826" i="20"/>
  <c r="I826" i="20"/>
  <c r="O826" i="20"/>
  <c r="N826" i="20"/>
  <c r="H826" i="20"/>
  <c r="G826" i="20"/>
  <c r="F826" i="20"/>
  <c r="E826" i="20"/>
  <c r="K534" i="20"/>
  <c r="M534" i="20"/>
  <c r="E984" i="20"/>
  <c r="N984" i="20"/>
  <c r="J984" i="20"/>
  <c r="H984" i="20"/>
  <c r="D984" i="20"/>
  <c r="O984" i="20"/>
  <c r="M984" i="20"/>
  <c r="F984" i="20"/>
  <c r="I984" i="20"/>
  <c r="L984" i="20"/>
  <c r="K984" i="20"/>
  <c r="G984" i="20"/>
  <c r="D1066" i="20"/>
  <c r="O1066" i="20"/>
  <c r="M1066" i="20"/>
  <c r="K1066" i="20"/>
  <c r="J1066" i="20"/>
  <c r="I1066" i="20"/>
  <c r="H1066" i="20"/>
  <c r="G1066" i="20"/>
  <c r="F1066" i="20"/>
  <c r="E1066" i="20"/>
  <c r="N1066" i="20"/>
  <c r="L1066" i="20"/>
  <c r="G1723" i="20"/>
  <c r="H1723" i="20"/>
  <c r="K1723" i="20"/>
  <c r="N219" i="20"/>
  <c r="O219" i="20"/>
  <c r="J1358" i="20"/>
  <c r="N1358" i="20"/>
  <c r="D1358" i="20"/>
  <c r="E1603" i="20"/>
  <c r="J1603" i="20"/>
  <c r="L1539" i="20"/>
  <c r="O1539" i="20"/>
  <c r="AA71" i="27"/>
  <c r="AA80" i="27"/>
  <c r="K946" i="20"/>
  <c r="O946" i="20"/>
  <c r="N946" i="20"/>
  <c r="D946" i="20"/>
  <c r="L946" i="20"/>
  <c r="G946" i="20"/>
  <c r="M946" i="20"/>
  <c r="E946" i="20"/>
  <c r="I946" i="20"/>
  <c r="F946" i="20"/>
  <c r="J946" i="20"/>
  <c r="H946" i="20"/>
  <c r="AA14" i="27"/>
  <c r="G103" i="20"/>
  <c r="I103" i="20"/>
  <c r="K103" i="20"/>
  <c r="E103" i="20"/>
  <c r="L103" i="20"/>
  <c r="I1226" i="20"/>
  <c r="L1226" i="20"/>
  <c r="O1226" i="20"/>
  <c r="M1226" i="20"/>
  <c r="K1226" i="20"/>
  <c r="H1226" i="20"/>
  <c r="G1226" i="20"/>
  <c r="F1226" i="20"/>
  <c r="N1226" i="20"/>
  <c r="J1226" i="20"/>
  <c r="E1226" i="20"/>
  <c r="D1226" i="20"/>
  <c r="N641" i="20"/>
  <c r="D641" i="20"/>
  <c r="O641" i="20"/>
  <c r="I991" i="20"/>
  <c r="M991" i="20"/>
  <c r="K881" i="20"/>
  <c r="F881" i="20"/>
  <c r="O881" i="20"/>
  <c r="J881" i="20"/>
  <c r="I881" i="20"/>
  <c r="H881" i="20"/>
  <c r="G881" i="20"/>
  <c r="E881" i="20"/>
  <c r="D881" i="20"/>
  <c r="N881" i="20"/>
  <c r="M881" i="20"/>
  <c r="L881" i="20"/>
  <c r="M1423" i="20"/>
  <c r="D1423" i="20"/>
  <c r="K1193" i="20"/>
  <c r="L1193" i="20"/>
  <c r="O1046" i="20"/>
  <c r="N1046" i="20"/>
  <c r="L1046" i="20"/>
  <c r="H1046" i="20"/>
  <c r="F1046" i="20"/>
  <c r="D1046" i="20"/>
  <c r="M1046" i="20"/>
  <c r="G1046" i="20"/>
  <c r="E1046" i="20"/>
  <c r="H848" i="20"/>
  <c r="G848" i="20"/>
  <c r="D848" i="20"/>
  <c r="M848" i="20"/>
  <c r="F848" i="20"/>
  <c r="E848" i="20"/>
  <c r="O848" i="20"/>
  <c r="N848" i="20"/>
  <c r="J848" i="20"/>
  <c r="I848" i="20"/>
  <c r="L848" i="20"/>
  <c r="K848" i="20"/>
  <c r="D1049" i="20"/>
  <c r="E1049" i="20"/>
  <c r="O1049" i="20"/>
  <c r="N1049" i="20"/>
  <c r="M1049" i="20"/>
  <c r="L1049" i="20"/>
  <c r="K1049" i="20"/>
  <c r="J1049" i="20"/>
  <c r="I1049" i="20"/>
  <c r="H1049" i="20"/>
  <c r="G1049" i="20"/>
  <c r="F1049" i="20"/>
  <c r="D854" i="20"/>
  <c r="F854" i="20"/>
  <c r="I282" i="20"/>
  <c r="J282" i="20"/>
  <c r="O433" i="20"/>
  <c r="L433" i="20"/>
  <c r="J433" i="20"/>
  <c r="I433" i="20"/>
  <c r="N433" i="20"/>
  <c r="M433" i="20"/>
  <c r="G433" i="20"/>
  <c r="F433" i="20"/>
  <c r="E433" i="20"/>
  <c r="D433" i="20"/>
  <c r="K433" i="20"/>
  <c r="H433" i="20"/>
  <c r="O417" i="20"/>
  <c r="N417" i="20"/>
  <c r="G417" i="20"/>
  <c r="H417" i="20"/>
  <c r="D417" i="20"/>
  <c r="M417" i="20"/>
  <c r="F417" i="20"/>
  <c r="L417" i="20"/>
  <c r="K417" i="20"/>
  <c r="J417" i="20"/>
  <c r="I417" i="20"/>
  <c r="E417" i="20"/>
  <c r="O1349" i="20"/>
  <c r="M1349" i="20"/>
  <c r="G1349" i="20"/>
  <c r="I1349" i="20"/>
  <c r="H1349" i="20"/>
  <c r="E1349" i="20"/>
  <c r="K1349" i="20"/>
  <c r="J1349" i="20"/>
  <c r="D1349" i="20"/>
  <c r="N1349" i="20"/>
  <c r="L1349" i="20"/>
  <c r="F1349" i="20"/>
  <c r="M91" i="20"/>
  <c r="J91" i="20"/>
  <c r="E91" i="20"/>
  <c r="H1111" i="20"/>
  <c r="G1111" i="20"/>
  <c r="F1111" i="20"/>
  <c r="E1111" i="20"/>
  <c r="L1111" i="20"/>
  <c r="K1111" i="20"/>
  <c r="J1111" i="20"/>
  <c r="I1111" i="20"/>
  <c r="D1111" i="20"/>
  <c r="O1111" i="20"/>
  <c r="N1111" i="20"/>
  <c r="M1111" i="20"/>
  <c r="L249" i="20"/>
  <c r="K249" i="20"/>
  <c r="I249" i="20"/>
  <c r="H249" i="20"/>
  <c r="F249" i="20"/>
  <c r="E249" i="20"/>
  <c r="D249" i="20"/>
  <c r="O249" i="20"/>
  <c r="N249" i="20"/>
  <c r="M249" i="20"/>
  <c r="J249" i="20"/>
  <c r="G249" i="20"/>
  <c r="K1303" i="20"/>
  <c r="L1303" i="20"/>
  <c r="J1303" i="20"/>
  <c r="G1303" i="20"/>
  <c r="F1303" i="20"/>
  <c r="O1303" i="20"/>
  <c r="M1303" i="20"/>
  <c r="I1303" i="20"/>
  <c r="E1303" i="20"/>
  <c r="N1303" i="20"/>
  <c r="H1303" i="20"/>
  <c r="D1303" i="20"/>
  <c r="F331" i="20"/>
  <c r="D331" i="20"/>
  <c r="I331" i="20"/>
  <c r="H331" i="20"/>
  <c r="G331" i="20"/>
  <c r="E331" i="20"/>
  <c r="O331" i="20"/>
  <c r="N331" i="20"/>
  <c r="M331" i="20"/>
  <c r="L331" i="20"/>
  <c r="K331" i="20"/>
  <c r="J331" i="20"/>
  <c r="L314" i="20"/>
  <c r="I314" i="20"/>
  <c r="H314" i="20"/>
  <c r="F314" i="20"/>
  <c r="E314" i="20"/>
  <c r="K314" i="20"/>
  <c r="J314" i="20"/>
  <c r="O314" i="20"/>
  <c r="N314" i="20"/>
  <c r="M314" i="20"/>
  <c r="D314" i="20"/>
  <c r="G314" i="20"/>
  <c r="I1043" i="20"/>
  <c r="K1043" i="20"/>
  <c r="J1043" i="20"/>
  <c r="I1604" i="20"/>
  <c r="E1604" i="20"/>
  <c r="G1604" i="20"/>
  <c r="F1328" i="20"/>
  <c r="J1328" i="20"/>
  <c r="N1493" i="20"/>
  <c r="G1493" i="20"/>
  <c r="J1178" i="20"/>
  <c r="M1178" i="20"/>
  <c r="I989" i="20"/>
  <c r="E989" i="20"/>
  <c r="D989" i="20"/>
  <c r="L989" i="20"/>
  <c r="K989" i="20"/>
  <c r="M989" i="20"/>
  <c r="J989" i="20"/>
  <c r="H989" i="20"/>
  <c r="G989" i="20"/>
  <c r="F989" i="20"/>
  <c r="O989" i="20"/>
  <c r="N989" i="20"/>
  <c r="G173" i="20"/>
  <c r="I173" i="20"/>
  <c r="H173" i="20"/>
  <c r="E173" i="20"/>
  <c r="D173" i="20"/>
  <c r="K173" i="20"/>
  <c r="J173" i="20"/>
  <c r="O173" i="20"/>
  <c r="N173" i="20"/>
  <c r="M173" i="20"/>
  <c r="L173" i="20"/>
  <c r="F173" i="20"/>
  <c r="D268" i="20"/>
  <c r="N268" i="20"/>
  <c r="M268" i="20"/>
  <c r="K268" i="20"/>
  <c r="J268" i="20"/>
  <c r="H268" i="20"/>
  <c r="F268" i="20"/>
  <c r="E268" i="20"/>
  <c r="I268" i="20"/>
  <c r="O268" i="20"/>
  <c r="L268" i="20"/>
  <c r="G268" i="20"/>
  <c r="K1496" i="20"/>
  <c r="D1064" i="20"/>
  <c r="H1043" i="20"/>
  <c r="D1456" i="20"/>
  <c r="C855" i="20"/>
  <c r="E855" i="20" s="1"/>
  <c r="S57" i="27"/>
  <c r="AA57" i="27" s="1"/>
  <c r="F1604" i="20"/>
  <c r="I207" i="20"/>
  <c r="M1036" i="20"/>
  <c r="G98" i="20"/>
  <c r="O854" i="20"/>
  <c r="H751" i="20"/>
  <c r="M854" i="20"/>
  <c r="N941" i="20"/>
  <c r="E534" i="20"/>
  <c r="I253" i="20"/>
  <c r="H253" i="20"/>
  <c r="G253" i="20"/>
  <c r="E253" i="20"/>
  <c r="D253" i="20"/>
  <c r="K253" i="20"/>
  <c r="J253" i="20"/>
  <c r="M253" i="20"/>
  <c r="L253" i="20"/>
  <c r="F253" i="20"/>
  <c r="O253" i="20"/>
  <c r="N253" i="20"/>
  <c r="H503" i="20"/>
  <c r="I503" i="20"/>
  <c r="D88" i="20"/>
  <c r="M88" i="20"/>
  <c r="N88" i="20"/>
  <c r="M1679" i="20"/>
  <c r="K1679" i="20"/>
  <c r="I1679" i="20"/>
  <c r="G1679" i="20"/>
  <c r="O1679" i="20"/>
  <c r="E1679" i="20"/>
  <c r="H1679" i="20"/>
  <c r="J1679" i="20"/>
  <c r="N1679" i="20"/>
  <c r="F1679" i="20"/>
  <c r="D1679" i="20"/>
  <c r="L1679" i="20"/>
  <c r="L1073" i="20"/>
  <c r="O1073" i="20"/>
  <c r="N1073" i="20"/>
  <c r="M89" i="20"/>
  <c r="O89" i="20"/>
  <c r="K89" i="20"/>
  <c r="J89" i="20"/>
  <c r="N89" i="20"/>
  <c r="I89" i="20"/>
  <c r="H89" i="20"/>
  <c r="E89" i="20"/>
  <c r="L89" i="20"/>
  <c r="G89" i="20"/>
  <c r="F89" i="20"/>
  <c r="D89" i="20"/>
  <c r="E87" i="20"/>
  <c r="J87" i="20"/>
  <c r="G87" i="20"/>
  <c r="N87" i="20"/>
  <c r="D87" i="20"/>
  <c r="M87" i="20"/>
  <c r="K87" i="20"/>
  <c r="I87" i="20"/>
  <c r="H87" i="20"/>
  <c r="F87" i="20"/>
  <c r="L87" i="20"/>
  <c r="O87" i="20"/>
  <c r="H1598" i="20"/>
  <c r="L1598" i="20"/>
  <c r="D1598" i="20"/>
  <c r="M701" i="20"/>
  <c r="E701" i="20"/>
  <c r="K701" i="20"/>
  <c r="G431" i="20"/>
  <c r="I431" i="20"/>
  <c r="G1524" i="20"/>
  <c r="I1524" i="20"/>
  <c r="H1726" i="20"/>
  <c r="D1726" i="20"/>
  <c r="N1726" i="20"/>
  <c r="K1726" i="20"/>
  <c r="I1726" i="20"/>
  <c r="L1726" i="20"/>
  <c r="F1726" i="20"/>
  <c r="O1726" i="20"/>
  <c r="J1726" i="20"/>
  <c r="E1726" i="20"/>
  <c r="M1726" i="20"/>
  <c r="G1726" i="20"/>
  <c r="C225" i="20"/>
  <c r="N225" i="20" s="1"/>
  <c r="S15" i="27"/>
  <c r="AA15" i="27" s="1"/>
  <c r="C1725" i="20"/>
  <c r="I1725" i="20" s="1"/>
  <c r="S115" i="27"/>
  <c r="L1091" i="20"/>
  <c r="G1718" i="20"/>
  <c r="F1621" i="20"/>
  <c r="G1456" i="20"/>
  <c r="J1227" i="20"/>
  <c r="D209" i="20"/>
  <c r="E788" i="20"/>
  <c r="D788" i="20"/>
  <c r="M788" i="20"/>
  <c r="K788" i="20"/>
  <c r="AA29" i="27"/>
  <c r="G852" i="20"/>
  <c r="H852" i="20"/>
  <c r="F1434" i="20"/>
  <c r="J1434" i="20"/>
  <c r="K792" i="20"/>
  <c r="H792" i="20"/>
  <c r="O792" i="20"/>
  <c r="N792" i="20"/>
  <c r="M792" i="20"/>
  <c r="L792" i="20"/>
  <c r="I792" i="20"/>
  <c r="G792" i="20"/>
  <c r="F792" i="20"/>
  <c r="E792" i="20"/>
  <c r="D792" i="20"/>
  <c r="J792" i="20"/>
  <c r="N1228" i="20"/>
  <c r="F1228" i="20"/>
  <c r="L1228" i="20"/>
  <c r="H1228" i="20"/>
  <c r="M1228" i="20"/>
  <c r="G1228" i="20"/>
  <c r="E1228" i="20"/>
  <c r="D1228" i="20"/>
  <c r="O1228" i="20"/>
  <c r="K1228" i="20"/>
  <c r="J1228" i="20"/>
  <c r="I1228" i="20"/>
  <c r="K1332" i="20"/>
  <c r="L1332" i="20"/>
  <c r="G1332" i="20"/>
  <c r="N1332" i="20"/>
  <c r="M1332" i="20"/>
  <c r="O1332" i="20"/>
  <c r="I1332" i="20"/>
  <c r="F1332" i="20"/>
  <c r="E1332" i="20"/>
  <c r="J1332" i="20"/>
  <c r="H1332" i="20"/>
  <c r="D1332" i="20"/>
  <c r="E811" i="20"/>
  <c r="L811" i="20"/>
  <c r="K811" i="20"/>
  <c r="I811" i="20"/>
  <c r="F811" i="20"/>
  <c r="D811" i="20"/>
  <c r="O811" i="20"/>
  <c r="M811" i="20"/>
  <c r="H811" i="20"/>
  <c r="G811" i="20"/>
  <c r="N811" i="20"/>
  <c r="J811" i="20"/>
  <c r="K1648" i="20"/>
  <c r="F1648" i="20"/>
  <c r="J943" i="20"/>
  <c r="E943" i="20"/>
  <c r="D943" i="20"/>
  <c r="O943" i="20"/>
  <c r="N943" i="20"/>
  <c r="M943" i="20"/>
  <c r="K943" i="20"/>
  <c r="I943" i="20"/>
  <c r="H943" i="20"/>
  <c r="G943" i="20"/>
  <c r="F943" i="20"/>
  <c r="L943" i="20"/>
  <c r="G1103" i="20"/>
  <c r="E1103" i="20"/>
  <c r="O1103" i="20"/>
  <c r="N1103" i="20"/>
  <c r="L1103" i="20"/>
  <c r="K1103" i="20"/>
  <c r="I1103" i="20"/>
  <c r="F1103" i="20"/>
  <c r="D1103" i="20"/>
  <c r="M1103" i="20"/>
  <c r="J1103" i="20"/>
  <c r="H1103" i="20"/>
  <c r="M1614" i="20"/>
  <c r="G1614" i="20"/>
  <c r="D1614" i="20"/>
  <c r="AA91" i="27"/>
  <c r="K642" i="20"/>
  <c r="L642" i="20"/>
  <c r="J642" i="20"/>
  <c r="I642" i="20"/>
  <c r="H642" i="20"/>
  <c r="G642" i="20"/>
  <c r="E642" i="20"/>
  <c r="D642" i="20"/>
  <c r="N642" i="20"/>
  <c r="M642" i="20"/>
  <c r="F642" i="20"/>
  <c r="O642" i="20"/>
  <c r="I1363" i="20"/>
  <c r="K1363" i="20"/>
  <c r="F1363" i="20"/>
  <c r="L1363" i="20"/>
  <c r="O1363" i="20"/>
  <c r="G1363" i="20"/>
  <c r="M1363" i="20"/>
  <c r="J1363" i="20"/>
  <c r="H1363" i="20"/>
  <c r="E1363" i="20"/>
  <c r="N1363" i="20"/>
  <c r="D1363" i="20"/>
  <c r="G1361" i="20"/>
  <c r="G1036" i="20"/>
  <c r="M1064" i="20"/>
  <c r="D1618" i="20"/>
  <c r="D1661" i="20"/>
  <c r="H534" i="20"/>
  <c r="L534" i="20"/>
  <c r="J794" i="20"/>
  <c r="M794" i="20"/>
  <c r="G794" i="20"/>
  <c r="F794" i="20"/>
  <c r="E794" i="20"/>
  <c r="D794" i="20"/>
  <c r="O794" i="20"/>
  <c r="N794" i="20"/>
  <c r="K794" i="20"/>
  <c r="I794" i="20"/>
  <c r="L794" i="20"/>
  <c r="H794" i="20"/>
  <c r="M1694" i="20"/>
  <c r="K1694" i="20"/>
  <c r="E1694" i="20"/>
  <c r="G1721" i="20"/>
  <c r="M1721" i="20"/>
  <c r="AA21" i="27"/>
  <c r="N1317" i="20"/>
  <c r="J1317" i="20"/>
  <c r="I1317" i="20"/>
  <c r="M1033" i="20"/>
  <c r="L1033" i="20"/>
  <c r="K1033" i="20"/>
  <c r="J1033" i="20"/>
  <c r="O1033" i="20"/>
  <c r="N1033" i="20"/>
  <c r="I1033" i="20"/>
  <c r="F1033" i="20"/>
  <c r="E1033" i="20"/>
  <c r="D1033" i="20"/>
  <c r="G1033" i="20"/>
  <c r="H1033" i="20"/>
  <c r="F1004" i="20"/>
  <c r="E1004" i="20"/>
  <c r="L1004" i="20"/>
  <c r="K1004" i="20"/>
  <c r="I1004" i="20"/>
  <c r="G1004" i="20"/>
  <c r="O1004" i="20"/>
  <c r="J1004" i="20"/>
  <c r="M1004" i="20"/>
  <c r="H1004" i="20"/>
  <c r="N1004" i="20"/>
  <c r="D1004" i="20"/>
  <c r="N434" i="20"/>
  <c r="K434" i="20"/>
  <c r="J434" i="20"/>
  <c r="H434" i="20"/>
  <c r="G434" i="20"/>
  <c r="L434" i="20"/>
  <c r="F434" i="20"/>
  <c r="E434" i="20"/>
  <c r="D434" i="20"/>
  <c r="O434" i="20"/>
  <c r="I434" i="20"/>
  <c r="M434" i="20"/>
  <c r="O974" i="20"/>
  <c r="I974" i="20"/>
  <c r="H974" i="20"/>
  <c r="I136" i="20"/>
  <c r="G136" i="20"/>
  <c r="N136" i="20"/>
  <c r="K136" i="20"/>
  <c r="M136" i="20"/>
  <c r="L136" i="20"/>
  <c r="H136" i="20"/>
  <c r="F136" i="20"/>
  <c r="E136" i="20"/>
  <c r="D136" i="20"/>
  <c r="O136" i="20"/>
  <c r="J136" i="20"/>
  <c r="O1061" i="20"/>
  <c r="E1061" i="20"/>
  <c r="AA70" i="27"/>
  <c r="G1527" i="20"/>
  <c r="J1527" i="20"/>
  <c r="H284" i="20"/>
  <c r="I284" i="20"/>
  <c r="E1091" i="20"/>
  <c r="G1496" i="20"/>
  <c r="C975" i="20"/>
  <c r="L975" i="20" s="1"/>
  <c r="S65" i="27"/>
  <c r="M1618" i="20"/>
  <c r="F1661" i="20"/>
  <c r="J534" i="20"/>
  <c r="AA23" i="27"/>
  <c r="AA63" i="27"/>
  <c r="F1351" i="20"/>
  <c r="J1351" i="20"/>
  <c r="AA95" i="27"/>
  <c r="F1649" i="20"/>
  <c r="L1649" i="20"/>
  <c r="E1649" i="20"/>
  <c r="M1649" i="20"/>
  <c r="H1649" i="20"/>
  <c r="N1649" i="20"/>
  <c r="K1649" i="20"/>
  <c r="O1649" i="20"/>
  <c r="J1649" i="20"/>
  <c r="I1649" i="20"/>
  <c r="D1649" i="20"/>
  <c r="G1649" i="20"/>
  <c r="N1231" i="20"/>
  <c r="O1231" i="20"/>
  <c r="L1231" i="20"/>
  <c r="F1231" i="20"/>
  <c r="E1231" i="20"/>
  <c r="J1231" i="20"/>
  <c r="D1231" i="20"/>
  <c r="I1231" i="20"/>
  <c r="H1231" i="20"/>
  <c r="M1231" i="20"/>
  <c r="K1231" i="20"/>
  <c r="G1231" i="20"/>
  <c r="J1347" i="20"/>
  <c r="K1347" i="20"/>
  <c r="J851" i="20"/>
  <c r="K851" i="20"/>
  <c r="F809" i="20"/>
  <c r="M809" i="20"/>
  <c r="L809" i="20"/>
  <c r="J809" i="20"/>
  <c r="G809" i="20"/>
  <c r="E809" i="20"/>
  <c r="D809" i="20"/>
  <c r="O809" i="20"/>
  <c r="N809" i="20"/>
  <c r="I809" i="20"/>
  <c r="H809" i="20"/>
  <c r="K809" i="20"/>
  <c r="J278" i="20"/>
  <c r="I278" i="20"/>
  <c r="H278" i="20"/>
  <c r="E278" i="20"/>
  <c r="D278" i="20"/>
  <c r="O278" i="20"/>
  <c r="N278" i="20"/>
  <c r="L278" i="20"/>
  <c r="K278" i="20"/>
  <c r="F278" i="20"/>
  <c r="M278" i="20"/>
  <c r="G278" i="20"/>
  <c r="D1703" i="20"/>
  <c r="M1703" i="20"/>
  <c r="O1703" i="20"/>
  <c r="F1703" i="20"/>
  <c r="G1703" i="20"/>
  <c r="E1703" i="20"/>
  <c r="K1703" i="20"/>
  <c r="N1703" i="20"/>
  <c r="J1703" i="20"/>
  <c r="I1703" i="20"/>
  <c r="H1703" i="20"/>
  <c r="L1703" i="20"/>
  <c r="D1166" i="20"/>
  <c r="J1166" i="20"/>
  <c r="K1166" i="20"/>
  <c r="G1166" i="20"/>
  <c r="E1166" i="20"/>
  <c r="M1166" i="20"/>
  <c r="O1166" i="20"/>
  <c r="L1166" i="20"/>
  <c r="I1166" i="20"/>
  <c r="N1166" i="20"/>
  <c r="H1166" i="20"/>
  <c r="F1166" i="20"/>
  <c r="O141" i="20"/>
  <c r="C120" i="19"/>
  <c r="C64" i="19"/>
  <c r="C70" i="19"/>
  <c r="C93" i="19"/>
  <c r="C101" i="19"/>
  <c r="C62" i="19"/>
  <c r="K771" i="20"/>
  <c r="C55" i="19"/>
  <c r="C51" i="19"/>
  <c r="C330" i="20"/>
  <c r="C27" i="19"/>
  <c r="D726" i="20"/>
  <c r="E771" i="20"/>
  <c r="C20" i="19"/>
  <c r="C10" i="19"/>
  <c r="D771" i="20"/>
  <c r="C82" i="19"/>
  <c r="C45" i="19"/>
  <c r="C97" i="19"/>
  <c r="F186" i="20"/>
  <c r="J1432" i="20"/>
  <c r="C33" i="19"/>
  <c r="M17" i="7"/>
  <c r="J1116" i="20"/>
  <c r="C48" i="19"/>
  <c r="M50" i="7"/>
  <c r="O726" i="20"/>
  <c r="M97" i="7"/>
  <c r="M53" i="7"/>
  <c r="K1432" i="20"/>
  <c r="D1432" i="20"/>
  <c r="M77" i="7"/>
  <c r="I141" i="20"/>
  <c r="M106" i="7"/>
  <c r="L1432" i="20"/>
  <c r="M33" i="7"/>
  <c r="J141" i="20"/>
  <c r="M112" i="7"/>
  <c r="N1432" i="20"/>
  <c r="P502" i="20"/>
  <c r="M18" i="7"/>
  <c r="O1432" i="20"/>
  <c r="M1432" i="20"/>
  <c r="M59" i="7"/>
  <c r="E1432" i="20"/>
  <c r="M90" i="7"/>
  <c r="M118" i="7"/>
  <c r="M89" i="7"/>
  <c r="F1432" i="20"/>
  <c r="C49" i="19"/>
  <c r="G1432" i="20"/>
  <c r="H1432" i="20"/>
  <c r="C60" i="19"/>
  <c r="M119" i="7"/>
  <c r="C9" i="19"/>
  <c r="P1207" i="20"/>
  <c r="P671" i="20"/>
  <c r="P412" i="20"/>
  <c r="C930" i="20"/>
  <c r="C67" i="19"/>
  <c r="P1057" i="20"/>
  <c r="P1530" i="20"/>
  <c r="O14" i="16"/>
  <c r="C89" i="19"/>
  <c r="P1192" i="20"/>
  <c r="P1612" i="20"/>
  <c r="P262" i="20"/>
  <c r="N67" i="20"/>
  <c r="C66" i="20"/>
  <c r="M67" i="20"/>
  <c r="J67" i="20"/>
  <c r="I67" i="20"/>
  <c r="H67" i="20"/>
  <c r="G67" i="20"/>
  <c r="D67" i="20"/>
  <c r="E67" i="20"/>
  <c r="O67" i="20"/>
  <c r="L67" i="20"/>
  <c r="K67" i="20"/>
  <c r="F67" i="20"/>
  <c r="K52" i="20"/>
  <c r="O52" i="20"/>
  <c r="N52" i="20"/>
  <c r="M52" i="20"/>
  <c r="L52" i="20"/>
  <c r="J52" i="20"/>
  <c r="I52" i="20"/>
  <c r="H52" i="20"/>
  <c r="G52" i="20"/>
  <c r="F52" i="20"/>
  <c r="E52" i="20"/>
  <c r="D52" i="20"/>
  <c r="C99" i="19"/>
  <c r="P1297" i="20"/>
  <c r="C37" i="20"/>
  <c r="C8" i="19"/>
  <c r="I129" i="8"/>
  <c r="I15" i="8"/>
  <c r="M71" i="7"/>
  <c r="M52" i="7"/>
  <c r="M73" i="7"/>
  <c r="C44" i="20"/>
  <c r="I128" i="15"/>
  <c r="I14" i="15"/>
  <c r="P232" i="20"/>
  <c r="P1117" i="20"/>
  <c r="H771" i="20"/>
  <c r="P997" i="20"/>
  <c r="L1402" i="20"/>
  <c r="F1402" i="20"/>
  <c r="K1402" i="20"/>
  <c r="J1402" i="20"/>
  <c r="G1402" i="20"/>
  <c r="D1402" i="20"/>
  <c r="O1402" i="20"/>
  <c r="N1402" i="20"/>
  <c r="M1402" i="20"/>
  <c r="I1402" i="20"/>
  <c r="H1402" i="20"/>
  <c r="E1402" i="20"/>
  <c r="C88" i="19"/>
  <c r="C44" i="19"/>
  <c r="P82" i="20"/>
  <c r="C65" i="19"/>
  <c r="M54" i="7"/>
  <c r="M117" i="7"/>
  <c r="P817" i="20"/>
  <c r="F1477" i="20"/>
  <c r="L1477" i="20"/>
  <c r="D1477" i="20"/>
  <c r="N1477" i="20"/>
  <c r="K1477" i="20"/>
  <c r="J1477" i="20"/>
  <c r="H1477" i="20"/>
  <c r="G1477" i="20"/>
  <c r="O1477" i="20"/>
  <c r="M1477" i="20"/>
  <c r="I1477" i="20"/>
  <c r="E1477" i="20"/>
  <c r="O1237" i="20"/>
  <c r="I1237" i="20"/>
  <c r="L1237" i="20"/>
  <c r="K1237" i="20"/>
  <c r="H1237" i="20"/>
  <c r="G1237" i="20"/>
  <c r="F1237" i="20"/>
  <c r="E1237" i="20"/>
  <c r="D1237" i="20"/>
  <c r="N1237" i="20"/>
  <c r="M1237" i="20"/>
  <c r="J1237" i="20"/>
  <c r="G577" i="20"/>
  <c r="F577" i="20"/>
  <c r="E577" i="20"/>
  <c r="D577" i="20"/>
  <c r="O577" i="20"/>
  <c r="N577" i="20"/>
  <c r="M577" i="20"/>
  <c r="L577" i="20"/>
  <c r="K577" i="20"/>
  <c r="J577" i="20"/>
  <c r="I577" i="20"/>
  <c r="H577" i="20"/>
  <c r="M44" i="7"/>
  <c r="M75" i="20"/>
  <c r="N892" i="20"/>
  <c r="M892" i="20"/>
  <c r="L892" i="20"/>
  <c r="K892" i="20"/>
  <c r="J892" i="20"/>
  <c r="I892" i="20"/>
  <c r="H892" i="20"/>
  <c r="G892" i="20"/>
  <c r="F892" i="20"/>
  <c r="E892" i="20"/>
  <c r="D892" i="20"/>
  <c r="O892" i="20"/>
  <c r="P127" i="20"/>
  <c r="J682" i="20"/>
  <c r="F682" i="20"/>
  <c r="E682" i="20"/>
  <c r="D682" i="20"/>
  <c r="N682" i="20"/>
  <c r="L682" i="20"/>
  <c r="M682" i="20"/>
  <c r="K682" i="20"/>
  <c r="I682" i="20"/>
  <c r="H682" i="20"/>
  <c r="G682" i="20"/>
  <c r="O682" i="20"/>
  <c r="P982" i="20"/>
  <c r="C32" i="19"/>
  <c r="G487" i="20"/>
  <c r="E487" i="20"/>
  <c r="O487" i="20"/>
  <c r="N487" i="20"/>
  <c r="M487" i="20"/>
  <c r="L487" i="20"/>
  <c r="K487" i="20"/>
  <c r="J487" i="20"/>
  <c r="H487" i="20"/>
  <c r="F487" i="20"/>
  <c r="D487" i="20"/>
  <c r="I487" i="20"/>
  <c r="N667" i="20"/>
  <c r="J667" i="20"/>
  <c r="I667" i="20"/>
  <c r="F667" i="20"/>
  <c r="D667" i="20"/>
  <c r="H667" i="20"/>
  <c r="G667" i="20"/>
  <c r="E667" i="20"/>
  <c r="O667" i="20"/>
  <c r="M667" i="20"/>
  <c r="L667" i="20"/>
  <c r="K667" i="20"/>
  <c r="C46" i="19"/>
  <c r="P1717" i="20"/>
  <c r="M96" i="7"/>
  <c r="M81" i="7"/>
  <c r="C45" i="20"/>
  <c r="I14" i="16"/>
  <c r="I128" i="16"/>
  <c r="P907" i="20"/>
  <c r="P727" i="20"/>
  <c r="P112" i="20"/>
  <c r="E397" i="20"/>
  <c r="N397" i="20"/>
  <c r="M397" i="20"/>
  <c r="L397" i="20"/>
  <c r="K397" i="20"/>
  <c r="J397" i="20"/>
  <c r="F397" i="20"/>
  <c r="D397" i="20"/>
  <c r="O397" i="20"/>
  <c r="I397" i="20"/>
  <c r="H397" i="20"/>
  <c r="G397" i="20"/>
  <c r="K607" i="20"/>
  <c r="J607" i="20"/>
  <c r="I607" i="20"/>
  <c r="H607" i="20"/>
  <c r="G607" i="20"/>
  <c r="F607" i="20"/>
  <c r="E607" i="20"/>
  <c r="D607" i="20"/>
  <c r="O607" i="20"/>
  <c r="N607" i="20"/>
  <c r="C606" i="20"/>
  <c r="M607" i="20"/>
  <c r="L607" i="20"/>
  <c r="M46" i="7"/>
  <c r="M40" i="7"/>
  <c r="M107" i="7"/>
  <c r="C38" i="20"/>
  <c r="J129" i="9"/>
  <c r="J15" i="9"/>
  <c r="P1687" i="20"/>
  <c r="D1387" i="20"/>
  <c r="J1387" i="20"/>
  <c r="N1387" i="20"/>
  <c r="I1387" i="20"/>
  <c r="G1387" i="20"/>
  <c r="F1387" i="20"/>
  <c r="O1387" i="20"/>
  <c r="M1387" i="20"/>
  <c r="L1387" i="20"/>
  <c r="K1387" i="20"/>
  <c r="H1387" i="20"/>
  <c r="E1387" i="20"/>
  <c r="O592" i="20"/>
  <c r="N592" i="20"/>
  <c r="M592" i="20"/>
  <c r="L592" i="20"/>
  <c r="K592" i="20"/>
  <c r="J592" i="20"/>
  <c r="I592" i="20"/>
  <c r="H592" i="20"/>
  <c r="G592" i="20"/>
  <c r="F592" i="20"/>
  <c r="E592" i="20"/>
  <c r="D592" i="20"/>
  <c r="H128" i="16"/>
  <c r="C36" i="19"/>
  <c r="C63" i="19"/>
  <c r="P922" i="20"/>
  <c r="C41" i="20"/>
  <c r="I128" i="11"/>
  <c r="I14" i="11"/>
  <c r="P1372" i="20"/>
  <c r="I472" i="20"/>
  <c r="G472" i="20"/>
  <c r="F472" i="20"/>
  <c r="E472" i="20"/>
  <c r="D472" i="20"/>
  <c r="O472" i="20"/>
  <c r="N472" i="20"/>
  <c r="M472" i="20"/>
  <c r="L472" i="20"/>
  <c r="K472" i="20"/>
  <c r="J472" i="20"/>
  <c r="H472" i="20"/>
  <c r="K1252" i="20"/>
  <c r="E1252" i="20"/>
  <c r="J1252" i="20"/>
  <c r="I1252" i="20"/>
  <c r="G1252" i="20"/>
  <c r="F1252" i="20"/>
  <c r="D1252" i="20"/>
  <c r="C1251" i="20"/>
  <c r="O1252" i="20"/>
  <c r="N1252" i="20"/>
  <c r="M1252" i="20"/>
  <c r="L1252" i="20"/>
  <c r="H1252" i="20"/>
  <c r="P1177" i="20"/>
  <c r="P142" i="20"/>
  <c r="H14" i="16"/>
  <c r="P1657" i="20"/>
  <c r="P1672" i="20"/>
  <c r="M457" i="20"/>
  <c r="K457" i="20"/>
  <c r="J457" i="20"/>
  <c r="I457" i="20"/>
  <c r="H457" i="20"/>
  <c r="G457" i="20"/>
  <c r="F457" i="20"/>
  <c r="C456" i="20"/>
  <c r="O457" i="20"/>
  <c r="N457" i="20"/>
  <c r="L457" i="20"/>
  <c r="E457" i="20"/>
  <c r="D457" i="20"/>
  <c r="P562" i="20"/>
  <c r="M69" i="7"/>
  <c r="J862" i="20"/>
  <c r="I862" i="20"/>
  <c r="H862" i="20"/>
  <c r="G862" i="20"/>
  <c r="F862" i="20"/>
  <c r="E862" i="20"/>
  <c r="D862" i="20"/>
  <c r="O862" i="20"/>
  <c r="N862" i="20"/>
  <c r="M862" i="20"/>
  <c r="L862" i="20"/>
  <c r="K862" i="20"/>
  <c r="C73" i="19"/>
  <c r="P712" i="20"/>
  <c r="C25" i="19"/>
  <c r="P337" i="20"/>
  <c r="L1147" i="20"/>
  <c r="F1147" i="20"/>
  <c r="E1147" i="20"/>
  <c r="O1147" i="20"/>
  <c r="N1147" i="20"/>
  <c r="M1147" i="20"/>
  <c r="K1147" i="20"/>
  <c r="J1147" i="20"/>
  <c r="I1147" i="20"/>
  <c r="H1147" i="20"/>
  <c r="G1147" i="20"/>
  <c r="D1147" i="20"/>
  <c r="M22" i="7"/>
  <c r="M31" i="7"/>
  <c r="M84" i="7"/>
  <c r="M42" i="7"/>
  <c r="M105" i="7"/>
  <c r="M43" i="7"/>
  <c r="M85" i="7"/>
  <c r="M125" i="7"/>
  <c r="M91" i="7"/>
  <c r="M29" i="7"/>
  <c r="M80" i="7"/>
  <c r="M114" i="7"/>
  <c r="M63" i="7"/>
  <c r="M23" i="7"/>
  <c r="M99" i="7"/>
  <c r="M127" i="7"/>
  <c r="M103" i="7"/>
  <c r="M26" i="7"/>
  <c r="M122" i="7"/>
  <c r="M36" i="7"/>
  <c r="M121" i="7"/>
  <c r="M32" i="7"/>
  <c r="M56" i="7"/>
  <c r="M67" i="7"/>
  <c r="M68" i="7"/>
  <c r="M19" i="7"/>
  <c r="M75" i="7"/>
  <c r="M104" i="7"/>
  <c r="M65" i="7"/>
  <c r="M20" i="7"/>
  <c r="M37" i="7"/>
  <c r="M128" i="7"/>
  <c r="M76" i="7"/>
  <c r="M41" i="7"/>
  <c r="M102" i="7"/>
  <c r="M64" i="7"/>
  <c r="M66" i="7"/>
  <c r="M25" i="7"/>
  <c r="M86" i="7"/>
  <c r="M51" i="7"/>
  <c r="M24" i="7"/>
  <c r="M30" i="7"/>
  <c r="M93" i="7"/>
  <c r="M57" i="7"/>
  <c r="M87" i="7"/>
  <c r="M74" i="7"/>
  <c r="M124" i="7"/>
  <c r="M21" i="7"/>
  <c r="M100" i="7"/>
  <c r="M70" i="7"/>
  <c r="M120" i="7"/>
  <c r="M109" i="7"/>
  <c r="M88" i="7"/>
  <c r="M60" i="7"/>
  <c r="M111" i="7"/>
  <c r="M116" i="7"/>
  <c r="M82" i="7"/>
  <c r="M49" i="7"/>
  <c r="M123" i="7"/>
  <c r="M110" i="7"/>
  <c r="M98" i="7"/>
  <c r="M83" i="7"/>
  <c r="M62" i="7"/>
  <c r="M95" i="7"/>
  <c r="M39" i="7"/>
  <c r="M101" i="7"/>
  <c r="M115" i="7"/>
  <c r="M48" i="7"/>
  <c r="M92" i="7"/>
  <c r="M27" i="7"/>
  <c r="M113" i="7"/>
  <c r="M72" i="7"/>
  <c r="M61" i="7"/>
  <c r="M79" i="7"/>
  <c r="M38" i="7"/>
  <c r="M28" i="7"/>
  <c r="M108" i="7"/>
  <c r="M78" i="7"/>
  <c r="M47" i="7"/>
  <c r="M34" i="7"/>
  <c r="M94" i="7"/>
  <c r="M35" i="7"/>
  <c r="M126" i="7"/>
  <c r="C47" i="19"/>
  <c r="C42" i="20"/>
  <c r="I128" i="12"/>
  <c r="I14" i="12"/>
  <c r="C46" i="20"/>
  <c r="I128" i="17"/>
  <c r="I14" i="17"/>
  <c r="C109" i="19"/>
  <c r="H1012" i="20"/>
  <c r="D1012" i="20"/>
  <c r="O1012" i="20"/>
  <c r="N1012" i="20"/>
  <c r="C1011" i="20"/>
  <c r="M1012" i="20"/>
  <c r="L1012" i="20"/>
  <c r="K1012" i="20"/>
  <c r="J1012" i="20"/>
  <c r="I1012" i="20"/>
  <c r="G1012" i="20"/>
  <c r="F1012" i="20"/>
  <c r="E1012" i="20"/>
  <c r="M55" i="7"/>
  <c r="N292" i="20"/>
  <c r="C291" i="20"/>
  <c r="M292" i="20"/>
  <c r="L292" i="20"/>
  <c r="K292" i="20"/>
  <c r="J292" i="20"/>
  <c r="I292" i="20"/>
  <c r="H292" i="20"/>
  <c r="G292" i="20"/>
  <c r="F292" i="20"/>
  <c r="E292" i="20"/>
  <c r="D292" i="20"/>
  <c r="O292" i="20"/>
  <c r="P1627" i="20"/>
  <c r="C43" i="20"/>
  <c r="I128" i="14"/>
  <c r="I14" i="14"/>
  <c r="L1132" i="20"/>
  <c r="K1132" i="20"/>
  <c r="J1132" i="20"/>
  <c r="I1132" i="20"/>
  <c r="H1132" i="20"/>
  <c r="G1132" i="20"/>
  <c r="F1132" i="20"/>
  <c r="E1132" i="20"/>
  <c r="D1132" i="20"/>
  <c r="O1132" i="20"/>
  <c r="N1132" i="20"/>
  <c r="M1132" i="20"/>
  <c r="H141" i="20"/>
  <c r="P247" i="20"/>
  <c r="G622" i="20"/>
  <c r="F622" i="20"/>
  <c r="E622" i="20"/>
  <c r="D622" i="20"/>
  <c r="O622" i="20"/>
  <c r="N622" i="20"/>
  <c r="M622" i="20"/>
  <c r="L622" i="20"/>
  <c r="K622" i="20"/>
  <c r="J622" i="20"/>
  <c r="I622" i="20"/>
  <c r="H622" i="20"/>
  <c r="I1552" i="20"/>
  <c r="O1552" i="20"/>
  <c r="N1552" i="20"/>
  <c r="K1552" i="20"/>
  <c r="G1552" i="20"/>
  <c r="D1552" i="20"/>
  <c r="M1552" i="20"/>
  <c r="L1552" i="20"/>
  <c r="H1552" i="20"/>
  <c r="F1552" i="20"/>
  <c r="J1552" i="20"/>
  <c r="E1552" i="20"/>
  <c r="C1551" i="20"/>
  <c r="C42" i="19"/>
  <c r="P697" i="20"/>
  <c r="C61" i="19"/>
  <c r="C111" i="19"/>
  <c r="P1267" i="20"/>
  <c r="M58" i="7"/>
  <c r="O547" i="20"/>
  <c r="N547" i="20"/>
  <c r="M547" i="20"/>
  <c r="L547" i="20"/>
  <c r="K547" i="20"/>
  <c r="J547" i="20"/>
  <c r="I547" i="20"/>
  <c r="H547" i="20"/>
  <c r="G547" i="20"/>
  <c r="F547" i="20"/>
  <c r="E547" i="20"/>
  <c r="D547" i="20"/>
  <c r="C110" i="19"/>
  <c r="C39" i="20"/>
  <c r="I128" i="10"/>
  <c r="I14" i="10"/>
  <c r="L952" i="20"/>
  <c r="H952" i="20"/>
  <c r="G952" i="20"/>
  <c r="F952" i="20"/>
  <c r="N952" i="20"/>
  <c r="K952" i="20"/>
  <c r="J952" i="20"/>
  <c r="I952" i="20"/>
  <c r="E952" i="20"/>
  <c r="D952" i="20"/>
  <c r="O952" i="20"/>
  <c r="M952" i="20"/>
  <c r="P187" i="20"/>
  <c r="E1410" i="20"/>
  <c r="P772" i="20"/>
  <c r="F832" i="20"/>
  <c r="E832" i="20"/>
  <c r="D832" i="20"/>
  <c r="O832" i="20"/>
  <c r="N832" i="20"/>
  <c r="M832" i="20"/>
  <c r="L832" i="20"/>
  <c r="K832" i="20"/>
  <c r="J832" i="20"/>
  <c r="I832" i="20"/>
  <c r="H832" i="20"/>
  <c r="G832" i="20"/>
  <c r="E1582" i="20"/>
  <c r="M1582" i="20"/>
  <c r="K1582" i="20"/>
  <c r="J1582" i="20"/>
  <c r="G1582" i="20"/>
  <c r="N1582" i="20"/>
  <c r="H1582" i="20"/>
  <c r="L1582" i="20"/>
  <c r="I1582" i="20"/>
  <c r="O1582" i="20"/>
  <c r="F1582" i="20"/>
  <c r="D1582" i="20"/>
  <c r="K960" i="20"/>
  <c r="P937" i="20"/>
  <c r="C37" i="19"/>
  <c r="P217" i="20"/>
  <c r="P1507" i="20"/>
  <c r="I1567" i="20"/>
  <c r="E1567" i="20"/>
  <c r="O1567" i="20"/>
  <c r="N1567" i="20"/>
  <c r="K1567" i="20"/>
  <c r="J1567" i="20"/>
  <c r="F1567" i="20"/>
  <c r="L1567" i="20"/>
  <c r="H1567" i="20"/>
  <c r="M1567" i="20"/>
  <c r="G1567" i="20"/>
  <c r="D1567" i="20"/>
  <c r="I366" i="20" l="1"/>
  <c r="D186" i="20"/>
  <c r="M441" i="20"/>
  <c r="P1463" i="20"/>
  <c r="P628" i="20"/>
  <c r="M726" i="20"/>
  <c r="C1146" i="20"/>
  <c r="J1506" i="20"/>
  <c r="H1028" i="20"/>
  <c r="H1026" i="20" s="1"/>
  <c r="P908" i="20"/>
  <c r="O1028" i="20"/>
  <c r="P1417" i="20"/>
  <c r="P1418" i="20"/>
  <c r="P627" i="20"/>
  <c r="P360" i="20"/>
  <c r="P1208" i="20"/>
  <c r="F1206" i="20"/>
  <c r="E1028" i="20"/>
  <c r="G1206" i="20"/>
  <c r="I1416" i="20"/>
  <c r="N1028" i="20"/>
  <c r="N1026" i="20" s="1"/>
  <c r="M1536" i="20"/>
  <c r="J1028" i="20"/>
  <c r="J1026" i="20" s="1"/>
  <c r="P1479" i="20"/>
  <c r="K726" i="20"/>
  <c r="K1028" i="20"/>
  <c r="M1028" i="20"/>
  <c r="N1206" i="20"/>
  <c r="L1028" i="20"/>
  <c r="L1026" i="20" s="1"/>
  <c r="C1026" i="20"/>
  <c r="O186" i="20"/>
  <c r="P728" i="20"/>
  <c r="P1162" i="20"/>
  <c r="I1028" i="20"/>
  <c r="K996" i="20"/>
  <c r="H186" i="20"/>
  <c r="H1245" i="20"/>
  <c r="P841" i="20"/>
  <c r="C621" i="20"/>
  <c r="AA98" i="27"/>
  <c r="L726" i="20"/>
  <c r="D1028" i="20"/>
  <c r="C471" i="20"/>
  <c r="L1268" i="20"/>
  <c r="L1266" i="20" s="1"/>
  <c r="C1266" i="20"/>
  <c r="H1268" i="20"/>
  <c r="H1266" i="20" s="1"/>
  <c r="D1268" i="20"/>
  <c r="O1268" i="20"/>
  <c r="O1266" i="20" s="1"/>
  <c r="N1268" i="20"/>
  <c r="N1266" i="20" s="1"/>
  <c r="I1268" i="20"/>
  <c r="I1266" i="20" s="1"/>
  <c r="G1268" i="20"/>
  <c r="G1266" i="20" s="1"/>
  <c r="F1268" i="20"/>
  <c r="F1266" i="20" s="1"/>
  <c r="J1268" i="20"/>
  <c r="J1266" i="20" s="1"/>
  <c r="K1268" i="20"/>
  <c r="K1266" i="20" s="1"/>
  <c r="M1268" i="20"/>
  <c r="M1266" i="20" s="1"/>
  <c r="E1268" i="20"/>
  <c r="E1266" i="20" s="1"/>
  <c r="H713" i="20"/>
  <c r="H711" i="20" s="1"/>
  <c r="J713" i="20"/>
  <c r="J711" i="20" s="1"/>
  <c r="I713" i="20"/>
  <c r="I711" i="20" s="1"/>
  <c r="O713" i="20"/>
  <c r="E713" i="20"/>
  <c r="E711" i="20" s="1"/>
  <c r="F713" i="20"/>
  <c r="F711" i="20" s="1"/>
  <c r="K713" i="20"/>
  <c r="K711" i="20" s="1"/>
  <c r="N713" i="20"/>
  <c r="N711" i="20" s="1"/>
  <c r="G713" i="20"/>
  <c r="G711" i="20" s="1"/>
  <c r="L713" i="20"/>
  <c r="L711" i="20" s="1"/>
  <c r="M713" i="20"/>
  <c r="M711" i="20" s="1"/>
  <c r="D713" i="20"/>
  <c r="G726" i="20"/>
  <c r="P676" i="20"/>
  <c r="M1206" i="20"/>
  <c r="P1462" i="20"/>
  <c r="G1163" i="20"/>
  <c r="G1161" i="20" s="1"/>
  <c r="F1163" i="20"/>
  <c r="F1161" i="20" s="1"/>
  <c r="N1163" i="20"/>
  <c r="N1161" i="20" s="1"/>
  <c r="L1163" i="20"/>
  <c r="L1161" i="20" s="1"/>
  <c r="I1163" i="20"/>
  <c r="J1163" i="20"/>
  <c r="J1161" i="20" s="1"/>
  <c r="M1163" i="20"/>
  <c r="M1161" i="20" s="1"/>
  <c r="D1163" i="20"/>
  <c r="E1163" i="20"/>
  <c r="E1161" i="20" s="1"/>
  <c r="O1163" i="20"/>
  <c r="O1161" i="20" s="1"/>
  <c r="H1163" i="20"/>
  <c r="H1161" i="20" s="1"/>
  <c r="K1163" i="20"/>
  <c r="K1161" i="20" s="1"/>
  <c r="C1386" i="20"/>
  <c r="M1116" i="20"/>
  <c r="C486" i="20"/>
  <c r="E116" i="27"/>
  <c r="F34" i="27" s="1"/>
  <c r="N203" i="20"/>
  <c r="D203" i="20"/>
  <c r="O203" i="20"/>
  <c r="M203" i="20"/>
  <c r="J203" i="20"/>
  <c r="I203" i="20"/>
  <c r="I201" i="20" s="1"/>
  <c r="H203" i="20"/>
  <c r="H201" i="20" s="1"/>
  <c r="G203" i="20"/>
  <c r="G201" i="20" s="1"/>
  <c r="F203" i="20"/>
  <c r="F201" i="20" s="1"/>
  <c r="E203" i="20"/>
  <c r="E201" i="20" s="1"/>
  <c r="K203" i="20"/>
  <c r="L203" i="20"/>
  <c r="K1206" i="20"/>
  <c r="I726" i="20"/>
  <c r="L1206" i="20"/>
  <c r="K1191" i="20"/>
  <c r="N1688" i="20"/>
  <c r="N1686" i="20" s="1"/>
  <c r="J1688" i="20"/>
  <c r="J1686" i="20" s="1"/>
  <c r="K1688" i="20"/>
  <c r="K1686" i="20" s="1"/>
  <c r="I1688" i="20"/>
  <c r="G1688" i="20"/>
  <c r="O1688" i="20"/>
  <c r="E1688" i="20"/>
  <c r="E1686" i="20" s="1"/>
  <c r="M1688" i="20"/>
  <c r="D1688" i="20"/>
  <c r="L1688" i="20"/>
  <c r="H1688" i="20"/>
  <c r="F1688" i="20"/>
  <c r="F1686" i="20" s="1"/>
  <c r="C651" i="20"/>
  <c r="F1116" i="20"/>
  <c r="I1161" i="20"/>
  <c r="C681" i="20"/>
  <c r="L276" i="20"/>
  <c r="J1373" i="20"/>
  <c r="E1373" i="20"/>
  <c r="H1373" i="20"/>
  <c r="G1373" i="20"/>
  <c r="G1371" i="20" s="1"/>
  <c r="I1373" i="20"/>
  <c r="L1373" i="20"/>
  <c r="D1373" i="20"/>
  <c r="K1373" i="20"/>
  <c r="M1373" i="20"/>
  <c r="F1373" i="20"/>
  <c r="O1373" i="20"/>
  <c r="N1373" i="20"/>
  <c r="G1506" i="20"/>
  <c r="C666" i="20"/>
  <c r="D906" i="20"/>
  <c r="H906" i="20"/>
  <c r="F276" i="20"/>
  <c r="O276" i="20"/>
  <c r="K1506" i="20"/>
  <c r="K186" i="20"/>
  <c r="L1686" i="20"/>
  <c r="E441" i="20"/>
  <c r="I441" i="20"/>
  <c r="P517" i="20"/>
  <c r="P652" i="20"/>
  <c r="H441" i="20"/>
  <c r="J1416" i="20"/>
  <c r="P901" i="20"/>
  <c r="L1416" i="20"/>
  <c r="E1416" i="20"/>
  <c r="K441" i="20"/>
  <c r="C636" i="20"/>
  <c r="I1506" i="20"/>
  <c r="O231" i="20"/>
  <c r="M1506" i="20"/>
  <c r="E1116" i="20"/>
  <c r="I1116" i="20"/>
  <c r="L111" i="20"/>
  <c r="G1116" i="20"/>
  <c r="D1206" i="20"/>
  <c r="C1311" i="20"/>
  <c r="I1206" i="20"/>
  <c r="E1506" i="20"/>
  <c r="C876" i="20"/>
  <c r="N186" i="20"/>
  <c r="P120" i="20"/>
  <c r="D960" i="20"/>
  <c r="C51" i="20"/>
  <c r="C1431" i="20"/>
  <c r="M1086" i="20"/>
  <c r="C411" i="20"/>
  <c r="J441" i="20"/>
  <c r="N441" i="20"/>
  <c r="H1206" i="20"/>
  <c r="G1416" i="20"/>
  <c r="P134" i="20"/>
  <c r="G366" i="20"/>
  <c r="L1191" i="20"/>
  <c r="D231" i="20"/>
  <c r="N1416" i="20"/>
  <c r="F231" i="20"/>
  <c r="K276" i="20"/>
  <c r="D711" i="20"/>
  <c r="L906" i="20"/>
  <c r="F1416" i="20"/>
  <c r="P868" i="20"/>
  <c r="F996" i="20"/>
  <c r="K1416" i="20"/>
  <c r="H1416" i="20"/>
  <c r="P673" i="20"/>
  <c r="O1416" i="20"/>
  <c r="I1071" i="20"/>
  <c r="L1506" i="20"/>
  <c r="E1206" i="20"/>
  <c r="E906" i="20"/>
  <c r="K756" i="20"/>
  <c r="I1191" i="20"/>
  <c r="G441" i="20"/>
  <c r="D1191" i="20"/>
  <c r="N111" i="20"/>
  <c r="P567" i="20"/>
  <c r="K111" i="20"/>
  <c r="D441" i="20"/>
  <c r="P672" i="20"/>
  <c r="O1506" i="20"/>
  <c r="L441" i="20"/>
  <c r="M1416" i="20"/>
  <c r="E126" i="20"/>
  <c r="I906" i="20"/>
  <c r="L336" i="20"/>
  <c r="J336" i="20"/>
  <c r="F906" i="20"/>
  <c r="O441" i="20"/>
  <c r="F96" i="20"/>
  <c r="P1256" i="20"/>
  <c r="F1071" i="20"/>
  <c r="J1071" i="20"/>
  <c r="I996" i="20"/>
  <c r="L756" i="20"/>
  <c r="K366" i="20"/>
  <c r="O96" i="20"/>
  <c r="J1536" i="20"/>
  <c r="G186" i="20"/>
  <c r="D651" i="20"/>
  <c r="J1056" i="20"/>
  <c r="E1521" i="20"/>
  <c r="O711" i="20"/>
  <c r="O1206" i="20"/>
  <c r="O906" i="20"/>
  <c r="J1206" i="20"/>
  <c r="J96" i="20"/>
  <c r="M1191" i="20"/>
  <c r="D111" i="20"/>
  <c r="K126" i="20"/>
  <c r="J231" i="20"/>
  <c r="H1191" i="20"/>
  <c r="N996" i="20"/>
  <c r="F1446" i="20"/>
  <c r="G996" i="20"/>
  <c r="P683" i="20"/>
  <c r="F126" i="20"/>
  <c r="M1071" i="20"/>
  <c r="N1086" i="20"/>
  <c r="I756" i="20"/>
  <c r="P1388" i="20"/>
  <c r="J126" i="20"/>
  <c r="M231" i="20"/>
  <c r="F156" i="20"/>
  <c r="H336" i="20"/>
  <c r="K1086" i="20"/>
  <c r="E261" i="20"/>
  <c r="N1701" i="20"/>
  <c r="H1071" i="20"/>
  <c r="M126" i="20"/>
  <c r="O996" i="20"/>
  <c r="I1086" i="20"/>
  <c r="N126" i="20"/>
  <c r="E996" i="20"/>
  <c r="L1656" i="20"/>
  <c r="K231" i="20"/>
  <c r="F111" i="20"/>
  <c r="L126" i="20"/>
  <c r="F1656" i="20"/>
  <c r="P863" i="20"/>
  <c r="D1071" i="20"/>
  <c r="I111" i="20"/>
  <c r="H111" i="20"/>
  <c r="K1656" i="20"/>
  <c r="E336" i="20"/>
  <c r="E111" i="20"/>
  <c r="N231" i="20"/>
  <c r="E1071" i="20"/>
  <c r="J111" i="20"/>
  <c r="D1536" i="20"/>
  <c r="F1536" i="20"/>
  <c r="K351" i="20"/>
  <c r="D366" i="20"/>
  <c r="P1072" i="20"/>
  <c r="E1446" i="20"/>
  <c r="P382" i="20"/>
  <c r="I1536" i="20"/>
  <c r="D96" i="20"/>
  <c r="P401" i="20"/>
  <c r="P629" i="20"/>
  <c r="P488" i="20"/>
  <c r="N276" i="20"/>
  <c r="G126" i="20"/>
  <c r="C396" i="20"/>
  <c r="H366" i="20"/>
  <c r="N366" i="20"/>
  <c r="P669" i="20"/>
  <c r="D1416" i="20"/>
  <c r="H756" i="20"/>
  <c r="P802" i="20"/>
  <c r="P1553" i="20"/>
  <c r="O126" i="20"/>
  <c r="G1446" i="20"/>
  <c r="M276" i="20"/>
  <c r="D126" i="20"/>
  <c r="G936" i="20"/>
  <c r="N756" i="20"/>
  <c r="O366" i="20"/>
  <c r="H1326" i="20"/>
  <c r="M696" i="20"/>
  <c r="I381" i="20"/>
  <c r="N1116" i="20"/>
  <c r="N351" i="20"/>
  <c r="K906" i="20"/>
  <c r="M1446" i="20"/>
  <c r="C546" i="20"/>
  <c r="H126" i="20"/>
  <c r="H996" i="20"/>
  <c r="K936" i="20"/>
  <c r="J696" i="20"/>
  <c r="K381" i="20"/>
  <c r="I1356" i="20"/>
  <c r="P299" i="20"/>
  <c r="K171" i="20"/>
  <c r="J996" i="20"/>
  <c r="G906" i="20"/>
  <c r="E96" i="20"/>
  <c r="O111" i="20"/>
  <c r="D1086" i="20"/>
  <c r="D936" i="20"/>
  <c r="N306" i="20"/>
  <c r="J1086" i="20"/>
  <c r="N171" i="20"/>
  <c r="G1536" i="20"/>
  <c r="L1536" i="20"/>
  <c r="E1536" i="20"/>
  <c r="M996" i="20"/>
  <c r="J906" i="20"/>
  <c r="E231" i="20"/>
  <c r="L996" i="20"/>
  <c r="H261" i="20"/>
  <c r="M981" i="20"/>
  <c r="M381" i="20"/>
  <c r="D276" i="20"/>
  <c r="H381" i="20"/>
  <c r="C1581" i="20"/>
  <c r="C1101" i="20"/>
  <c r="M426" i="20"/>
  <c r="O1446" i="20"/>
  <c r="K1116" i="20"/>
  <c r="I126" i="20"/>
  <c r="F1356" i="20"/>
  <c r="F1101" i="20"/>
  <c r="N261" i="20"/>
  <c r="H696" i="20"/>
  <c r="F1506" i="20"/>
  <c r="I1686" i="20"/>
  <c r="L186" i="20"/>
  <c r="I696" i="20"/>
  <c r="I81" i="20"/>
  <c r="C831" i="20"/>
  <c r="N1536" i="20"/>
  <c r="P780" i="20"/>
  <c r="P442" i="20"/>
  <c r="P479" i="20"/>
  <c r="C861" i="20"/>
  <c r="C591" i="20"/>
  <c r="C1476" i="20"/>
  <c r="F1056" i="20"/>
  <c r="O1086" i="20"/>
  <c r="P532" i="20"/>
  <c r="P458" i="20"/>
  <c r="P1409" i="20"/>
  <c r="P1168" i="20"/>
  <c r="P1021" i="20"/>
  <c r="P1258" i="20"/>
  <c r="H645" i="20"/>
  <c r="F441" i="20"/>
  <c r="N426" i="20"/>
  <c r="P1213" i="20"/>
  <c r="O201" i="20"/>
  <c r="P1034" i="20"/>
  <c r="P1271" i="20"/>
  <c r="E600" i="20"/>
  <c r="E591" i="20" s="1"/>
  <c r="F600" i="20"/>
  <c r="F591" i="20" s="1"/>
  <c r="P582" i="20"/>
  <c r="F306" i="20"/>
  <c r="J885" i="20"/>
  <c r="P58" i="27"/>
  <c r="H1590" i="20"/>
  <c r="K1590" i="20"/>
  <c r="D495" i="20"/>
  <c r="M615" i="20"/>
  <c r="H351" i="20"/>
  <c r="P301" i="20"/>
  <c r="P581" i="20"/>
  <c r="P1212" i="20"/>
  <c r="P1583" i="20"/>
  <c r="F405" i="20"/>
  <c r="F396" i="20" s="1"/>
  <c r="I405" i="20"/>
  <c r="O306" i="20"/>
  <c r="K1446" i="20"/>
  <c r="E405" i="20"/>
  <c r="E396" i="20" s="1"/>
  <c r="P554" i="20"/>
  <c r="E426" i="20"/>
  <c r="M1110" i="20"/>
  <c r="P1137" i="20"/>
  <c r="N33" i="27"/>
  <c r="O660" i="20"/>
  <c r="D1590" i="20"/>
  <c r="P1019" i="20"/>
  <c r="P202" i="20"/>
  <c r="L660" i="20"/>
  <c r="L651" i="20" s="1"/>
  <c r="N89" i="27"/>
  <c r="N26" i="27"/>
  <c r="N39" i="27"/>
  <c r="D57" i="27"/>
  <c r="M96" i="20"/>
  <c r="K660" i="20"/>
  <c r="P1597" i="20"/>
  <c r="P1170" i="20"/>
  <c r="P1407" i="20"/>
  <c r="J660" i="20"/>
  <c r="J651" i="20" s="1"/>
  <c r="N615" i="20"/>
  <c r="P705" i="20"/>
  <c r="P836" i="20"/>
  <c r="P1246" i="20"/>
  <c r="O615" i="20"/>
  <c r="O606" i="20" s="1"/>
  <c r="P687" i="20"/>
  <c r="L1320" i="20"/>
  <c r="E276" i="20"/>
  <c r="P118" i="20"/>
  <c r="H1155" i="20"/>
  <c r="H1146" i="20" s="1"/>
  <c r="N21" i="27"/>
  <c r="L405" i="20"/>
  <c r="O600" i="20"/>
  <c r="N690" i="20"/>
  <c r="O405" i="20"/>
  <c r="D600" i="20"/>
  <c r="D405" i="20"/>
  <c r="P491" i="20"/>
  <c r="P59" i="20"/>
  <c r="Q59" i="20" s="1"/>
  <c r="P584" i="20"/>
  <c r="P914" i="20"/>
  <c r="P1572" i="20"/>
  <c r="P1241" i="20"/>
  <c r="N1356" i="20"/>
  <c r="M585" i="20"/>
  <c r="P522" i="20"/>
  <c r="P478" i="20"/>
  <c r="J1356" i="20"/>
  <c r="F1410" i="20"/>
  <c r="F1401" i="20" s="1"/>
  <c r="K405" i="20"/>
  <c r="P1001" i="20"/>
  <c r="M405" i="20"/>
  <c r="H1446" i="20"/>
  <c r="O480" i="20"/>
  <c r="G405" i="20"/>
  <c r="G600" i="20"/>
  <c r="H405" i="20"/>
  <c r="P839" i="20"/>
  <c r="P736" i="20"/>
  <c r="P1242" i="20"/>
  <c r="J405" i="20"/>
  <c r="J396" i="20" s="1"/>
  <c r="P795" i="20"/>
  <c r="P1557" i="20"/>
  <c r="I1410" i="20"/>
  <c r="O690" i="20"/>
  <c r="P714" i="20"/>
  <c r="P867" i="20"/>
  <c r="I675" i="20"/>
  <c r="L1590" i="20"/>
  <c r="L1581" i="20" s="1"/>
  <c r="M495" i="20"/>
  <c r="M486" i="20" s="1"/>
  <c r="I600" i="20"/>
  <c r="I591" i="20" s="1"/>
  <c r="M1590" i="20"/>
  <c r="M1581" i="20" s="1"/>
  <c r="N495" i="20"/>
  <c r="I645" i="20"/>
  <c r="F1590" i="20"/>
  <c r="F1581" i="20" s="1"/>
  <c r="K1410" i="20"/>
  <c r="K1401" i="20" s="1"/>
  <c r="O495" i="20"/>
  <c r="O486" i="20" s="1"/>
  <c r="P1139" i="20"/>
  <c r="P548" i="20"/>
  <c r="P1403" i="20"/>
  <c r="P1017" i="20"/>
  <c r="P157" i="20"/>
  <c r="E495" i="20"/>
  <c r="O1590" i="20"/>
  <c r="G495" i="20"/>
  <c r="G486" i="20" s="1"/>
  <c r="E1395" i="20"/>
  <c r="E1386" i="20" s="1"/>
  <c r="E1590" i="20"/>
  <c r="H495" i="20"/>
  <c r="F1395" i="20"/>
  <c r="F1386" i="20" s="1"/>
  <c r="I1590" i="20"/>
  <c r="I1581" i="20" s="1"/>
  <c r="I495" i="20"/>
  <c r="I486" i="20" s="1"/>
  <c r="F1026" i="20"/>
  <c r="P1406" i="20"/>
  <c r="P489" i="20"/>
  <c r="P614" i="20"/>
  <c r="P1261" i="20"/>
  <c r="P689" i="20"/>
  <c r="F495" i="20"/>
  <c r="J1395" i="20"/>
  <c r="J1386" i="20" s="1"/>
  <c r="J495" i="20"/>
  <c r="L585" i="20"/>
  <c r="D825" i="20"/>
  <c r="P46" i="27"/>
  <c r="P533" i="20"/>
  <c r="P1561" i="20"/>
  <c r="P553" i="20"/>
  <c r="P958" i="20"/>
  <c r="P810" i="20"/>
  <c r="P466" i="20"/>
  <c r="P834" i="20"/>
  <c r="P165" i="20"/>
  <c r="P1559" i="20"/>
  <c r="P1222" i="20"/>
  <c r="P1327" i="20"/>
  <c r="P297" i="20"/>
  <c r="P847" i="20"/>
  <c r="K1395" i="20"/>
  <c r="K1386" i="20" s="1"/>
  <c r="K495" i="20"/>
  <c r="K486" i="20" s="1"/>
  <c r="P62" i="27"/>
  <c r="P898" i="20"/>
  <c r="P68" i="20"/>
  <c r="L1395" i="20"/>
  <c r="G300" i="20"/>
  <c r="G291" i="20" s="1"/>
  <c r="D675" i="20"/>
  <c r="D666" i="20" s="1"/>
  <c r="D645" i="20"/>
  <c r="D636" i="20" s="1"/>
  <c r="P44" i="27"/>
  <c r="P1484" i="20"/>
  <c r="P474" i="20"/>
  <c r="P492" i="20"/>
  <c r="P1257" i="20"/>
  <c r="P1404" i="20"/>
  <c r="P688" i="20"/>
  <c r="E675" i="20"/>
  <c r="E666" i="20" s="1"/>
  <c r="P1050" i="20"/>
  <c r="O1395" i="20"/>
  <c r="I300" i="20"/>
  <c r="G675" i="20"/>
  <c r="P82" i="27"/>
  <c r="P84" i="27"/>
  <c r="L366" i="20"/>
  <c r="J300" i="20"/>
  <c r="J291" i="20" s="1"/>
  <c r="H156" i="20"/>
  <c r="P29" i="27"/>
  <c r="I1395" i="20"/>
  <c r="I1386" i="20" s="1"/>
  <c r="L300" i="20"/>
  <c r="H675" i="20"/>
  <c r="E75" i="20"/>
  <c r="E66" i="20" s="1"/>
  <c r="I870" i="20"/>
  <c r="P286" i="20"/>
  <c r="P1350" i="20"/>
  <c r="P206" i="20"/>
  <c r="P114" i="27"/>
  <c r="H1395" i="20"/>
  <c r="N300" i="20"/>
  <c r="N291" i="20" s="1"/>
  <c r="M675" i="20"/>
  <c r="M666" i="20" s="1"/>
  <c r="K870" i="20"/>
  <c r="P12" i="27"/>
  <c r="P637" i="20"/>
  <c r="D1395" i="20"/>
  <c r="K675" i="20"/>
  <c r="M300" i="20"/>
  <c r="O300" i="20"/>
  <c r="N675" i="20"/>
  <c r="N666" i="20" s="1"/>
  <c r="J60" i="20"/>
  <c r="P103" i="27"/>
  <c r="P1152" i="20"/>
  <c r="M1395" i="20"/>
  <c r="M1386" i="20" s="1"/>
  <c r="K300" i="20"/>
  <c r="K291" i="20" s="1"/>
  <c r="D300" i="20"/>
  <c r="F675" i="20"/>
  <c r="F60" i="20"/>
  <c r="F51" i="20" s="1"/>
  <c r="P4" i="27"/>
  <c r="P110" i="27"/>
  <c r="N42" i="27"/>
  <c r="J675" i="20"/>
  <c r="D1560" i="20"/>
  <c r="F645" i="20"/>
  <c r="G1395" i="20"/>
  <c r="G1590" i="20"/>
  <c r="G1581" i="20" s="1"/>
  <c r="F300" i="20"/>
  <c r="M1560" i="20"/>
  <c r="M1551" i="20" s="1"/>
  <c r="P91" i="27"/>
  <c r="P36" i="27"/>
  <c r="H300" i="20"/>
  <c r="H291" i="20" s="1"/>
  <c r="J645" i="20"/>
  <c r="J636" i="20" s="1"/>
  <c r="J870" i="20"/>
  <c r="J1590" i="20"/>
  <c r="N43" i="27"/>
  <c r="P68" i="27"/>
  <c r="I1260" i="20"/>
  <c r="I1251" i="20" s="1"/>
  <c r="G585" i="20"/>
  <c r="G576" i="20" s="1"/>
  <c r="P322" i="20"/>
  <c r="P406" i="20"/>
  <c r="P1102" i="20"/>
  <c r="P1554" i="20"/>
  <c r="P1357" i="20"/>
  <c r="P838" i="20"/>
  <c r="P1027" i="20"/>
  <c r="P294" i="20"/>
  <c r="P1042" i="20"/>
  <c r="P877" i="20"/>
  <c r="P367" i="20"/>
  <c r="P1016" i="20"/>
  <c r="P1447" i="20"/>
  <c r="P270" i="20"/>
  <c r="P97" i="20"/>
  <c r="P1568" i="20"/>
  <c r="P404" i="20"/>
  <c r="P1282" i="20"/>
  <c r="P150" i="20"/>
  <c r="N1260" i="20"/>
  <c r="N1251" i="20" s="1"/>
  <c r="E1260" i="20"/>
  <c r="E1251" i="20" s="1"/>
  <c r="O1260" i="20"/>
  <c r="O1251" i="20" s="1"/>
  <c r="K585" i="20"/>
  <c r="K576" i="20" s="1"/>
  <c r="V37" i="27"/>
  <c r="P686" i="20"/>
  <c r="P556" i="20"/>
  <c r="P390" i="20"/>
  <c r="P1197" i="20"/>
  <c r="P674" i="20"/>
  <c r="P735" i="20"/>
  <c r="P1591" i="20"/>
  <c r="P1522" i="20"/>
  <c r="P894" i="20"/>
  <c r="P871" i="20"/>
  <c r="P866" i="20"/>
  <c r="P668" i="20"/>
  <c r="P1483" i="20"/>
  <c r="P58" i="20"/>
  <c r="Q58" i="20" s="1"/>
  <c r="P1239" i="20"/>
  <c r="P608" i="20"/>
  <c r="N156" i="20"/>
  <c r="G870" i="20"/>
  <c r="G60" i="20"/>
  <c r="K840" i="20"/>
  <c r="K831" i="20" s="1"/>
  <c r="I885" i="20"/>
  <c r="I876" i="20" s="1"/>
  <c r="H1041" i="20"/>
  <c r="N840" i="20"/>
  <c r="N831" i="20" s="1"/>
  <c r="H600" i="20"/>
  <c r="H591" i="20" s="1"/>
  <c r="O840" i="20"/>
  <c r="O831" i="20" s="1"/>
  <c r="H885" i="20"/>
  <c r="P765" i="20"/>
  <c r="H1260" i="20"/>
  <c r="H1251" i="20" s="1"/>
  <c r="E840" i="20"/>
  <c r="E831" i="20" s="1"/>
  <c r="J600" i="20"/>
  <c r="K600" i="20"/>
  <c r="J1260" i="20"/>
  <c r="G885" i="20"/>
  <c r="P998" i="20"/>
  <c r="P624" i="20"/>
  <c r="F1260" i="20"/>
  <c r="K1260" i="20"/>
  <c r="K1251" i="20" s="1"/>
  <c r="I1485" i="20"/>
  <c r="I1476" i="20" s="1"/>
  <c r="D840" i="20"/>
  <c r="L600" i="20"/>
  <c r="M600" i="20"/>
  <c r="N1485" i="20"/>
  <c r="N1476" i="20" s="1"/>
  <c r="E885" i="20"/>
  <c r="E876" i="20" s="1"/>
  <c r="K1356" i="20"/>
  <c r="L840" i="20"/>
  <c r="L831" i="20" s="1"/>
  <c r="L1260" i="20"/>
  <c r="L1251" i="20" s="1"/>
  <c r="L690" i="20"/>
  <c r="L681" i="20" s="1"/>
  <c r="M1260" i="20"/>
  <c r="M1251" i="20" s="1"/>
  <c r="E1026" i="20"/>
  <c r="N87" i="27"/>
  <c r="P45" i="27"/>
  <c r="P47" i="27"/>
  <c r="F1020" i="20"/>
  <c r="P32" i="27"/>
  <c r="P1571" i="20"/>
  <c r="P1230" i="20"/>
  <c r="P1200" i="20"/>
  <c r="P953" i="20"/>
  <c r="P609" i="20"/>
  <c r="P210" i="20"/>
  <c r="P427" i="20"/>
  <c r="M1140" i="20"/>
  <c r="M1131" i="20" s="1"/>
  <c r="P15" i="27"/>
  <c r="N1380" i="20"/>
  <c r="N1371" i="20" s="1"/>
  <c r="P1335" i="20"/>
  <c r="P612" i="20"/>
  <c r="P896" i="20"/>
  <c r="P1138" i="20"/>
  <c r="P945" i="20"/>
  <c r="P1634" i="20"/>
  <c r="P1486" i="20"/>
  <c r="P1035" i="20"/>
  <c r="P285" i="20"/>
  <c r="P459" i="20"/>
  <c r="P954" i="20"/>
  <c r="P1576" i="20"/>
  <c r="P1253" i="20"/>
  <c r="P869" i="20"/>
  <c r="P42" i="27"/>
  <c r="P1006" i="20"/>
  <c r="P684" i="20"/>
  <c r="P481" i="20"/>
  <c r="P1133" i="20"/>
  <c r="P1154" i="20"/>
  <c r="P593" i="20"/>
  <c r="J1020" i="20"/>
  <c r="J1011" i="20" s="1"/>
  <c r="P57" i="27"/>
  <c r="P1646" i="20"/>
  <c r="P35" i="27"/>
  <c r="N96" i="20"/>
  <c r="H1020" i="20"/>
  <c r="H1011" i="20" s="1"/>
  <c r="L1446" i="20"/>
  <c r="P63" i="27"/>
  <c r="P1616" i="20"/>
  <c r="P54" i="20"/>
  <c r="Q54" i="20" s="1"/>
  <c r="P80" i="27"/>
  <c r="H825" i="20"/>
  <c r="M1380" i="20"/>
  <c r="M1371" i="20" s="1"/>
  <c r="P95" i="27"/>
  <c r="F366" i="20"/>
  <c r="P101" i="27"/>
  <c r="P72" i="27"/>
  <c r="M1020" i="20"/>
  <c r="M480" i="20"/>
  <c r="G1260" i="20"/>
  <c r="P56" i="27"/>
  <c r="P104" i="27"/>
  <c r="L1410" i="20"/>
  <c r="E1560" i="20"/>
  <c r="E1551" i="20" s="1"/>
  <c r="N75" i="20"/>
  <c r="N66" i="20" s="1"/>
  <c r="N51" i="27"/>
  <c r="D59" i="27"/>
  <c r="P211" i="20"/>
  <c r="O1410" i="20"/>
  <c r="H420" i="20"/>
  <c r="H411" i="20" s="1"/>
  <c r="N420" i="20"/>
  <c r="N411" i="20" s="1"/>
  <c r="N585" i="20"/>
  <c r="N576" i="20" s="1"/>
  <c r="J1410" i="20"/>
  <c r="J1401" i="20" s="1"/>
  <c r="N1446" i="20"/>
  <c r="O585" i="20"/>
  <c r="O576" i="20" s="1"/>
  <c r="M1410" i="20"/>
  <c r="D585" i="20"/>
  <c r="D576" i="20" s="1"/>
  <c r="D60" i="20"/>
  <c r="D51" i="20" s="1"/>
  <c r="G660" i="20"/>
  <c r="G651" i="20" s="1"/>
  <c r="N47" i="27"/>
  <c r="F351" i="20"/>
  <c r="R66" i="27"/>
  <c r="D1410" i="20"/>
  <c r="E585" i="20"/>
  <c r="E60" i="20"/>
  <c r="N84" i="27"/>
  <c r="K60" i="20"/>
  <c r="H585" i="20"/>
  <c r="I585" i="20"/>
  <c r="I576" i="20" s="1"/>
  <c r="N60" i="20"/>
  <c r="N56" i="27"/>
  <c r="F900" i="20"/>
  <c r="F891" i="20" s="1"/>
  <c r="J585" i="20"/>
  <c r="O60" i="20"/>
  <c r="O51" i="20" s="1"/>
  <c r="P1005" i="20"/>
  <c r="P1014" i="20"/>
  <c r="P56" i="20"/>
  <c r="Q56" i="20" s="1"/>
  <c r="P1151" i="20"/>
  <c r="P990" i="20"/>
  <c r="P1569" i="20"/>
  <c r="P1588" i="20"/>
  <c r="P53" i="20"/>
  <c r="Q53" i="20" s="1"/>
  <c r="P720" i="20"/>
  <c r="P1156" i="20"/>
  <c r="P464" i="20"/>
  <c r="P493" i="20"/>
  <c r="P1080" i="20"/>
  <c r="P1695" i="20"/>
  <c r="P195" i="20"/>
  <c r="P626" i="20"/>
  <c r="P403" i="20"/>
  <c r="P1254" i="20"/>
  <c r="P352" i="20"/>
  <c r="P1537" i="20"/>
  <c r="P76" i="20"/>
  <c r="P1542" i="20"/>
  <c r="P296" i="20"/>
  <c r="P1558" i="20"/>
  <c r="J1320" i="20"/>
  <c r="J1311" i="20" s="1"/>
  <c r="P1243" i="20"/>
  <c r="D420" i="20"/>
  <c r="D411" i="20" s="1"/>
  <c r="O1560" i="20"/>
  <c r="O1551" i="20" s="1"/>
  <c r="L60" i="20"/>
  <c r="L51" i="20" s="1"/>
  <c r="E660" i="20"/>
  <c r="E651" i="20" s="1"/>
  <c r="H1380" i="20"/>
  <c r="H1371" i="20" s="1"/>
  <c r="G276" i="20"/>
  <c r="N88" i="27"/>
  <c r="I1320" i="20"/>
  <c r="I1311" i="20" s="1"/>
  <c r="K1380" i="20"/>
  <c r="K1371" i="20" s="1"/>
  <c r="N37" i="27"/>
  <c r="H1560" i="20"/>
  <c r="I75" i="20"/>
  <c r="M60" i="20"/>
  <c r="F660" i="20"/>
  <c r="P1441" i="20"/>
  <c r="P631" i="20"/>
  <c r="P1259" i="20"/>
  <c r="P1393" i="20"/>
  <c r="P911" i="20"/>
  <c r="I60" i="20"/>
  <c r="I51" i="20" s="1"/>
  <c r="I1560" i="20"/>
  <c r="I1551" i="20" s="1"/>
  <c r="N79" i="27"/>
  <c r="P1275" i="20"/>
  <c r="P552" i="20"/>
  <c r="J75" i="20"/>
  <c r="F1560" i="20"/>
  <c r="F1551" i="20" s="1"/>
  <c r="O75" i="20"/>
  <c r="O66" i="20" s="1"/>
  <c r="M660" i="20"/>
  <c r="O885" i="20"/>
  <c r="O876" i="20" s="1"/>
  <c r="P1342" i="20"/>
  <c r="H75" i="20"/>
  <c r="H66" i="20" s="1"/>
  <c r="H660" i="20"/>
  <c r="H651" i="20" s="1"/>
  <c r="N885" i="20"/>
  <c r="J1560" i="20"/>
  <c r="H465" i="20"/>
  <c r="G1560" i="20"/>
  <c r="K75" i="20"/>
  <c r="K66" i="20" s="1"/>
  <c r="P1379" i="20"/>
  <c r="P1531" i="20"/>
  <c r="P1498" i="20"/>
  <c r="P1048" i="20"/>
  <c r="P915" i="20"/>
  <c r="P967" i="20"/>
  <c r="P398" i="20"/>
  <c r="P864" i="20"/>
  <c r="L1560" i="20"/>
  <c r="L1551" i="20" s="1"/>
  <c r="N1560" i="20"/>
  <c r="H1410" i="20"/>
  <c r="H1401" i="20" s="1"/>
  <c r="L75" i="20"/>
  <c r="L66" i="20" s="1"/>
  <c r="I420" i="20"/>
  <c r="I411" i="20" s="1"/>
  <c r="M885" i="20"/>
  <c r="M876" i="20" s="1"/>
  <c r="F17" i="27"/>
  <c r="N17" i="27"/>
  <c r="P189" i="20"/>
  <c r="E630" i="20"/>
  <c r="E621" i="20" s="1"/>
  <c r="K1140" i="20"/>
  <c r="K1131" i="20" s="1"/>
  <c r="N1140" i="20"/>
  <c r="L1140" i="20"/>
  <c r="V76" i="27"/>
  <c r="V56" i="27"/>
  <c r="G1110" i="20"/>
  <c r="G1101" i="20" s="1"/>
  <c r="V16" i="27"/>
  <c r="M630" i="20"/>
  <c r="V108" i="27"/>
  <c r="L1110" i="20"/>
  <c r="L1101" i="20" s="1"/>
  <c r="L630" i="20"/>
  <c r="N630" i="20"/>
  <c r="N621" i="20" s="1"/>
  <c r="V50" i="27"/>
  <c r="F465" i="20"/>
  <c r="O630" i="20"/>
  <c r="G465" i="20"/>
  <c r="G456" i="20" s="1"/>
  <c r="I1020" i="20"/>
  <c r="I1011" i="20" s="1"/>
  <c r="P1087" i="20"/>
  <c r="D630" i="20"/>
  <c r="D621" i="20" s="1"/>
  <c r="O1110" i="20"/>
  <c r="O1101" i="20" s="1"/>
  <c r="I465" i="20"/>
  <c r="K1155" i="20"/>
  <c r="K1146" i="20" s="1"/>
  <c r="F630" i="20"/>
  <c r="E1110" i="20"/>
  <c r="E1101" i="20" s="1"/>
  <c r="G630" i="20"/>
  <c r="G621" i="20" s="1"/>
  <c r="P1724" i="20"/>
  <c r="P551" i="20"/>
  <c r="P1065" i="20"/>
  <c r="P1365" i="20"/>
  <c r="P957" i="20"/>
  <c r="P1642" i="20"/>
  <c r="V21" i="27"/>
  <c r="N1020" i="20"/>
  <c r="N1155" i="20"/>
  <c r="N1146" i="20" s="1"/>
  <c r="E1020" i="20"/>
  <c r="O1155" i="20"/>
  <c r="O1146" i="20" s="1"/>
  <c r="P172" i="20"/>
  <c r="H630" i="20"/>
  <c r="H621" i="20" s="1"/>
  <c r="V42" i="27"/>
  <c r="P1546" i="20"/>
  <c r="P578" i="20"/>
  <c r="P928" i="20"/>
  <c r="P255" i="20"/>
  <c r="P1543" i="20"/>
  <c r="P1601" i="20"/>
  <c r="P833" i="20"/>
  <c r="P1411" i="20"/>
  <c r="P899" i="20"/>
  <c r="P1556" i="20"/>
  <c r="P1396" i="20"/>
  <c r="P897" i="20"/>
  <c r="P1455" i="20"/>
  <c r="P462" i="20"/>
  <c r="P1513" i="20"/>
  <c r="P1148" i="20"/>
  <c r="P893" i="20"/>
  <c r="J465" i="20"/>
  <c r="J456" i="20" s="1"/>
  <c r="E1155" i="20"/>
  <c r="E1146" i="20" s="1"/>
  <c r="K1110" i="20"/>
  <c r="I1110" i="20"/>
  <c r="I1101" i="20" s="1"/>
  <c r="P114" i="20"/>
  <c r="P616" i="20"/>
  <c r="P74" i="20"/>
  <c r="P1710" i="20"/>
  <c r="G1020" i="20"/>
  <c r="G1011" i="20" s="1"/>
  <c r="I1155" i="20"/>
  <c r="H108" i="27"/>
  <c r="V63" i="27"/>
  <c r="P743" i="20"/>
  <c r="P913" i="20"/>
  <c r="P1492" i="20"/>
  <c r="P1199" i="20"/>
  <c r="P956" i="20"/>
  <c r="P1136" i="20"/>
  <c r="P1238" i="20"/>
  <c r="P496" i="20"/>
  <c r="P742" i="20"/>
  <c r="P477" i="20"/>
  <c r="V40" i="27"/>
  <c r="O1536" i="20"/>
  <c r="V54" i="27"/>
  <c r="N1110" i="20"/>
  <c r="N1101" i="20" s="1"/>
  <c r="V103" i="27"/>
  <c r="L1020" i="20"/>
  <c r="L1011" i="20" s="1"/>
  <c r="F840" i="20"/>
  <c r="F831" i="20" s="1"/>
  <c r="R105" i="27"/>
  <c r="V45" i="27"/>
  <c r="E1140" i="20"/>
  <c r="E1131" i="20" s="1"/>
  <c r="H840" i="20"/>
  <c r="H831" i="20" s="1"/>
  <c r="R110" i="27"/>
  <c r="R104" i="27"/>
  <c r="V77" i="27"/>
  <c r="K1020" i="20"/>
  <c r="K1011" i="20" s="1"/>
  <c r="V91" i="27"/>
  <c r="V88" i="27"/>
  <c r="L1155" i="20"/>
  <c r="L1146" i="20" s="1"/>
  <c r="F1140" i="20"/>
  <c r="D1341" i="20"/>
  <c r="H1140" i="20"/>
  <c r="I825" i="20"/>
  <c r="O1380" i="20"/>
  <c r="V32" i="27"/>
  <c r="R58" i="27"/>
  <c r="V29" i="27"/>
  <c r="R96" i="27"/>
  <c r="J1110" i="20"/>
  <c r="J1101" i="20" s="1"/>
  <c r="P1421" i="20"/>
  <c r="I1140" i="20"/>
  <c r="D1110" i="20"/>
  <c r="J1140" i="20"/>
  <c r="J1131" i="20" s="1"/>
  <c r="H480" i="20"/>
  <c r="L113" i="27"/>
  <c r="R54" i="27"/>
  <c r="V24" i="27"/>
  <c r="H1110" i="20"/>
  <c r="H1101" i="20" s="1"/>
  <c r="P702" i="20"/>
  <c r="P1002" i="20"/>
  <c r="P435" i="20"/>
  <c r="J1440" i="20"/>
  <c r="J1431" i="20" s="1"/>
  <c r="R95" i="27"/>
  <c r="R32" i="27"/>
  <c r="P923" i="20"/>
  <c r="L31" i="27"/>
  <c r="M825" i="20"/>
  <c r="F1320" i="20"/>
  <c r="V46" i="27"/>
  <c r="N63" i="27"/>
  <c r="R90" i="27"/>
  <c r="N22" i="27"/>
  <c r="P105" i="27"/>
  <c r="N55" i="27"/>
  <c r="P1497" i="20"/>
  <c r="D615" i="20"/>
  <c r="D606" i="20" s="1"/>
  <c r="V64" i="27"/>
  <c r="P100" i="27"/>
  <c r="V28" i="27"/>
  <c r="E615" i="20"/>
  <c r="E606" i="20" s="1"/>
  <c r="F615" i="20"/>
  <c r="F606" i="20" s="1"/>
  <c r="L825" i="20"/>
  <c r="L816" i="20" s="1"/>
  <c r="P39" i="27"/>
  <c r="G615" i="20"/>
  <c r="G606" i="20" s="1"/>
  <c r="O420" i="20"/>
  <c r="V25" i="27"/>
  <c r="N57" i="27"/>
  <c r="P24" i="27"/>
  <c r="N77" i="27"/>
  <c r="V104" i="27"/>
  <c r="E825" i="20"/>
  <c r="N19" i="27"/>
  <c r="H615" i="20"/>
  <c r="H606" i="20" s="1"/>
  <c r="I630" i="20"/>
  <c r="E420" i="20"/>
  <c r="E411" i="20" s="1"/>
  <c r="N90" i="27"/>
  <c r="P87" i="27"/>
  <c r="P1719" i="20"/>
  <c r="P1545" i="20"/>
  <c r="P757" i="20"/>
  <c r="P791" i="20"/>
  <c r="P1109" i="20"/>
  <c r="P744" i="20"/>
  <c r="P266" i="20"/>
  <c r="P1482" i="20"/>
  <c r="P1215" i="20"/>
  <c r="P402" i="20"/>
  <c r="P1478" i="20"/>
  <c r="P986" i="20"/>
  <c r="P623" i="20"/>
  <c r="P1665" i="20"/>
  <c r="P450" i="20"/>
  <c r="P1244" i="20"/>
  <c r="P254" i="20"/>
  <c r="P90" i="20"/>
  <c r="P71" i="20"/>
  <c r="P461" i="20"/>
  <c r="P579" i="20"/>
  <c r="P476" i="20"/>
  <c r="P1134" i="20"/>
  <c r="I615" i="20"/>
  <c r="I606" i="20" s="1"/>
  <c r="J615" i="20"/>
  <c r="J630" i="20"/>
  <c r="K825" i="20"/>
  <c r="K816" i="20" s="1"/>
  <c r="H1356" i="20"/>
  <c r="N64" i="27"/>
  <c r="L41" i="27"/>
  <c r="N29" i="27"/>
  <c r="P28" i="27"/>
  <c r="P128" i="20"/>
  <c r="P601" i="20"/>
  <c r="P1424" i="20"/>
  <c r="P446" i="20"/>
  <c r="P698" i="20"/>
  <c r="P822" i="20"/>
  <c r="P611" i="20"/>
  <c r="P494" i="20"/>
  <c r="P240" i="20"/>
  <c r="P61" i="20"/>
  <c r="Q61" i="20" s="1"/>
  <c r="P1515" i="20"/>
  <c r="P1391" i="20"/>
  <c r="P1541" i="20"/>
  <c r="P837" i="20"/>
  <c r="P1312" i="20"/>
  <c r="P399" i="20"/>
  <c r="P549" i="20"/>
  <c r="P1093" i="20"/>
  <c r="P1587" i="20"/>
  <c r="P277" i="20"/>
  <c r="P961" i="20"/>
  <c r="P787" i="20"/>
  <c r="P1408" i="20"/>
  <c r="P473" i="20"/>
  <c r="P1589" i="20"/>
  <c r="P57" i="20"/>
  <c r="Q57" i="20" s="1"/>
  <c r="P1394" i="20"/>
  <c r="P1389" i="20"/>
  <c r="P1125" i="20"/>
  <c r="K615" i="20"/>
  <c r="K606" i="20" s="1"/>
  <c r="F855" i="20"/>
  <c r="F846" i="20" s="1"/>
  <c r="V82" i="27"/>
  <c r="N102" i="27"/>
  <c r="R77" i="27"/>
  <c r="V74" i="27"/>
  <c r="P115" i="27"/>
  <c r="P11" i="27"/>
  <c r="P89" i="27"/>
  <c r="N67" i="27"/>
  <c r="N91" i="27"/>
  <c r="P1454" i="20"/>
  <c r="P1153" i="20"/>
  <c r="P1436" i="20"/>
  <c r="P73" i="20"/>
  <c r="P1095" i="20"/>
  <c r="P1088" i="20"/>
  <c r="P959" i="20"/>
  <c r="P699" i="20"/>
  <c r="P105" i="20"/>
  <c r="P345" i="20"/>
  <c r="P1425" i="20"/>
  <c r="P691" i="20"/>
  <c r="P599" i="20"/>
  <c r="P307" i="20"/>
  <c r="P613" i="20"/>
  <c r="P1481" i="20"/>
  <c r="P1392" i="20"/>
  <c r="P315" i="20"/>
  <c r="G690" i="20"/>
  <c r="M1440" i="20"/>
  <c r="K690" i="20"/>
  <c r="L465" i="20"/>
  <c r="H24" i="27"/>
  <c r="P293" i="20"/>
  <c r="P656" i="20"/>
  <c r="P879" i="20"/>
  <c r="P1149" i="20"/>
  <c r="P1141" i="20"/>
  <c r="P117" i="20"/>
  <c r="N465" i="20"/>
  <c r="N456" i="20" s="1"/>
  <c r="P586" i="20"/>
  <c r="P764" i="20"/>
  <c r="P597" i="20"/>
  <c r="P69" i="20"/>
  <c r="P1229" i="20"/>
  <c r="P463" i="20"/>
  <c r="P598" i="20"/>
  <c r="P135" i="20"/>
  <c r="P298" i="20"/>
  <c r="K465" i="20"/>
  <c r="O465" i="20"/>
  <c r="H76" i="27"/>
  <c r="P1628" i="20"/>
  <c r="P180" i="20"/>
  <c r="P1378" i="20"/>
  <c r="P759" i="20"/>
  <c r="P1013" i="20"/>
  <c r="P1573" i="20"/>
  <c r="D1245" i="20"/>
  <c r="I1245" i="20"/>
  <c r="K1245" i="20"/>
  <c r="F76" i="27"/>
  <c r="L55" i="27"/>
  <c r="P323" i="20"/>
  <c r="P5" i="27"/>
  <c r="O1245" i="20"/>
  <c r="O1236" i="20" s="1"/>
  <c r="M1245" i="20"/>
  <c r="M1236" i="20" s="1"/>
  <c r="L105" i="27"/>
  <c r="R107" i="27"/>
  <c r="P99" i="27"/>
  <c r="N69" i="27"/>
  <c r="H22" i="27"/>
  <c r="N83" i="27"/>
  <c r="P107" i="27"/>
  <c r="N60" i="27"/>
  <c r="R91" i="27"/>
  <c r="P1707" i="20"/>
  <c r="P987" i="20"/>
  <c r="L86" i="27"/>
  <c r="I660" i="20"/>
  <c r="I651" i="20" s="1"/>
  <c r="L885" i="20"/>
  <c r="L876" i="20" s="1"/>
  <c r="P69" i="27"/>
  <c r="P41" i="27"/>
  <c r="P40" i="27"/>
  <c r="P6" i="27"/>
  <c r="P1706" i="20"/>
  <c r="N1245" i="20"/>
  <c r="H47" i="27"/>
  <c r="R19" i="27"/>
  <c r="R25" i="27"/>
  <c r="P7" i="27"/>
  <c r="N5" i="27"/>
  <c r="P111" i="27"/>
  <c r="P102" i="27"/>
  <c r="L1245" i="20"/>
  <c r="L1236" i="20" s="1"/>
  <c r="D465" i="20"/>
  <c r="D456" i="20" s="1"/>
  <c r="E690" i="20"/>
  <c r="F825" i="20"/>
  <c r="F816" i="20" s="1"/>
  <c r="N53" i="27"/>
  <c r="P20" i="27"/>
  <c r="L156" i="20"/>
  <c r="N104" i="27"/>
  <c r="L37" i="27"/>
  <c r="L94" i="27"/>
  <c r="K480" i="20"/>
  <c r="K471" i="20" s="1"/>
  <c r="F12" i="27"/>
  <c r="D14" i="27"/>
  <c r="D71" i="27"/>
  <c r="F22" i="27"/>
  <c r="N68" i="27"/>
  <c r="F16" i="27"/>
  <c r="D65" i="27"/>
  <c r="L39" i="27"/>
  <c r="F27" i="27"/>
  <c r="D11" i="27"/>
  <c r="D86" i="27"/>
  <c r="P374" i="20"/>
  <c r="L27" i="27"/>
  <c r="P1209" i="20"/>
  <c r="L420" i="20"/>
  <c r="L411" i="20" s="1"/>
  <c r="F105" i="27"/>
  <c r="F90" i="27"/>
  <c r="F62" i="27"/>
  <c r="F74" i="27"/>
  <c r="L45" i="27"/>
  <c r="L30" i="27"/>
  <c r="P596" i="20"/>
  <c r="L44" i="27"/>
  <c r="F53" i="27"/>
  <c r="L74" i="27"/>
  <c r="D24" i="27"/>
  <c r="N100" i="27"/>
  <c r="P72" i="20"/>
  <c r="P853" i="20"/>
  <c r="P354" i="20"/>
  <c r="P1584" i="20"/>
  <c r="D90" i="27"/>
  <c r="P1586" i="20"/>
  <c r="P594" i="20"/>
  <c r="P1574" i="20"/>
  <c r="P1018" i="20"/>
  <c r="P793" i="20"/>
  <c r="G420" i="20"/>
  <c r="G411" i="20" s="1"/>
  <c r="M420" i="20"/>
  <c r="M411" i="20" s="1"/>
  <c r="I1380" i="20"/>
  <c r="G1320" i="20"/>
  <c r="G1311" i="20" s="1"/>
  <c r="D21" i="27"/>
  <c r="L60" i="27"/>
  <c r="P64" i="27"/>
  <c r="P358" i="20"/>
  <c r="P1314" i="20"/>
  <c r="D29" i="27"/>
  <c r="F79" i="27"/>
  <c r="L20" i="27"/>
  <c r="F114" i="27"/>
  <c r="D50" i="27"/>
  <c r="D51" i="27"/>
  <c r="D70" i="27"/>
  <c r="L57" i="27"/>
  <c r="F39" i="27"/>
  <c r="D98" i="27"/>
  <c r="F80" i="27"/>
  <c r="F9" i="27"/>
  <c r="D53" i="27"/>
  <c r="P448" i="20"/>
  <c r="F1380" i="20"/>
  <c r="F1371" i="20" s="1"/>
  <c r="E1440" i="20"/>
  <c r="E1431" i="20" s="1"/>
  <c r="H1320" i="20"/>
  <c r="H1311" i="20" s="1"/>
  <c r="D91" i="27"/>
  <c r="D103" i="27"/>
  <c r="N46" i="27"/>
  <c r="N105" i="27"/>
  <c r="L80" i="27"/>
  <c r="F420" i="20"/>
  <c r="F411" i="20" s="1"/>
  <c r="E1320" i="20"/>
  <c r="L63" i="27"/>
  <c r="N35" i="27"/>
  <c r="P93" i="27"/>
  <c r="L35" i="27"/>
  <c r="P76" i="27"/>
  <c r="P53" i="27"/>
  <c r="P26" i="27"/>
  <c r="J420" i="20"/>
  <c r="J411" i="20" s="1"/>
  <c r="N1440" i="20"/>
  <c r="N1431" i="20" s="1"/>
  <c r="F41" i="27"/>
  <c r="F19" i="27"/>
  <c r="L68" i="27"/>
  <c r="N34" i="27"/>
  <c r="N32" i="27"/>
  <c r="P94" i="27"/>
  <c r="P14" i="27"/>
  <c r="N480" i="20"/>
  <c r="E480" i="20"/>
  <c r="E471" i="20" s="1"/>
  <c r="N1320" i="20"/>
  <c r="N45" i="27"/>
  <c r="V6" i="27"/>
  <c r="P83" i="27"/>
  <c r="P50" i="27"/>
  <c r="L73" i="27"/>
  <c r="N41" i="27"/>
  <c r="N31" i="27"/>
  <c r="N96" i="27"/>
  <c r="P451" i="20"/>
  <c r="K1320" i="20"/>
  <c r="K1311" i="20" s="1"/>
  <c r="G480" i="20"/>
  <c r="G471" i="20" s="1"/>
  <c r="F23" i="27"/>
  <c r="L84" i="27"/>
  <c r="P18" i="27"/>
  <c r="N103" i="27"/>
  <c r="P33" i="27"/>
  <c r="D100" i="27"/>
  <c r="P61" i="27"/>
  <c r="D74" i="27"/>
  <c r="P106" i="27"/>
  <c r="V18" i="27"/>
  <c r="P1377" i="20"/>
  <c r="V67" i="27"/>
  <c r="V57" i="27"/>
  <c r="P432" i="20"/>
  <c r="R113" i="27"/>
  <c r="R5" i="27"/>
  <c r="R17" i="27"/>
  <c r="P177" i="20"/>
  <c r="V96" i="27"/>
  <c r="P375" i="20"/>
  <c r="H94" i="27"/>
  <c r="P1334" i="20"/>
  <c r="P718" i="20"/>
  <c r="M840" i="20"/>
  <c r="M831" i="20" s="1"/>
  <c r="R40" i="27"/>
  <c r="L18" i="27"/>
  <c r="V20" i="27"/>
  <c r="L5" i="27"/>
  <c r="P1003" i="20"/>
  <c r="P222" i="20"/>
  <c r="P1619" i="20"/>
  <c r="P1509" i="20"/>
  <c r="P1708" i="20"/>
  <c r="P758" i="20"/>
  <c r="R99" i="27"/>
  <c r="V105" i="27"/>
  <c r="V79" i="27"/>
  <c r="H31" i="27"/>
  <c r="M465" i="20"/>
  <c r="M690" i="20"/>
  <c r="M681" i="20" s="1"/>
  <c r="G840" i="20"/>
  <c r="F1440" i="20"/>
  <c r="V94" i="27"/>
  <c r="L83" i="27"/>
  <c r="V33" i="27"/>
  <c r="F31" i="27"/>
  <c r="L9" i="27"/>
  <c r="V113" i="27"/>
  <c r="L42" i="27"/>
  <c r="V9" i="27"/>
  <c r="V83" i="27"/>
  <c r="L66" i="27"/>
  <c r="F100" i="27"/>
  <c r="L46" i="27"/>
  <c r="V4" i="27"/>
  <c r="F690" i="20"/>
  <c r="R92" i="27"/>
  <c r="H58" i="27"/>
  <c r="R65" i="27"/>
  <c r="V23" i="27"/>
  <c r="R27" i="27"/>
  <c r="R56" i="27"/>
  <c r="F25" i="27"/>
  <c r="V73" i="27"/>
  <c r="P1644" i="20"/>
  <c r="D690" i="20"/>
  <c r="J840" i="20"/>
  <c r="J831" i="20" s="1"/>
  <c r="O1020" i="20"/>
  <c r="O1011" i="20" s="1"/>
  <c r="H690" i="20"/>
  <c r="O1440" i="20"/>
  <c r="O1431" i="20" s="1"/>
  <c r="P1648" i="20"/>
  <c r="L56" i="27"/>
  <c r="V22" i="27"/>
  <c r="V102" i="27"/>
  <c r="V58" i="27"/>
  <c r="H20" i="27"/>
  <c r="I690" i="20"/>
  <c r="I681" i="20" s="1"/>
  <c r="M900" i="20"/>
  <c r="M891" i="20" s="1"/>
  <c r="L645" i="20"/>
  <c r="L636" i="20" s="1"/>
  <c r="F5" i="27"/>
  <c r="H96" i="27"/>
  <c r="H105" i="27"/>
  <c r="F44" i="27"/>
  <c r="V68" i="27"/>
  <c r="V93" i="27"/>
  <c r="P166" i="20"/>
  <c r="O900" i="20"/>
  <c r="V90" i="27"/>
  <c r="R67" i="27"/>
  <c r="R83" i="27"/>
  <c r="V99" i="27"/>
  <c r="H870" i="20"/>
  <c r="H861" i="20" s="1"/>
  <c r="V115" i="27"/>
  <c r="P204" i="20"/>
  <c r="P344" i="20"/>
  <c r="N99" i="27"/>
  <c r="F84" i="27"/>
  <c r="F104" i="27"/>
  <c r="P1374" i="20"/>
  <c r="P1329" i="20"/>
  <c r="N44" i="27"/>
  <c r="P1676" i="20"/>
  <c r="L870" i="20"/>
  <c r="L861" i="20" s="1"/>
  <c r="M870" i="20"/>
  <c r="P644" i="20"/>
  <c r="N870" i="20"/>
  <c r="N861" i="20" s="1"/>
  <c r="P121" i="20"/>
  <c r="F15" i="27"/>
  <c r="N27" i="27"/>
  <c r="N101" i="27"/>
  <c r="P507" i="20"/>
  <c r="N76" i="27"/>
  <c r="N58" i="27"/>
  <c r="L53" i="27"/>
  <c r="V31" i="27"/>
  <c r="V15" i="27"/>
  <c r="P108" i="27"/>
  <c r="P1283" i="20"/>
  <c r="F59" i="27"/>
  <c r="N94" i="27"/>
  <c r="F106" i="27"/>
  <c r="N107" i="27"/>
  <c r="N20" i="27"/>
  <c r="N14" i="27"/>
  <c r="V30" i="27"/>
  <c r="P803" i="20"/>
  <c r="P27" i="27"/>
  <c r="P1663" i="20"/>
  <c r="N114" i="27"/>
  <c r="V111" i="27"/>
  <c r="V47" i="27"/>
  <c r="P37" i="27"/>
  <c r="N12" i="27"/>
  <c r="N30" i="27"/>
  <c r="V26" i="27"/>
  <c r="P54" i="27"/>
  <c r="P90" i="27"/>
  <c r="I480" i="20"/>
  <c r="L675" i="20"/>
  <c r="L666" i="20" s="1"/>
  <c r="O870" i="20"/>
  <c r="O861" i="20" s="1"/>
  <c r="N28" i="27"/>
  <c r="V65" i="27"/>
  <c r="V69" i="27"/>
  <c r="V59" i="27"/>
  <c r="N111" i="27"/>
  <c r="V12" i="27"/>
  <c r="J480" i="20"/>
  <c r="J471" i="20" s="1"/>
  <c r="D870" i="20"/>
  <c r="D861" i="20" s="1"/>
  <c r="V84" i="27"/>
  <c r="V41" i="27"/>
  <c r="P1439" i="20"/>
  <c r="I1701" i="20"/>
  <c r="F1191" i="20"/>
  <c r="P508" i="20"/>
  <c r="P1643" i="20"/>
  <c r="J381" i="20"/>
  <c r="P252" i="20"/>
  <c r="P1723" i="20"/>
  <c r="P1119" i="20"/>
  <c r="G1410" i="20"/>
  <c r="F1155" i="20"/>
  <c r="J1245" i="20"/>
  <c r="D1575" i="20"/>
  <c r="D1566" i="20" s="1"/>
  <c r="J975" i="20"/>
  <c r="J966" i="20" s="1"/>
  <c r="O381" i="20"/>
  <c r="P1451" i="20"/>
  <c r="C1566" i="20"/>
  <c r="G1155" i="20"/>
  <c r="G1146" i="20" s="1"/>
  <c r="G1485" i="20"/>
  <c r="K1575" i="20"/>
  <c r="K1566" i="20" s="1"/>
  <c r="P1328" i="20"/>
  <c r="J1155" i="20"/>
  <c r="J1146" i="20" s="1"/>
  <c r="K1485" i="20"/>
  <c r="K1476" i="20" s="1"/>
  <c r="J1575" i="20"/>
  <c r="J1566" i="20" s="1"/>
  <c r="J1341" i="20"/>
  <c r="E936" i="20"/>
  <c r="M336" i="20"/>
  <c r="L1575" i="20"/>
  <c r="L1566" i="20" s="1"/>
  <c r="D696" i="20"/>
  <c r="M1155" i="20"/>
  <c r="E1245" i="20"/>
  <c r="O1485" i="20"/>
  <c r="N1575" i="20"/>
  <c r="K1026" i="20"/>
  <c r="F1521" i="20"/>
  <c r="G1326" i="20"/>
  <c r="N906" i="20"/>
  <c r="F1245" i="20"/>
  <c r="E1485" i="20"/>
  <c r="E1575" i="20"/>
  <c r="E1566" i="20" s="1"/>
  <c r="D1446" i="20"/>
  <c r="P419" i="20"/>
  <c r="P84" i="20"/>
  <c r="H1575" i="20"/>
  <c r="H1566" i="20" s="1"/>
  <c r="F1485" i="20"/>
  <c r="F1476" i="20" s="1"/>
  <c r="F26" i="27"/>
  <c r="F11" i="27"/>
  <c r="L1521" i="20"/>
  <c r="V27" i="27"/>
  <c r="P79" i="27"/>
  <c r="V72" i="27"/>
  <c r="G1245" i="20"/>
  <c r="G1236" i="20" s="1"/>
  <c r="H1485" i="20"/>
  <c r="F1575" i="20"/>
  <c r="F1566" i="20" s="1"/>
  <c r="D1056" i="20"/>
  <c r="P1603" i="20"/>
  <c r="P66" i="27"/>
  <c r="P73" i="27"/>
  <c r="L1485" i="20"/>
  <c r="L1476" i="20" s="1"/>
  <c r="M1485" i="20"/>
  <c r="I1575" i="20"/>
  <c r="I1566" i="20" s="1"/>
  <c r="O1071" i="20"/>
  <c r="F4" i="27"/>
  <c r="L64" i="27"/>
  <c r="V60" i="27"/>
  <c r="P944" i="20"/>
  <c r="V106" i="27"/>
  <c r="P55" i="27"/>
  <c r="P1094" i="20"/>
  <c r="H96" i="20"/>
  <c r="V112" i="27"/>
  <c r="M366" i="20"/>
  <c r="G1575" i="20"/>
  <c r="D1485" i="20"/>
  <c r="D1476" i="20" s="1"/>
  <c r="M1575" i="20"/>
  <c r="M1566" i="20" s="1"/>
  <c r="J1221" i="20"/>
  <c r="N216" i="20"/>
  <c r="N81" i="20"/>
  <c r="H246" i="20"/>
  <c r="H1656" i="20"/>
  <c r="P65" i="27"/>
  <c r="K1536" i="20"/>
  <c r="K336" i="20"/>
  <c r="G81" i="20"/>
  <c r="L696" i="20"/>
  <c r="L106" i="27"/>
  <c r="V39" i="27"/>
  <c r="L7" i="27"/>
  <c r="O756" i="20"/>
  <c r="F109" i="27"/>
  <c r="E366" i="20"/>
  <c r="P17" i="27"/>
  <c r="G756" i="20"/>
  <c r="P983" i="20"/>
  <c r="H1536" i="20"/>
  <c r="O1191" i="20"/>
  <c r="P70" i="27"/>
  <c r="D756" i="20"/>
  <c r="V43" i="27"/>
  <c r="V80" i="27"/>
  <c r="K1071" i="20"/>
  <c r="P1106" i="20"/>
  <c r="V36" i="27"/>
  <c r="G351" i="20"/>
  <c r="P1182" i="20"/>
  <c r="C1401" i="20"/>
  <c r="O1701" i="20"/>
  <c r="D102" i="27"/>
  <c r="O351" i="20"/>
  <c r="L112" i="27"/>
  <c r="R44" i="27"/>
  <c r="H54" i="27"/>
  <c r="F51" i="27"/>
  <c r="R33" i="27"/>
  <c r="F88" i="27"/>
  <c r="H77" i="27"/>
  <c r="L8" i="27"/>
  <c r="H12" i="27"/>
  <c r="M246" i="20"/>
  <c r="O246" i="20"/>
  <c r="H7" i="27"/>
  <c r="H17" i="27"/>
  <c r="I96" i="20"/>
  <c r="R20" i="27"/>
  <c r="R34" i="27"/>
  <c r="H64" i="27"/>
  <c r="L93" i="27"/>
  <c r="O1341" i="20"/>
  <c r="F32" i="27"/>
  <c r="F45" i="27"/>
  <c r="H50" i="27"/>
  <c r="J1446" i="20"/>
  <c r="L99" i="27"/>
  <c r="E1056" i="20"/>
  <c r="R97" i="27"/>
  <c r="G1341" i="20"/>
  <c r="R46" i="27"/>
  <c r="H86" i="27"/>
  <c r="H104" i="27"/>
  <c r="L32" i="27"/>
  <c r="F107" i="27"/>
  <c r="F801" i="20"/>
  <c r="R106" i="27"/>
  <c r="K156" i="20"/>
  <c r="R64" i="27"/>
  <c r="H56" i="27"/>
  <c r="D336" i="20"/>
  <c r="G1140" i="20"/>
  <c r="G1131" i="20" s="1"/>
  <c r="H396" i="20"/>
  <c r="G900" i="20"/>
  <c r="F585" i="20"/>
  <c r="F75" i="20"/>
  <c r="K645" i="20"/>
  <c r="K636" i="20" s="1"/>
  <c r="O645" i="20"/>
  <c r="O636" i="20" s="1"/>
  <c r="P1538" i="20"/>
  <c r="F36" i="27"/>
  <c r="F426" i="20"/>
  <c r="I786" i="20"/>
  <c r="I936" i="20"/>
  <c r="L115" i="27"/>
  <c r="R45" i="27"/>
  <c r="F261" i="20"/>
  <c r="I246" i="20"/>
  <c r="R39" i="27"/>
  <c r="F70" i="27"/>
  <c r="H93" i="27"/>
  <c r="L4" i="27"/>
  <c r="F381" i="20"/>
  <c r="H11" i="27"/>
  <c r="G306" i="20"/>
  <c r="O1686" i="20"/>
  <c r="P661" i="20"/>
  <c r="F94" i="27"/>
  <c r="D12" i="27"/>
  <c r="L426" i="20"/>
  <c r="H46" i="27"/>
  <c r="R21" i="27"/>
  <c r="R57" i="27"/>
  <c r="L40" i="27"/>
  <c r="H73" i="27"/>
  <c r="L58" i="27"/>
  <c r="G1056" i="20"/>
  <c r="P912" i="20"/>
  <c r="P1081" i="20"/>
  <c r="P388" i="20"/>
  <c r="H100" i="27"/>
  <c r="J426" i="20"/>
  <c r="H59" i="27"/>
  <c r="D1326" i="20"/>
  <c r="F42" i="27"/>
  <c r="E381" i="20"/>
  <c r="F46" i="27"/>
  <c r="L96" i="27"/>
  <c r="H114" i="27"/>
  <c r="L70" i="27"/>
  <c r="G1071" i="20"/>
  <c r="E756" i="20"/>
  <c r="P749" i="20"/>
  <c r="P1673" i="20"/>
  <c r="P538" i="20"/>
  <c r="O1026" i="20"/>
  <c r="K306" i="20"/>
  <c r="H62" i="27"/>
  <c r="H39" i="27"/>
  <c r="P1512" i="20"/>
  <c r="H42" i="27"/>
  <c r="F7" i="27"/>
  <c r="M936" i="20"/>
  <c r="H25" i="27"/>
  <c r="P116" i="20"/>
  <c r="H1701" i="20"/>
  <c r="M1221" i="20"/>
  <c r="D996" i="20"/>
  <c r="L71" i="27"/>
  <c r="F1326" i="20"/>
  <c r="K1056" i="20"/>
  <c r="E1341" i="20"/>
  <c r="R50" i="27"/>
  <c r="H37" i="27"/>
  <c r="O696" i="20"/>
  <c r="F20" i="27"/>
  <c r="P909" i="20"/>
  <c r="N336" i="20"/>
  <c r="L91" i="27"/>
  <c r="I1446" i="20"/>
  <c r="L351" i="20"/>
  <c r="H110" i="27"/>
  <c r="O1140" i="20"/>
  <c r="O1131" i="20" s="1"/>
  <c r="D1140" i="20"/>
  <c r="P1351" i="20"/>
  <c r="L78" i="27"/>
  <c r="M171" i="20"/>
  <c r="L107" i="27"/>
  <c r="N97" i="27"/>
  <c r="L89" i="27"/>
  <c r="N1191" i="20"/>
  <c r="L82" i="27"/>
  <c r="H27" i="27"/>
  <c r="H70" i="27"/>
  <c r="F29" i="27"/>
  <c r="L111" i="27"/>
  <c r="J741" i="20"/>
  <c r="P976" i="20"/>
  <c r="H34" i="27"/>
  <c r="H43" i="27"/>
  <c r="P1059" i="20"/>
  <c r="P1321" i="20"/>
  <c r="F56" i="27"/>
  <c r="L72" i="27"/>
  <c r="F93" i="27"/>
  <c r="L24" i="27"/>
  <c r="L103" i="27"/>
  <c r="H57" i="27"/>
  <c r="L108" i="27"/>
  <c r="G1086" i="20"/>
  <c r="D75" i="20"/>
  <c r="D66" i="20" s="1"/>
  <c r="E870" i="20"/>
  <c r="E861" i="20" s="1"/>
  <c r="H88" i="27"/>
  <c r="P1718" i="20"/>
  <c r="L97" i="27"/>
  <c r="F83" i="27"/>
  <c r="P219" i="20"/>
  <c r="H15" i="27"/>
  <c r="L92" i="27"/>
  <c r="F77" i="27"/>
  <c r="H13" i="27"/>
  <c r="H33" i="27"/>
  <c r="P526" i="20"/>
  <c r="L231" i="20"/>
  <c r="N40" i="27"/>
  <c r="E1191" i="20"/>
  <c r="N80" i="27"/>
  <c r="N106" i="27"/>
  <c r="F102" i="27"/>
  <c r="P104" i="20"/>
  <c r="P1047" i="20"/>
  <c r="J876" i="20"/>
  <c r="R29" i="27"/>
  <c r="L104" i="27"/>
  <c r="L6" i="27"/>
  <c r="H83" i="27"/>
  <c r="H112" i="27"/>
  <c r="N4" i="27"/>
  <c r="F66" i="27"/>
  <c r="N113" i="27"/>
  <c r="P789" i="20"/>
  <c r="N960" i="20"/>
  <c r="F555" i="20"/>
  <c r="F960" i="20"/>
  <c r="F951" i="20" s="1"/>
  <c r="G555" i="20"/>
  <c r="G546" i="20" s="1"/>
  <c r="I1056" i="20"/>
  <c r="L936" i="20"/>
  <c r="J1041" i="20"/>
  <c r="D246" i="20"/>
  <c r="J276" i="20"/>
  <c r="O1521" i="20"/>
  <c r="J351" i="20"/>
  <c r="F64" i="27"/>
  <c r="P969" i="20"/>
  <c r="E555" i="20"/>
  <c r="E546" i="20" s="1"/>
  <c r="J960" i="20"/>
  <c r="O750" i="20"/>
  <c r="O741" i="20" s="1"/>
  <c r="M1686" i="20"/>
  <c r="E1356" i="20"/>
  <c r="F936" i="20"/>
  <c r="E246" i="20"/>
  <c r="D1521" i="20"/>
  <c r="P1364" i="20"/>
  <c r="I1041" i="20"/>
  <c r="L960" i="20"/>
  <c r="L900" i="20"/>
  <c r="I750" i="20"/>
  <c r="I741" i="20" s="1"/>
  <c r="L966" i="20"/>
  <c r="L786" i="20"/>
  <c r="H876" i="20"/>
  <c r="G1656" i="20"/>
  <c r="P1494" i="20"/>
  <c r="H1521" i="20"/>
  <c r="P431" i="20"/>
  <c r="J981" i="20"/>
  <c r="P818" i="20"/>
  <c r="H750" i="20"/>
  <c r="H741" i="20" s="1"/>
  <c r="D900" i="20"/>
  <c r="D891" i="20" s="1"/>
  <c r="O1356" i="20"/>
  <c r="N696" i="20"/>
  <c r="L1341" i="20"/>
  <c r="R23" i="27"/>
  <c r="E1656" i="20"/>
  <c r="G1191" i="20"/>
  <c r="R93" i="27"/>
  <c r="H1686" i="20"/>
  <c r="F60" i="27"/>
  <c r="F3" i="27"/>
  <c r="P654" i="20"/>
  <c r="E900" i="20"/>
  <c r="M750" i="20"/>
  <c r="M741" i="20" s="1"/>
  <c r="L1356" i="20"/>
  <c r="P1493" i="20"/>
  <c r="J936" i="20"/>
  <c r="N1341" i="20"/>
  <c r="K1521" i="20"/>
  <c r="P509" i="20"/>
  <c r="E156" i="20"/>
  <c r="F750" i="20"/>
  <c r="F741" i="20" s="1"/>
  <c r="D786" i="20"/>
  <c r="O936" i="20"/>
  <c r="P159" i="20"/>
  <c r="L43" i="27"/>
  <c r="F1041" i="20"/>
  <c r="E750" i="20"/>
  <c r="E741" i="20" s="1"/>
  <c r="H276" i="20"/>
  <c r="N1521" i="20"/>
  <c r="H231" i="20"/>
  <c r="L201" i="20"/>
  <c r="M906" i="20"/>
  <c r="P1711" i="20"/>
  <c r="H555" i="20"/>
  <c r="H546" i="20" s="1"/>
  <c r="H1221" i="20"/>
  <c r="G786" i="20"/>
  <c r="P98" i="20"/>
  <c r="I555" i="20"/>
  <c r="I546" i="20" s="1"/>
  <c r="J1701" i="20"/>
  <c r="F1341" i="20"/>
  <c r="P436" i="20"/>
  <c r="M1326" i="20"/>
  <c r="M201" i="20"/>
  <c r="N750" i="20"/>
  <c r="N741" i="20" s="1"/>
  <c r="K555" i="20"/>
  <c r="K546" i="20" s="1"/>
  <c r="D750" i="20"/>
  <c r="D741" i="20" s="1"/>
  <c r="P1527" i="20"/>
  <c r="P974" i="20"/>
  <c r="P1317" i="20"/>
  <c r="R115" i="27"/>
  <c r="P646" i="20"/>
  <c r="N18" i="27"/>
  <c r="E960" i="20"/>
  <c r="E951" i="20" s="1"/>
  <c r="F91" i="27"/>
  <c r="P988" i="20"/>
  <c r="L171" i="20"/>
  <c r="F43" i="27"/>
  <c r="D261" i="20"/>
  <c r="K201" i="20"/>
  <c r="P22" i="27"/>
  <c r="O171" i="20"/>
  <c r="J1326" i="20"/>
  <c r="H1341" i="20"/>
  <c r="G960" i="20"/>
  <c r="G951" i="20" s="1"/>
  <c r="M555" i="20"/>
  <c r="M546" i="20" s="1"/>
  <c r="C891" i="20"/>
  <c r="G1440" i="20"/>
  <c r="G1431" i="20" s="1"/>
  <c r="K1101" i="20"/>
  <c r="L1326" i="20"/>
  <c r="O786" i="20"/>
  <c r="R35" i="27"/>
  <c r="P804" i="20"/>
  <c r="N93" i="27"/>
  <c r="R28" i="27"/>
  <c r="N15" i="27"/>
  <c r="J756" i="20"/>
  <c r="V11" i="27"/>
  <c r="H960" i="20"/>
  <c r="K426" i="20"/>
  <c r="F103" i="27"/>
  <c r="F40" i="27"/>
  <c r="P819" i="20"/>
  <c r="P131" i="20"/>
  <c r="N555" i="20"/>
  <c r="O555" i="20"/>
  <c r="H1440" i="20"/>
  <c r="G750" i="20"/>
  <c r="G741" i="20" s="1"/>
  <c r="G801" i="20"/>
  <c r="I1716" i="20"/>
  <c r="K81" i="20"/>
  <c r="H171" i="20"/>
  <c r="J201" i="20"/>
  <c r="I351" i="20"/>
  <c r="R36" i="27"/>
  <c r="P1696" i="20"/>
  <c r="F68" i="27"/>
  <c r="M351" i="20"/>
  <c r="M1356" i="20"/>
  <c r="L381" i="20"/>
  <c r="F37" i="27"/>
  <c r="P67" i="27"/>
  <c r="J555" i="20"/>
  <c r="J546" i="20" s="1"/>
  <c r="L555" i="20"/>
  <c r="L546" i="20" s="1"/>
  <c r="I960" i="20"/>
  <c r="I951" i="20" s="1"/>
  <c r="C951" i="20"/>
  <c r="M960" i="20"/>
  <c r="M951" i="20" s="1"/>
  <c r="C741" i="20"/>
  <c r="M1701" i="20"/>
  <c r="I1521" i="20"/>
  <c r="I171" i="20"/>
  <c r="I156" i="20"/>
  <c r="F99" i="27"/>
  <c r="P751" i="20"/>
  <c r="F58" i="27"/>
  <c r="N115" i="27"/>
  <c r="O336" i="20"/>
  <c r="L47" i="27"/>
  <c r="J1656" i="20"/>
  <c r="M111" i="20"/>
  <c r="K1221" i="20"/>
  <c r="N1071" i="20"/>
  <c r="G171" i="20"/>
  <c r="N246" i="20"/>
  <c r="G261" i="20"/>
  <c r="M1521" i="20"/>
  <c r="P31" i="27"/>
  <c r="N1326" i="20"/>
  <c r="F756" i="20"/>
  <c r="P60" i="27"/>
  <c r="G111" i="20"/>
  <c r="D1701" i="20"/>
  <c r="L801" i="20"/>
  <c r="M81" i="20"/>
  <c r="F246" i="20"/>
  <c r="P1064" i="20"/>
  <c r="J246" i="20"/>
  <c r="H816" i="20"/>
  <c r="H111" i="27"/>
  <c r="P103" i="20"/>
  <c r="G1686" i="20"/>
  <c r="P1678" i="20"/>
  <c r="L34" i="27"/>
  <c r="O426" i="20"/>
  <c r="M801" i="20"/>
  <c r="P1073" i="20"/>
  <c r="P328" i="20"/>
  <c r="G1221" i="20"/>
  <c r="F981" i="20"/>
  <c r="K1041" i="20"/>
  <c r="K411" i="20"/>
  <c r="P1359" i="20"/>
  <c r="P1496" i="20"/>
  <c r="F1431" i="20"/>
  <c r="E645" i="20"/>
  <c r="E636" i="20" s="1"/>
  <c r="O825" i="20"/>
  <c r="O816" i="20" s="1"/>
  <c r="E1086" i="20"/>
  <c r="P854" i="20"/>
  <c r="I981" i="20"/>
  <c r="O1656" i="20"/>
  <c r="P521" i="20"/>
  <c r="P1194" i="20"/>
  <c r="G426" i="20"/>
  <c r="H113" i="27"/>
  <c r="P59" i="27"/>
  <c r="N1056" i="20"/>
  <c r="E981" i="20"/>
  <c r="D156" i="20"/>
  <c r="M1041" i="20"/>
  <c r="G1521" i="20"/>
  <c r="L65" i="27"/>
  <c r="N1221" i="20"/>
  <c r="P701" i="20"/>
  <c r="K261" i="20"/>
  <c r="L246" i="20"/>
  <c r="P1423" i="20"/>
  <c r="H936" i="20"/>
  <c r="J156" i="20"/>
  <c r="P51" i="27"/>
  <c r="P534" i="20"/>
  <c r="H1056" i="20"/>
  <c r="H636" i="20"/>
  <c r="K651" i="20"/>
  <c r="L1701" i="20"/>
  <c r="E1326" i="20"/>
  <c r="P788" i="20"/>
  <c r="F171" i="20"/>
  <c r="D1041" i="20"/>
  <c r="F696" i="20"/>
  <c r="H18" i="27"/>
  <c r="L1056" i="20"/>
  <c r="P1426" i="20"/>
  <c r="F336" i="20"/>
  <c r="I1326" i="20"/>
  <c r="H81" i="20"/>
  <c r="P1046" i="20"/>
  <c r="M1341" i="20"/>
  <c r="P761" i="20"/>
  <c r="P158" i="20"/>
  <c r="D480" i="20"/>
  <c r="H900" i="20"/>
  <c r="H891" i="20" s="1"/>
  <c r="J825" i="20"/>
  <c r="J816" i="20" s="1"/>
  <c r="G825" i="20"/>
  <c r="G816" i="20" s="1"/>
  <c r="H225" i="20"/>
  <c r="H216" i="20" s="1"/>
  <c r="I801" i="20"/>
  <c r="P284" i="20"/>
  <c r="M1101" i="20"/>
  <c r="O1326" i="20"/>
  <c r="P1036" i="20"/>
  <c r="I306" i="20"/>
  <c r="D1356" i="20"/>
  <c r="H4" i="27"/>
  <c r="I231" i="20"/>
  <c r="P447" i="20"/>
  <c r="R42" i="27"/>
  <c r="H44" i="27"/>
  <c r="F57" i="27"/>
  <c r="N24" i="27"/>
  <c r="P1456" i="20"/>
  <c r="P207" i="20"/>
  <c r="L306" i="20"/>
  <c r="D381" i="20"/>
  <c r="H80" i="27"/>
  <c r="G231" i="20"/>
  <c r="H106" i="27"/>
  <c r="H99" i="27"/>
  <c r="P282" i="20"/>
  <c r="I900" i="20"/>
  <c r="L1071" i="20"/>
  <c r="L480" i="20"/>
  <c r="L471" i="20" s="1"/>
  <c r="J900" i="20"/>
  <c r="J891" i="20" s="1"/>
  <c r="M645" i="20"/>
  <c r="M636" i="20" s="1"/>
  <c r="P1358" i="20"/>
  <c r="E1701" i="20"/>
  <c r="P1661" i="20"/>
  <c r="P1621" i="20"/>
  <c r="L81" i="20"/>
  <c r="H45" i="27"/>
  <c r="H91" i="27"/>
  <c r="H115" i="27"/>
  <c r="R31" i="27"/>
  <c r="R74" i="27"/>
  <c r="R60" i="27"/>
  <c r="R15" i="27"/>
  <c r="P1348" i="20"/>
  <c r="P1096" i="20"/>
  <c r="M1656" i="20"/>
  <c r="E351" i="20"/>
  <c r="O261" i="20"/>
  <c r="N82" i="27"/>
  <c r="P1694" i="20"/>
  <c r="E1041" i="20"/>
  <c r="G96" i="20"/>
  <c r="E696" i="20"/>
  <c r="K900" i="20"/>
  <c r="K891" i="20" s="1"/>
  <c r="G1701" i="20"/>
  <c r="F1221" i="20"/>
  <c r="N786" i="20"/>
  <c r="F81" i="20"/>
  <c r="H107" i="27"/>
  <c r="H89" i="27"/>
  <c r="H40" i="27"/>
  <c r="H53" i="27"/>
  <c r="H32" i="27"/>
  <c r="L50" i="27"/>
  <c r="P376" i="20"/>
  <c r="L22" i="27"/>
  <c r="P226" i="20"/>
  <c r="D69" i="27"/>
  <c r="N66" i="27"/>
  <c r="P74" i="27"/>
  <c r="V66" i="27"/>
  <c r="V97" i="27"/>
  <c r="N201" i="20"/>
  <c r="K1701" i="20"/>
  <c r="R94" i="27"/>
  <c r="J1191" i="20"/>
  <c r="H60" i="27"/>
  <c r="F65" i="27"/>
  <c r="P112" i="27"/>
  <c r="F71" i="27"/>
  <c r="P92" i="27"/>
  <c r="V71" i="27"/>
  <c r="P823" i="20"/>
  <c r="P504" i="20"/>
  <c r="G1026" i="20"/>
  <c r="H68" i="27"/>
  <c r="R80" i="27"/>
  <c r="N6" i="27"/>
  <c r="F47" i="27"/>
  <c r="D88" i="27"/>
  <c r="F108" i="27"/>
  <c r="F115" i="27"/>
  <c r="E171" i="20"/>
  <c r="I1341" i="20"/>
  <c r="O1221" i="20"/>
  <c r="G981" i="20"/>
  <c r="G396" i="20"/>
  <c r="N825" i="20"/>
  <c r="N816" i="20" s="1"/>
  <c r="G645" i="20"/>
  <c r="G636" i="20" s="1"/>
  <c r="F1311" i="20"/>
  <c r="J801" i="20"/>
  <c r="G1356" i="20"/>
  <c r="I1221" i="20"/>
  <c r="K786" i="20"/>
  <c r="P1043" i="20"/>
  <c r="G246" i="20"/>
  <c r="K876" i="20"/>
  <c r="L1221" i="20"/>
  <c r="D22" i="27"/>
  <c r="H5" i="27"/>
  <c r="N54" i="27"/>
  <c r="J366" i="20"/>
  <c r="M1026" i="20"/>
  <c r="K801" i="20"/>
  <c r="J786" i="20"/>
  <c r="F786" i="20"/>
  <c r="E786" i="20"/>
  <c r="P1598" i="20"/>
  <c r="E81" i="20"/>
  <c r="H426" i="20"/>
  <c r="E1221" i="20"/>
  <c r="D1656" i="20"/>
  <c r="L1041" i="20"/>
  <c r="P241" i="20"/>
  <c r="G381" i="20"/>
  <c r="P583" i="20"/>
  <c r="F8" i="27"/>
  <c r="P209" i="20"/>
  <c r="P1227" i="20"/>
  <c r="P433" i="20"/>
  <c r="P968" i="20"/>
  <c r="L1311" i="20"/>
  <c r="D1725" i="20"/>
  <c r="D1716" i="20" s="1"/>
  <c r="N801" i="20"/>
  <c r="P1448" i="20"/>
  <c r="P391" i="20"/>
  <c r="I1026" i="20"/>
  <c r="P991" i="20"/>
  <c r="P1524" i="20"/>
  <c r="O801" i="20"/>
  <c r="J81" i="20"/>
  <c r="D81" i="20"/>
  <c r="J171" i="20"/>
  <c r="N1041" i="20"/>
  <c r="C966" i="20"/>
  <c r="C1716" i="20"/>
  <c r="P809" i="20"/>
  <c r="P1618" i="20"/>
  <c r="O1041" i="20"/>
  <c r="P924" i="20"/>
  <c r="M306" i="20"/>
  <c r="G156" i="20"/>
  <c r="P942" i="20"/>
  <c r="E801" i="20"/>
  <c r="M1056" i="20"/>
  <c r="P173" i="20"/>
  <c r="I261" i="20"/>
  <c r="P941" i="20"/>
  <c r="P1078" i="20"/>
  <c r="P264" i="20"/>
  <c r="F1701" i="20"/>
  <c r="O81" i="20"/>
  <c r="D1506" i="20"/>
  <c r="P1196" i="20"/>
  <c r="F636" i="20"/>
  <c r="M1725" i="20"/>
  <c r="M1716" i="20" s="1"/>
  <c r="G876" i="20"/>
  <c r="K1326" i="20"/>
  <c r="H786" i="20"/>
  <c r="P1604" i="20"/>
  <c r="N381" i="20"/>
  <c r="P263" i="20"/>
  <c r="I1656" i="20"/>
  <c r="K981" i="20"/>
  <c r="E306" i="20"/>
  <c r="L36" i="27"/>
  <c r="P1721" i="20"/>
  <c r="M651" i="20"/>
  <c r="P1434" i="20"/>
  <c r="L981" i="20"/>
  <c r="P1201" i="20"/>
  <c r="P1662" i="20"/>
  <c r="P971" i="20"/>
  <c r="K975" i="20"/>
  <c r="K966" i="20" s="1"/>
  <c r="O1725" i="20"/>
  <c r="O1716" i="20" s="1"/>
  <c r="I426" i="20"/>
  <c r="H801" i="20"/>
  <c r="P878" i="20"/>
  <c r="K96" i="20"/>
  <c r="F1086" i="20"/>
  <c r="I336" i="20"/>
  <c r="E846" i="20"/>
  <c r="O981" i="20"/>
  <c r="P821" i="20"/>
  <c r="N1656" i="20"/>
  <c r="F24" i="27"/>
  <c r="I276" i="20"/>
  <c r="P762" i="20"/>
  <c r="F6" i="27"/>
  <c r="P1061" i="20"/>
  <c r="P852" i="20"/>
  <c r="H1086" i="20"/>
  <c r="I816" i="20"/>
  <c r="P233" i="20"/>
  <c r="H981" i="20"/>
  <c r="L261" i="20"/>
  <c r="P1184" i="20"/>
  <c r="P1692" i="20"/>
  <c r="M156" i="20"/>
  <c r="F50" i="27"/>
  <c r="F73" i="27"/>
  <c r="H84" i="27"/>
  <c r="P848" i="20"/>
  <c r="P1689" i="20"/>
  <c r="O225" i="20"/>
  <c r="O216" i="20" s="1"/>
  <c r="P1347" i="20"/>
  <c r="K696" i="20"/>
  <c r="J261" i="20"/>
  <c r="P1178" i="20"/>
  <c r="K246" i="20"/>
  <c r="P1193" i="20"/>
  <c r="N981" i="20"/>
  <c r="G696" i="20"/>
  <c r="J306" i="20"/>
  <c r="G336" i="20"/>
  <c r="P267" i="20"/>
  <c r="L1086" i="20"/>
  <c r="L29" i="27"/>
  <c r="P218" i="20"/>
  <c r="N3" i="27"/>
  <c r="P387" i="20"/>
  <c r="K1341" i="20"/>
  <c r="P1299" i="20"/>
  <c r="H975" i="20"/>
  <c r="H966" i="20" s="1"/>
  <c r="N936" i="20"/>
  <c r="D981" i="20"/>
  <c r="L3" i="27"/>
  <c r="P1058" i="20"/>
  <c r="N61" i="27"/>
  <c r="P353" i="20"/>
  <c r="F18" i="27"/>
  <c r="M261" i="20"/>
  <c r="O1056" i="20"/>
  <c r="P1539" i="20"/>
  <c r="M786" i="20"/>
  <c r="P91" i="20"/>
  <c r="G1041" i="20"/>
  <c r="N636" i="20"/>
  <c r="P523" i="20"/>
  <c r="D801" i="20"/>
  <c r="L96" i="20"/>
  <c r="H306" i="20"/>
  <c r="P113" i="20"/>
  <c r="R37" i="27"/>
  <c r="P1703" i="20"/>
  <c r="P639" i="20"/>
  <c r="P1333" i="20"/>
  <c r="P1198" i="20"/>
  <c r="H103" i="27"/>
  <c r="H98" i="27"/>
  <c r="H81" i="27"/>
  <c r="H21" i="27"/>
  <c r="H9" i="27"/>
  <c r="H78" i="27"/>
  <c r="H49" i="27"/>
  <c r="H82" i="27"/>
  <c r="H69" i="27"/>
  <c r="H95" i="27"/>
  <c r="H52" i="27"/>
  <c r="H67" i="27"/>
  <c r="H10" i="27"/>
  <c r="H48" i="27"/>
  <c r="H23" i="27"/>
  <c r="H63" i="27"/>
  <c r="H16" i="27"/>
  <c r="H30" i="27"/>
  <c r="H38" i="27"/>
  <c r="H6" i="27"/>
  <c r="H8" i="27"/>
  <c r="H109" i="27"/>
  <c r="H29" i="27"/>
  <c r="H28" i="27"/>
  <c r="H14" i="27"/>
  <c r="H19" i="27"/>
  <c r="H85" i="27"/>
  <c r="H26" i="27"/>
  <c r="H74" i="27"/>
  <c r="P973" i="20"/>
  <c r="L61" i="27"/>
  <c r="F112" i="27"/>
  <c r="H87" i="27"/>
  <c r="I975" i="20"/>
  <c r="I966" i="20" s="1"/>
  <c r="I621" i="20"/>
  <c r="J225" i="20"/>
  <c r="J216" i="20" s="1"/>
  <c r="O1311" i="20"/>
  <c r="P1649" i="20"/>
  <c r="P984" i="20"/>
  <c r="C1626" i="20"/>
  <c r="G1635" i="20"/>
  <c r="G1626" i="20" s="1"/>
  <c r="D1635" i="20"/>
  <c r="I1635" i="20"/>
  <c r="I1626" i="20" s="1"/>
  <c r="E1635" i="20"/>
  <c r="E1626" i="20" s="1"/>
  <c r="O1635" i="20"/>
  <c r="O1626" i="20" s="1"/>
  <c r="N1635" i="20"/>
  <c r="N1626" i="20" s="1"/>
  <c r="K1635" i="20"/>
  <c r="K1626" i="20" s="1"/>
  <c r="F1635" i="20"/>
  <c r="F1626" i="20" s="1"/>
  <c r="M1635" i="20"/>
  <c r="M1626" i="20" s="1"/>
  <c r="H1635" i="20"/>
  <c r="H1626" i="20" s="1"/>
  <c r="L1635" i="20"/>
  <c r="L1626" i="20" s="1"/>
  <c r="J1635" i="20"/>
  <c r="J1626" i="20" s="1"/>
  <c r="P1331" i="20"/>
  <c r="P324" i="20"/>
  <c r="R79" i="27"/>
  <c r="I1620" i="20"/>
  <c r="I1611" i="20" s="1"/>
  <c r="G1620" i="20"/>
  <c r="G1611" i="20" s="1"/>
  <c r="F1620" i="20"/>
  <c r="F1611" i="20" s="1"/>
  <c r="E1620" i="20"/>
  <c r="E1611" i="20" s="1"/>
  <c r="N1620" i="20"/>
  <c r="N1611" i="20" s="1"/>
  <c r="O1620" i="20"/>
  <c r="O1611" i="20" s="1"/>
  <c r="K1620" i="20"/>
  <c r="K1611" i="20" s="1"/>
  <c r="H1620" i="20"/>
  <c r="H1611" i="20" s="1"/>
  <c r="L1620" i="20"/>
  <c r="L1611" i="20" s="1"/>
  <c r="J1620" i="20"/>
  <c r="J1611" i="20" s="1"/>
  <c r="D1620" i="20"/>
  <c r="D1611" i="20" s="1"/>
  <c r="C1611" i="20"/>
  <c r="M1620" i="20"/>
  <c r="M1611" i="20" s="1"/>
  <c r="I225" i="20"/>
  <c r="I216" i="20" s="1"/>
  <c r="D171" i="20"/>
  <c r="P312" i="20"/>
  <c r="L11" i="27"/>
  <c r="P178" i="20"/>
  <c r="C516" i="20"/>
  <c r="O525" i="20"/>
  <c r="O516" i="20" s="1"/>
  <c r="N525" i="20"/>
  <c r="N516" i="20" s="1"/>
  <c r="M525" i="20"/>
  <c r="M516" i="20" s="1"/>
  <c r="L525" i="20"/>
  <c r="L516" i="20" s="1"/>
  <c r="D525" i="20"/>
  <c r="K525" i="20"/>
  <c r="K516" i="20" s="1"/>
  <c r="J525" i="20"/>
  <c r="J516" i="20" s="1"/>
  <c r="I525" i="20"/>
  <c r="I516" i="20" s="1"/>
  <c r="H525" i="20"/>
  <c r="H516" i="20" s="1"/>
  <c r="G525" i="20"/>
  <c r="G516" i="20" s="1"/>
  <c r="F525" i="20"/>
  <c r="F516" i="20" s="1"/>
  <c r="E525" i="20"/>
  <c r="E516" i="20" s="1"/>
  <c r="D225" i="20"/>
  <c r="D216" i="20" s="1"/>
  <c r="P1166" i="20"/>
  <c r="P1722" i="20"/>
  <c r="H92" i="27"/>
  <c r="P1183" i="20"/>
  <c r="R84" i="27"/>
  <c r="F111" i="27"/>
  <c r="F82" i="27"/>
  <c r="F35" i="27"/>
  <c r="F98" i="27"/>
  <c r="F113" i="27"/>
  <c r="F13" i="27"/>
  <c r="F110" i="27"/>
  <c r="F61" i="27"/>
  <c r="F63" i="27"/>
  <c r="F52" i="27"/>
  <c r="F87" i="27"/>
  <c r="F10" i="27"/>
  <c r="F85" i="27"/>
  <c r="F78" i="27"/>
  <c r="F38" i="27"/>
  <c r="F75" i="27"/>
  <c r="F30" i="27"/>
  <c r="F69" i="27"/>
  <c r="F95" i="27"/>
  <c r="F21" i="27"/>
  <c r="F49" i="27"/>
  <c r="F92" i="27"/>
  <c r="F14" i="27"/>
  <c r="F28" i="27"/>
  <c r="F86" i="27"/>
  <c r="F67" i="27"/>
  <c r="F96" i="27"/>
  <c r="F81" i="27"/>
  <c r="F101" i="27"/>
  <c r="F48" i="27"/>
  <c r="H1500" i="20"/>
  <c r="H1491" i="20" s="1"/>
  <c r="F1500" i="20"/>
  <c r="F1491" i="20" s="1"/>
  <c r="C1491" i="20"/>
  <c r="O1500" i="20"/>
  <c r="O1491" i="20" s="1"/>
  <c r="L1500" i="20"/>
  <c r="L1491" i="20" s="1"/>
  <c r="N1500" i="20"/>
  <c r="N1491" i="20" s="1"/>
  <c r="M1500" i="20"/>
  <c r="M1491" i="20" s="1"/>
  <c r="I1500" i="20"/>
  <c r="I1491" i="20" s="1"/>
  <c r="G1500" i="20"/>
  <c r="G1491" i="20" s="1"/>
  <c r="E1500" i="20"/>
  <c r="E1491" i="20" s="1"/>
  <c r="J1500" i="20"/>
  <c r="J1491" i="20" s="1"/>
  <c r="D1500" i="20"/>
  <c r="K1500" i="20"/>
  <c r="K1491" i="20" s="1"/>
  <c r="H97" i="27"/>
  <c r="P88" i="20"/>
  <c r="P99" i="20"/>
  <c r="P389" i="20"/>
  <c r="P1361" i="20"/>
  <c r="D975" i="20"/>
  <c r="D966" i="20" s="1"/>
  <c r="E1725" i="20"/>
  <c r="F1725" i="20"/>
  <c r="F1716" i="20" s="1"/>
  <c r="P1111" i="20"/>
  <c r="AA96" i="27"/>
  <c r="R3" i="27"/>
  <c r="P1104" i="20"/>
  <c r="P1599" i="20"/>
  <c r="P704" i="20"/>
  <c r="D540" i="20"/>
  <c r="O540" i="20"/>
  <c r="O531" i="20" s="1"/>
  <c r="N540" i="20"/>
  <c r="N531" i="20" s="1"/>
  <c r="M540" i="20"/>
  <c r="M531" i="20" s="1"/>
  <c r="L540" i="20"/>
  <c r="L531" i="20" s="1"/>
  <c r="K540" i="20"/>
  <c r="K531" i="20" s="1"/>
  <c r="J540" i="20"/>
  <c r="J531" i="20" s="1"/>
  <c r="I540" i="20"/>
  <c r="I531" i="20" s="1"/>
  <c r="H540" i="20"/>
  <c r="H531" i="20" s="1"/>
  <c r="G540" i="20"/>
  <c r="G531" i="20" s="1"/>
  <c r="C531" i="20"/>
  <c r="F540" i="20"/>
  <c r="F531" i="20" s="1"/>
  <c r="E540" i="20"/>
  <c r="E531" i="20" s="1"/>
  <c r="P368" i="20"/>
  <c r="P641" i="20"/>
  <c r="P851" i="20"/>
  <c r="P1363" i="20"/>
  <c r="I1440" i="20"/>
  <c r="I1431" i="20" s="1"/>
  <c r="K1440" i="20"/>
  <c r="K1431" i="20" s="1"/>
  <c r="P1313" i="20"/>
  <c r="P271" i="20"/>
  <c r="AA65" i="27"/>
  <c r="R53" i="27"/>
  <c r="R103" i="27"/>
  <c r="R78" i="27"/>
  <c r="R13" i="27"/>
  <c r="R22" i="27"/>
  <c r="R102" i="27"/>
  <c r="R86" i="27"/>
  <c r="R55" i="27"/>
  <c r="R8" i="27"/>
  <c r="R69" i="27"/>
  <c r="R72" i="27"/>
  <c r="R75" i="27"/>
  <c r="R62" i="27"/>
  <c r="R9" i="27"/>
  <c r="R87" i="27"/>
  <c r="R85" i="27"/>
  <c r="R10" i="27"/>
  <c r="R52" i="27"/>
  <c r="R49" i="27"/>
  <c r="R61" i="27"/>
  <c r="R18" i="27"/>
  <c r="R114" i="27"/>
  <c r="R30" i="27"/>
  <c r="R24" i="27"/>
  <c r="R111" i="27"/>
  <c r="R101" i="27"/>
  <c r="R98" i="27"/>
  <c r="R88" i="27"/>
  <c r="R7" i="27"/>
  <c r="R12" i="27"/>
  <c r="R81" i="27"/>
  <c r="R100" i="27"/>
  <c r="R38" i="27"/>
  <c r="P1449" i="20"/>
  <c r="P883" i="20"/>
  <c r="P1681" i="20"/>
  <c r="R73" i="27"/>
  <c r="AA32" i="27"/>
  <c r="P1613" i="20"/>
  <c r="C1641" i="20"/>
  <c r="E1650" i="20"/>
  <c r="E1641" i="20" s="1"/>
  <c r="M1650" i="20"/>
  <c r="M1641" i="20" s="1"/>
  <c r="K1650" i="20"/>
  <c r="K1641" i="20" s="1"/>
  <c r="J1650" i="20"/>
  <c r="J1641" i="20" s="1"/>
  <c r="G1650" i="20"/>
  <c r="G1641" i="20" s="1"/>
  <c r="O1650" i="20"/>
  <c r="O1641" i="20" s="1"/>
  <c r="I1650" i="20"/>
  <c r="I1641" i="20" s="1"/>
  <c r="F1650" i="20"/>
  <c r="F1641" i="20" s="1"/>
  <c r="N1650" i="20"/>
  <c r="N1641" i="20" s="1"/>
  <c r="L1650" i="20"/>
  <c r="L1641" i="20" s="1"/>
  <c r="H1650" i="20"/>
  <c r="H1641" i="20" s="1"/>
  <c r="D1650" i="20"/>
  <c r="R70" i="27"/>
  <c r="H35" i="27"/>
  <c r="C501" i="20"/>
  <c r="G510" i="20"/>
  <c r="G501" i="20" s="1"/>
  <c r="F510" i="20"/>
  <c r="F501" i="20" s="1"/>
  <c r="D510" i="20"/>
  <c r="E510" i="20"/>
  <c r="E501" i="20" s="1"/>
  <c r="O510" i="20"/>
  <c r="O501" i="20" s="1"/>
  <c r="N510" i="20"/>
  <c r="N501" i="20" s="1"/>
  <c r="M510" i="20"/>
  <c r="M501" i="20" s="1"/>
  <c r="L510" i="20"/>
  <c r="L501" i="20" s="1"/>
  <c r="K510" i="20"/>
  <c r="K501" i="20" s="1"/>
  <c r="J510" i="20"/>
  <c r="J501" i="20" s="1"/>
  <c r="H510" i="20"/>
  <c r="H501" i="20" s="1"/>
  <c r="I510" i="20"/>
  <c r="I501" i="20" s="1"/>
  <c r="R59" i="27"/>
  <c r="P541" i="20"/>
  <c r="L51" i="27"/>
  <c r="AA64" i="27"/>
  <c r="P503" i="20"/>
  <c r="P1091" i="20"/>
  <c r="P434" i="20"/>
  <c r="P1228" i="20"/>
  <c r="P1726" i="20"/>
  <c r="P1349" i="20"/>
  <c r="P1226" i="20"/>
  <c r="P327" i="20"/>
  <c r="P101" i="20"/>
  <c r="P1108" i="20"/>
  <c r="P748" i="20"/>
  <c r="P346" i="20"/>
  <c r="AA56" i="27"/>
  <c r="R47" i="27"/>
  <c r="M1320" i="20"/>
  <c r="M1311" i="20" s="1"/>
  <c r="D1320" i="20"/>
  <c r="D1311" i="20" s="1"/>
  <c r="P719" i="20"/>
  <c r="R14" i="27"/>
  <c r="P223" i="20"/>
  <c r="E975" i="20"/>
  <c r="E966" i="20" s="1"/>
  <c r="F975" i="20"/>
  <c r="F966" i="20" s="1"/>
  <c r="C216" i="20"/>
  <c r="K225" i="20"/>
  <c r="K216" i="20" s="1"/>
  <c r="L225" i="20"/>
  <c r="L216" i="20" s="1"/>
  <c r="J855" i="20"/>
  <c r="J846" i="20" s="1"/>
  <c r="I855" i="20"/>
  <c r="I846" i="20" s="1"/>
  <c r="H855" i="20"/>
  <c r="H846" i="20" s="1"/>
  <c r="C846" i="20"/>
  <c r="O855" i="20"/>
  <c r="O846" i="20" s="1"/>
  <c r="N855" i="20"/>
  <c r="N846" i="20" s="1"/>
  <c r="M855" i="20"/>
  <c r="M846" i="20" s="1"/>
  <c r="K855" i="20"/>
  <c r="K846" i="20" s="1"/>
  <c r="P524" i="20"/>
  <c r="D855" i="20"/>
  <c r="D846" i="20" s="1"/>
  <c r="K1725" i="20"/>
  <c r="K1716" i="20" s="1"/>
  <c r="P208" i="20"/>
  <c r="P1076" i="20"/>
  <c r="P341" i="20"/>
  <c r="R108" i="27"/>
  <c r="P658" i="20"/>
  <c r="P1186" i="20"/>
  <c r="F33" i="27"/>
  <c r="P881" i="20"/>
  <c r="P706" i="20"/>
  <c r="P1343" i="20"/>
  <c r="P357" i="20"/>
  <c r="D1185" i="20"/>
  <c r="N1185" i="20"/>
  <c r="N1176" i="20" s="1"/>
  <c r="M1185" i="20"/>
  <c r="M1176" i="20" s="1"/>
  <c r="K1185" i="20"/>
  <c r="K1176" i="20" s="1"/>
  <c r="J1185" i="20"/>
  <c r="J1176" i="20" s="1"/>
  <c r="L1185" i="20"/>
  <c r="L1176" i="20" s="1"/>
  <c r="I1185" i="20"/>
  <c r="I1176" i="20" s="1"/>
  <c r="O1185" i="20"/>
  <c r="O1176" i="20" s="1"/>
  <c r="G1185" i="20"/>
  <c r="G1176" i="20" s="1"/>
  <c r="F1185" i="20"/>
  <c r="F1176" i="20" s="1"/>
  <c r="C1176" i="20"/>
  <c r="H1185" i="20"/>
  <c r="H1176" i="20" s="1"/>
  <c r="E1185" i="20"/>
  <c r="E1176" i="20" s="1"/>
  <c r="H101" i="27"/>
  <c r="L114" i="27"/>
  <c r="L59" i="27"/>
  <c r="P16" i="27"/>
  <c r="P13" i="27"/>
  <c r="P48" i="27"/>
  <c r="P78" i="27"/>
  <c r="P86" i="27"/>
  <c r="P21" i="27"/>
  <c r="P98" i="27"/>
  <c r="P49" i="27"/>
  <c r="P23" i="27"/>
  <c r="P52" i="27"/>
  <c r="P30" i="27"/>
  <c r="P81" i="27"/>
  <c r="P96" i="27"/>
  <c r="P8" i="27"/>
  <c r="P9" i="27"/>
  <c r="P25" i="27"/>
  <c r="P19" i="27"/>
  <c r="P113" i="27"/>
  <c r="P85" i="27"/>
  <c r="P97" i="27"/>
  <c r="P43" i="27"/>
  <c r="P75" i="27"/>
  <c r="P71" i="27"/>
  <c r="P10" i="27"/>
  <c r="P38" i="27"/>
  <c r="P109" i="27"/>
  <c r="G225" i="20"/>
  <c r="G216" i="20" s="1"/>
  <c r="E1311" i="20"/>
  <c r="N1725" i="20"/>
  <c r="N1716" i="20" s="1"/>
  <c r="P278" i="20"/>
  <c r="P87" i="20"/>
  <c r="P536" i="20"/>
  <c r="P1318" i="20"/>
  <c r="P428" i="20"/>
  <c r="P849" i="20"/>
  <c r="P657" i="20"/>
  <c r="P746" i="20"/>
  <c r="P361" i="20"/>
  <c r="P248" i="20"/>
  <c r="AA107" i="27"/>
  <c r="P86" i="20"/>
  <c r="H41" i="27"/>
  <c r="O975" i="20"/>
  <c r="O966" i="20" s="1"/>
  <c r="G975" i="20"/>
  <c r="G966" i="20" s="1"/>
  <c r="P1033" i="20"/>
  <c r="J1521" i="20"/>
  <c r="D1026" i="20"/>
  <c r="M816" i="20"/>
  <c r="M225" i="20"/>
  <c r="M216" i="20" s="1"/>
  <c r="P136" i="20"/>
  <c r="P1049" i="20"/>
  <c r="P659" i="20"/>
  <c r="P326" i="20"/>
  <c r="E1605" i="20"/>
  <c r="E1596" i="20" s="1"/>
  <c r="M1605" i="20"/>
  <c r="M1596" i="20" s="1"/>
  <c r="G1605" i="20"/>
  <c r="G1596" i="20" s="1"/>
  <c r="N1605" i="20"/>
  <c r="N1596" i="20" s="1"/>
  <c r="K1605" i="20"/>
  <c r="K1596" i="20" s="1"/>
  <c r="L1605" i="20"/>
  <c r="L1596" i="20" s="1"/>
  <c r="J1605" i="20"/>
  <c r="J1596" i="20" s="1"/>
  <c r="F1605" i="20"/>
  <c r="F1596" i="20" s="1"/>
  <c r="O1605" i="20"/>
  <c r="O1596" i="20" s="1"/>
  <c r="I1605" i="20"/>
  <c r="I1596" i="20" s="1"/>
  <c r="H1605" i="20"/>
  <c r="H1596" i="20" s="1"/>
  <c r="D1605" i="20"/>
  <c r="C1596" i="20"/>
  <c r="R68" i="27"/>
  <c r="P653" i="20"/>
  <c r="P972" i="20"/>
  <c r="L15" i="27"/>
  <c r="P638" i="20"/>
  <c r="F97" i="27"/>
  <c r="D885" i="20"/>
  <c r="D876" i="20" s="1"/>
  <c r="F885" i="20"/>
  <c r="F876" i="20" s="1"/>
  <c r="M756" i="20"/>
  <c r="P946" i="20"/>
  <c r="P164" i="20"/>
  <c r="P1523" i="20"/>
  <c r="P1089" i="20"/>
  <c r="P539" i="20"/>
  <c r="P338" i="20"/>
  <c r="P506" i="20"/>
  <c r="P1666" i="20"/>
  <c r="D306" i="20"/>
  <c r="R6" i="27"/>
  <c r="P83" i="20"/>
  <c r="P1181" i="20"/>
  <c r="H51" i="27"/>
  <c r="R26" i="27"/>
  <c r="I636" i="20"/>
  <c r="J1725" i="20"/>
  <c r="J1716" i="20" s="1"/>
  <c r="P794" i="20"/>
  <c r="P856" i="20"/>
  <c r="P239" i="20"/>
  <c r="P1528" i="20"/>
  <c r="P1302" i="20"/>
  <c r="P174" i="20"/>
  <c r="P1362" i="20"/>
  <c r="AA84" i="27"/>
  <c r="R112" i="27"/>
  <c r="AA38" i="27"/>
  <c r="R63" i="27"/>
  <c r="H36" i="27"/>
  <c r="H72" i="27"/>
  <c r="D55" i="27"/>
  <c r="D63" i="27"/>
  <c r="D92" i="27"/>
  <c r="D113" i="27"/>
  <c r="D10" i="27"/>
  <c r="D66" i="27"/>
  <c r="D61" i="27"/>
  <c r="D80" i="27"/>
  <c r="D115" i="27"/>
  <c r="D6" i="27"/>
  <c r="D44" i="27"/>
  <c r="D38" i="27"/>
  <c r="D108" i="27"/>
  <c r="D15" i="27"/>
  <c r="D13" i="27"/>
  <c r="D112" i="27"/>
  <c r="D9" i="27"/>
  <c r="D79" i="27"/>
  <c r="D49" i="27"/>
  <c r="D78" i="27"/>
  <c r="D81" i="27"/>
  <c r="D62" i="27"/>
  <c r="D8" i="27"/>
  <c r="D75" i="27"/>
  <c r="D52" i="27"/>
  <c r="D23" i="27"/>
  <c r="D111" i="27"/>
  <c r="D16" i="27"/>
  <c r="D87" i="27"/>
  <c r="D48" i="27"/>
  <c r="D101" i="27"/>
  <c r="D109" i="27"/>
  <c r="D17" i="27"/>
  <c r="D85" i="27"/>
  <c r="D54" i="27"/>
  <c r="D93" i="27"/>
  <c r="D104" i="27"/>
  <c r="D5" i="27"/>
  <c r="D39" i="27"/>
  <c r="D97" i="27"/>
  <c r="D46" i="27"/>
  <c r="D95" i="27"/>
  <c r="D106" i="27"/>
  <c r="D30" i="27"/>
  <c r="D99" i="27"/>
  <c r="D77" i="27"/>
  <c r="D19" i="27"/>
  <c r="D20" i="27"/>
  <c r="D41" i="27"/>
  <c r="D4" i="27"/>
  <c r="D82" i="27"/>
  <c r="D76" i="27"/>
  <c r="D68" i="27"/>
  <c r="D25" i="27"/>
  <c r="D47" i="27"/>
  <c r="D7" i="27"/>
  <c r="D37" i="27"/>
  <c r="D72" i="27"/>
  <c r="D34" i="27"/>
  <c r="D94" i="27"/>
  <c r="D36" i="27"/>
  <c r="D40" i="27"/>
  <c r="D31" i="27"/>
  <c r="D60" i="27"/>
  <c r="D45" i="27"/>
  <c r="D58" i="27"/>
  <c r="D89" i="27"/>
  <c r="D105" i="27"/>
  <c r="D67" i="27"/>
  <c r="D32" i="27"/>
  <c r="D96" i="27"/>
  <c r="D26" i="27"/>
  <c r="D42" i="27"/>
  <c r="D83" i="27"/>
  <c r="D43" i="27"/>
  <c r="D64" i="27"/>
  <c r="D33" i="27"/>
  <c r="D107" i="27"/>
  <c r="D27" i="27"/>
  <c r="D18" i="27"/>
  <c r="D114" i="27"/>
  <c r="D35" i="27"/>
  <c r="D84" i="27"/>
  <c r="D28" i="27"/>
  <c r="D73" i="27"/>
  <c r="D56" i="27"/>
  <c r="P811" i="20"/>
  <c r="O651" i="20"/>
  <c r="O156" i="20"/>
  <c r="F225" i="20"/>
  <c r="F216" i="20" s="1"/>
  <c r="D1221" i="20"/>
  <c r="D1686" i="20"/>
  <c r="D1440" i="20"/>
  <c r="D1431" i="20" s="1"/>
  <c r="L855" i="20"/>
  <c r="L846" i="20" s="1"/>
  <c r="M975" i="20"/>
  <c r="M966" i="20" s="1"/>
  <c r="H1725" i="20"/>
  <c r="H1716" i="20" s="1"/>
  <c r="P253" i="20"/>
  <c r="H71" i="27"/>
  <c r="P161" i="20"/>
  <c r="D570" i="20"/>
  <c r="L570" i="20"/>
  <c r="L561" i="20" s="1"/>
  <c r="K570" i="20"/>
  <c r="K561" i="20" s="1"/>
  <c r="J570" i="20"/>
  <c r="J561" i="20" s="1"/>
  <c r="I570" i="20"/>
  <c r="I561" i="20" s="1"/>
  <c r="H570" i="20"/>
  <c r="H561" i="20" s="1"/>
  <c r="G570" i="20"/>
  <c r="G561" i="20" s="1"/>
  <c r="F570" i="20"/>
  <c r="F561" i="20" s="1"/>
  <c r="E570" i="20"/>
  <c r="E561" i="20" s="1"/>
  <c r="C561" i="20"/>
  <c r="O570" i="20"/>
  <c r="O561" i="20" s="1"/>
  <c r="N570" i="20"/>
  <c r="N561" i="20" s="1"/>
  <c r="M570" i="20"/>
  <c r="M561" i="20" s="1"/>
  <c r="S116" i="27"/>
  <c r="T115" i="27" s="1"/>
  <c r="P1366" i="20"/>
  <c r="L100" i="27"/>
  <c r="P1332" i="20"/>
  <c r="P1679" i="20"/>
  <c r="P1066" i="20"/>
  <c r="P1284" i="20"/>
  <c r="P1032" i="20"/>
  <c r="P224" i="20"/>
  <c r="K750" i="20"/>
  <c r="K741" i="20" s="1"/>
  <c r="L750" i="20"/>
  <c r="L741" i="20" s="1"/>
  <c r="R51" i="27"/>
  <c r="N1290" i="20"/>
  <c r="N1281" i="20" s="1"/>
  <c r="L1290" i="20"/>
  <c r="L1281" i="20" s="1"/>
  <c r="J1290" i="20"/>
  <c r="J1281" i="20" s="1"/>
  <c r="I1290" i="20"/>
  <c r="I1281" i="20" s="1"/>
  <c r="H1290" i="20"/>
  <c r="H1281" i="20" s="1"/>
  <c r="F1290" i="20"/>
  <c r="F1281" i="20" s="1"/>
  <c r="E1290" i="20"/>
  <c r="E1281" i="20" s="1"/>
  <c r="O1290" i="20"/>
  <c r="O1281" i="20" s="1"/>
  <c r="C1281" i="20"/>
  <c r="G1290" i="20"/>
  <c r="G1281" i="20" s="1"/>
  <c r="K1290" i="20"/>
  <c r="K1281" i="20" s="1"/>
  <c r="D1290" i="20"/>
  <c r="D1281" i="20" s="1"/>
  <c r="M1290" i="20"/>
  <c r="M1281" i="20" s="1"/>
  <c r="R48" i="27"/>
  <c r="F54" i="27"/>
  <c r="D110" i="27"/>
  <c r="D426" i="20"/>
  <c r="L1725" i="20"/>
  <c r="L1716" i="20" s="1"/>
  <c r="P1614" i="20"/>
  <c r="P943" i="20"/>
  <c r="P249" i="20"/>
  <c r="P1659" i="20"/>
  <c r="P807" i="20"/>
  <c r="P1044" i="20"/>
  <c r="P1704" i="20"/>
  <c r="R16" i="27"/>
  <c r="R89" i="27"/>
  <c r="R4" i="27"/>
  <c r="H66" i="27"/>
  <c r="H61" i="27"/>
  <c r="L79" i="27"/>
  <c r="H65" i="27"/>
  <c r="P1376" i="20"/>
  <c r="AA110" i="27"/>
  <c r="E225" i="20"/>
  <c r="E216" i="20" s="1"/>
  <c r="P1231" i="20"/>
  <c r="P1004" i="20"/>
  <c r="P792" i="20"/>
  <c r="P316" i="20"/>
  <c r="P163" i="20"/>
  <c r="P808" i="20"/>
  <c r="AA27" i="27"/>
  <c r="P1658" i="20"/>
  <c r="P884" i="20"/>
  <c r="L33" i="27"/>
  <c r="I1470" i="20"/>
  <c r="I1461" i="20" s="1"/>
  <c r="N1470" i="20"/>
  <c r="N1461" i="20" s="1"/>
  <c r="H1470" i="20"/>
  <c r="H1461" i="20" s="1"/>
  <c r="K1470" i="20"/>
  <c r="K1461" i="20" s="1"/>
  <c r="G1470" i="20"/>
  <c r="G1461" i="20" s="1"/>
  <c r="E1470" i="20"/>
  <c r="E1461" i="20" s="1"/>
  <c r="D1470" i="20"/>
  <c r="O1470" i="20"/>
  <c r="O1461" i="20" s="1"/>
  <c r="M1470" i="20"/>
  <c r="M1461" i="20" s="1"/>
  <c r="L1470" i="20"/>
  <c r="L1461" i="20" s="1"/>
  <c r="J1470" i="20"/>
  <c r="J1461" i="20" s="1"/>
  <c r="F1470" i="20"/>
  <c r="F1461" i="20" s="1"/>
  <c r="C1461" i="20"/>
  <c r="P34" i="27"/>
  <c r="R82" i="27"/>
  <c r="H79" i="27"/>
  <c r="R109" i="27"/>
  <c r="P221" i="20"/>
  <c r="V86" i="27"/>
  <c r="V98" i="27"/>
  <c r="V51" i="27"/>
  <c r="V52" i="27"/>
  <c r="V53" i="27"/>
  <c r="V48" i="27"/>
  <c r="V87" i="27"/>
  <c r="V107" i="27"/>
  <c r="V89" i="27"/>
  <c r="V62" i="27"/>
  <c r="V100" i="27"/>
  <c r="V34" i="27"/>
  <c r="V14" i="27"/>
  <c r="V61" i="27"/>
  <c r="V81" i="27"/>
  <c r="V92" i="27"/>
  <c r="V109" i="27"/>
  <c r="V7" i="27"/>
  <c r="V8" i="27"/>
  <c r="V38" i="27"/>
  <c r="V13" i="27"/>
  <c r="V95" i="27"/>
  <c r="V19" i="27"/>
  <c r="V70" i="27"/>
  <c r="V85" i="27"/>
  <c r="V10" i="27"/>
  <c r="V75" i="27"/>
  <c r="V101" i="27"/>
  <c r="V49" i="27"/>
  <c r="V78" i="27"/>
  <c r="V114" i="27"/>
  <c r="V110" i="27"/>
  <c r="V17" i="27"/>
  <c r="V55" i="27"/>
  <c r="AA34" i="27"/>
  <c r="G855" i="20"/>
  <c r="G846" i="20" s="1"/>
  <c r="P1437" i="20"/>
  <c r="P1286" i="20"/>
  <c r="P1344" i="20"/>
  <c r="R41" i="27"/>
  <c r="P1074" i="20"/>
  <c r="P1602" i="20"/>
  <c r="V3" i="27"/>
  <c r="P89" i="20"/>
  <c r="P314" i="20"/>
  <c r="P1691" i="20"/>
  <c r="P356" i="20"/>
  <c r="AA115" i="27"/>
  <c r="AA83" i="27"/>
  <c r="F72" i="27"/>
  <c r="V44" i="27"/>
  <c r="N975" i="20"/>
  <c r="N966" i="20" s="1"/>
  <c r="P642" i="20"/>
  <c r="P989" i="20"/>
  <c r="P331" i="20"/>
  <c r="P1179" i="20"/>
  <c r="P1452" i="20"/>
  <c r="H102" i="27"/>
  <c r="R71" i="27"/>
  <c r="R11" i="27"/>
  <c r="D351" i="20"/>
  <c r="N660" i="20"/>
  <c r="N651" i="20" s="1"/>
  <c r="O411" i="20"/>
  <c r="D201" i="20"/>
  <c r="D1101" i="20"/>
  <c r="E816" i="20"/>
  <c r="N1311" i="20"/>
  <c r="G1725" i="20"/>
  <c r="G1716" i="20" s="1"/>
  <c r="P1103" i="20"/>
  <c r="P268" i="20"/>
  <c r="P181" i="20"/>
  <c r="P703" i="20"/>
  <c r="L76" i="27"/>
  <c r="L69" i="27"/>
  <c r="L49" i="27"/>
  <c r="L14" i="27"/>
  <c r="L21" i="27"/>
  <c r="L13" i="27"/>
  <c r="L10" i="27"/>
  <c r="L75" i="27"/>
  <c r="L98" i="27"/>
  <c r="L62" i="27"/>
  <c r="L81" i="27"/>
  <c r="L17" i="27"/>
  <c r="L12" i="27"/>
  <c r="L90" i="27"/>
  <c r="L16" i="27"/>
  <c r="L54" i="27"/>
  <c r="L19" i="27"/>
  <c r="L25" i="27"/>
  <c r="L95" i="27"/>
  <c r="L101" i="27"/>
  <c r="L88" i="27"/>
  <c r="L109" i="27"/>
  <c r="L102" i="27"/>
  <c r="L38" i="27"/>
  <c r="L52" i="27"/>
  <c r="L85" i="27"/>
  <c r="L87" i="27"/>
  <c r="L110" i="27"/>
  <c r="L26" i="27"/>
  <c r="L67" i="27"/>
  <c r="L28" i="27"/>
  <c r="L48" i="27"/>
  <c r="E1380" i="20"/>
  <c r="E1371" i="20" s="1"/>
  <c r="C1371" i="20"/>
  <c r="L1380" i="20"/>
  <c r="L1371" i="20" s="1"/>
  <c r="J1380" i="20"/>
  <c r="D1380" i="20"/>
  <c r="D1371" i="20" s="1"/>
  <c r="R43" i="27"/>
  <c r="P519" i="20"/>
  <c r="P369" i="20"/>
  <c r="N81" i="27"/>
  <c r="N50" i="27"/>
  <c r="N108" i="27"/>
  <c r="N86" i="27"/>
  <c r="N74" i="27"/>
  <c r="N49" i="27"/>
  <c r="N112" i="27"/>
  <c r="N10" i="27"/>
  <c r="N72" i="27"/>
  <c r="N25" i="27"/>
  <c r="N13" i="27"/>
  <c r="N16" i="27"/>
  <c r="N62" i="27"/>
  <c r="N78" i="27"/>
  <c r="N11" i="27"/>
  <c r="N98" i="27"/>
  <c r="N59" i="27"/>
  <c r="N109" i="27"/>
  <c r="N8" i="27"/>
  <c r="N36" i="27"/>
  <c r="N71" i="27"/>
  <c r="N73" i="27"/>
  <c r="N110" i="27"/>
  <c r="N9" i="27"/>
  <c r="N75" i="27"/>
  <c r="N48" i="27"/>
  <c r="N7" i="27"/>
  <c r="N95" i="27"/>
  <c r="N52" i="27"/>
  <c r="N38" i="27"/>
  <c r="N85" i="27"/>
  <c r="N23" i="27"/>
  <c r="N70" i="27"/>
  <c r="N92" i="27"/>
  <c r="H75" i="27"/>
  <c r="P88" i="27"/>
  <c r="P1303" i="20"/>
  <c r="P417" i="20"/>
  <c r="P826" i="20"/>
  <c r="P886" i="20"/>
  <c r="P421" i="20"/>
  <c r="P1674" i="20"/>
  <c r="P383" i="20"/>
  <c r="H1680" i="20"/>
  <c r="H1671" i="20" s="1"/>
  <c r="F1680" i="20"/>
  <c r="F1671" i="20" s="1"/>
  <c r="C1671" i="20"/>
  <c r="I1680" i="20"/>
  <c r="I1671" i="20" s="1"/>
  <c r="E1680" i="20"/>
  <c r="E1671" i="20" s="1"/>
  <c r="O1680" i="20"/>
  <c r="O1671" i="20" s="1"/>
  <c r="N1680" i="20"/>
  <c r="N1671" i="20" s="1"/>
  <c r="J1680" i="20"/>
  <c r="J1671" i="20" s="1"/>
  <c r="D1680" i="20"/>
  <c r="L1680" i="20"/>
  <c r="L1671" i="20" s="1"/>
  <c r="M1680" i="20"/>
  <c r="M1671" i="20" s="1"/>
  <c r="G1680" i="20"/>
  <c r="G1671" i="20" s="1"/>
  <c r="K1680" i="20"/>
  <c r="K1671" i="20" s="1"/>
  <c r="P418" i="20"/>
  <c r="H3" i="27"/>
  <c r="P77" i="27"/>
  <c r="F55" i="27"/>
  <c r="L23" i="27"/>
  <c r="H90" i="27"/>
  <c r="P763" i="20"/>
  <c r="V35" i="27"/>
  <c r="I1305" i="20"/>
  <c r="I1296" i="20" s="1"/>
  <c r="C1296" i="20"/>
  <c r="G1305" i="20"/>
  <c r="G1296" i="20" s="1"/>
  <c r="O1305" i="20"/>
  <c r="O1296" i="20" s="1"/>
  <c r="L1305" i="20"/>
  <c r="L1296" i="20" s="1"/>
  <c r="D1305" i="20"/>
  <c r="D1296" i="20" s="1"/>
  <c r="N1305" i="20"/>
  <c r="N1296" i="20" s="1"/>
  <c r="M1305" i="20"/>
  <c r="M1296" i="20" s="1"/>
  <c r="K1305" i="20"/>
  <c r="K1296" i="20" s="1"/>
  <c r="J1305" i="20"/>
  <c r="J1296" i="20" s="1"/>
  <c r="H1305" i="20"/>
  <c r="H1296" i="20" s="1"/>
  <c r="F1305" i="20"/>
  <c r="F1296" i="20" s="1"/>
  <c r="E1305" i="20"/>
  <c r="E1296" i="20" s="1"/>
  <c r="AA112" i="27"/>
  <c r="AA87" i="27"/>
  <c r="N876" i="20"/>
  <c r="M1431" i="20"/>
  <c r="M621" i="20"/>
  <c r="H1431" i="20"/>
  <c r="I861" i="20"/>
  <c r="L1431" i="20"/>
  <c r="I831" i="20"/>
  <c r="K330" i="20"/>
  <c r="K321" i="20" s="1"/>
  <c r="C321" i="20"/>
  <c r="J330" i="20"/>
  <c r="J321" i="20" s="1"/>
  <c r="I330" i="20"/>
  <c r="I321" i="20" s="1"/>
  <c r="H330" i="20"/>
  <c r="H321" i="20" s="1"/>
  <c r="G330" i="20"/>
  <c r="G321" i="20" s="1"/>
  <c r="F330" i="20"/>
  <c r="F321" i="20" s="1"/>
  <c r="E330" i="20"/>
  <c r="E321" i="20" s="1"/>
  <c r="D330" i="20"/>
  <c r="O330" i="20"/>
  <c r="O321" i="20" s="1"/>
  <c r="N330" i="20"/>
  <c r="N321" i="20" s="1"/>
  <c r="M330" i="20"/>
  <c r="M321" i="20" s="1"/>
  <c r="L330" i="20"/>
  <c r="L321" i="20" s="1"/>
  <c r="F621" i="20"/>
  <c r="D546" i="20"/>
  <c r="G891" i="20"/>
  <c r="J1551" i="20"/>
  <c r="M861" i="20"/>
  <c r="H1131" i="20"/>
  <c r="G861" i="20"/>
  <c r="G831" i="20"/>
  <c r="H1551" i="20"/>
  <c r="K1551" i="20"/>
  <c r="O1566" i="20"/>
  <c r="D816" i="20"/>
  <c r="M576" i="20"/>
  <c r="P292" i="20"/>
  <c r="G1251" i="20"/>
  <c r="F651" i="20"/>
  <c r="F666" i="20"/>
  <c r="F546" i="20"/>
  <c r="O621" i="20"/>
  <c r="J1251" i="20"/>
  <c r="J666" i="20"/>
  <c r="K1581" i="20"/>
  <c r="N546" i="20"/>
  <c r="K666" i="20"/>
  <c r="N951" i="20"/>
  <c r="F861" i="20"/>
  <c r="N396" i="20"/>
  <c r="L891" i="20"/>
  <c r="D1581" i="20"/>
  <c r="D1551" i="20"/>
  <c r="D1251" i="20"/>
  <c r="P1432" i="20"/>
  <c r="P457" i="20"/>
  <c r="F471" i="20"/>
  <c r="D396" i="20"/>
  <c r="P771" i="20"/>
  <c r="P141" i="20"/>
  <c r="P1567" i="20"/>
  <c r="O1581" i="20"/>
  <c r="K621" i="20"/>
  <c r="I1131" i="20"/>
  <c r="H471" i="20"/>
  <c r="P487" i="20"/>
  <c r="L621" i="20"/>
  <c r="O396" i="20"/>
  <c r="D681" i="20"/>
  <c r="P1402" i="20"/>
  <c r="J591" i="20"/>
  <c r="D1386" i="20"/>
  <c r="G666" i="20"/>
  <c r="I1236" i="20"/>
  <c r="M1146" i="20"/>
  <c r="L1131" i="20"/>
  <c r="P1147" i="20"/>
  <c r="J861" i="20"/>
  <c r="K591" i="20"/>
  <c r="H1386" i="20"/>
  <c r="J1236" i="20"/>
  <c r="L591" i="20"/>
  <c r="J606" i="20"/>
  <c r="L606" i="20"/>
  <c r="G1551" i="20"/>
  <c r="I666" i="20"/>
  <c r="H681" i="20"/>
  <c r="P1237" i="20"/>
  <c r="E1401" i="20"/>
  <c r="N51" i="20"/>
  <c r="M930" i="20"/>
  <c r="M921" i="20" s="1"/>
  <c r="K930" i="20"/>
  <c r="K921" i="20" s="1"/>
  <c r="J930" i="20"/>
  <c r="J921" i="20" s="1"/>
  <c r="O930" i="20"/>
  <c r="O921" i="20" s="1"/>
  <c r="I930" i="20"/>
  <c r="I921" i="20" s="1"/>
  <c r="C921" i="20"/>
  <c r="E930" i="20"/>
  <c r="E921" i="20" s="1"/>
  <c r="D930" i="20"/>
  <c r="D921" i="20" s="1"/>
  <c r="L930" i="20"/>
  <c r="L921" i="20" s="1"/>
  <c r="H930" i="20"/>
  <c r="H921" i="20" s="1"/>
  <c r="G930" i="20"/>
  <c r="G921" i="20" s="1"/>
  <c r="F930" i="20"/>
  <c r="N930" i="20"/>
  <c r="N921" i="20" s="1"/>
  <c r="J1581" i="20"/>
  <c r="D1131" i="20"/>
  <c r="M396" i="20"/>
  <c r="N1551" i="20"/>
  <c r="O591" i="20"/>
  <c r="O1386" i="20"/>
  <c r="D831" i="20"/>
  <c r="F1131" i="20"/>
  <c r="F456" i="20"/>
  <c r="M606" i="20"/>
  <c r="C1739" i="20"/>
  <c r="K45" i="20"/>
  <c r="J45" i="20"/>
  <c r="I45" i="20"/>
  <c r="H45" i="20"/>
  <c r="G45" i="20"/>
  <c r="F45" i="20"/>
  <c r="E45" i="20"/>
  <c r="D45" i="20"/>
  <c r="O45" i="20"/>
  <c r="N45" i="20"/>
  <c r="M45" i="20"/>
  <c r="L45" i="20"/>
  <c r="N486" i="20"/>
  <c r="P682" i="20"/>
  <c r="I891" i="20"/>
  <c r="L1401" i="20"/>
  <c r="I66" i="20"/>
  <c r="E291" i="20"/>
  <c r="N1566" i="20"/>
  <c r="P1132" i="20"/>
  <c r="F291" i="20"/>
  <c r="N1581" i="20"/>
  <c r="K951" i="20"/>
  <c r="I471" i="20"/>
  <c r="M591" i="20"/>
  <c r="L1386" i="20"/>
  <c r="K396" i="20"/>
  <c r="E681" i="20"/>
  <c r="N1236" i="20"/>
  <c r="I1401" i="20"/>
  <c r="C7" i="19"/>
  <c r="D88" i="19" s="1"/>
  <c r="J66" i="20"/>
  <c r="M129" i="7"/>
  <c r="M15" i="7"/>
  <c r="J951" i="20"/>
  <c r="K861" i="20"/>
  <c r="H456" i="20"/>
  <c r="P1252" i="20"/>
  <c r="N606" i="20"/>
  <c r="L396" i="20"/>
  <c r="O666" i="20"/>
  <c r="E486" i="20"/>
  <c r="O681" i="20"/>
  <c r="F681" i="20"/>
  <c r="M1401" i="20"/>
  <c r="G37" i="20"/>
  <c r="F37" i="20"/>
  <c r="E37" i="20"/>
  <c r="D37" i="20"/>
  <c r="O37" i="20"/>
  <c r="N37" i="20"/>
  <c r="C36" i="20"/>
  <c r="M37" i="20"/>
  <c r="L37" i="20"/>
  <c r="K37" i="20"/>
  <c r="J37" i="20"/>
  <c r="I37" i="20"/>
  <c r="H37" i="20"/>
  <c r="K51" i="20"/>
  <c r="M66" i="20"/>
  <c r="E39" i="20"/>
  <c r="D39" i="20"/>
  <c r="O39" i="20"/>
  <c r="N39" i="20"/>
  <c r="M39" i="20"/>
  <c r="L39" i="20"/>
  <c r="K39" i="20"/>
  <c r="J39" i="20"/>
  <c r="I39" i="20"/>
  <c r="H39" i="20"/>
  <c r="G39" i="20"/>
  <c r="F39" i="20"/>
  <c r="P1387" i="20"/>
  <c r="H1581" i="20"/>
  <c r="G1566" i="20"/>
  <c r="C1737" i="20"/>
  <c r="M43" i="20"/>
  <c r="L43" i="20"/>
  <c r="K43" i="20"/>
  <c r="J43" i="20"/>
  <c r="I43" i="20"/>
  <c r="H43" i="20"/>
  <c r="G43" i="20"/>
  <c r="F43" i="20"/>
  <c r="E43" i="20"/>
  <c r="D43" i="20"/>
  <c r="O43" i="20"/>
  <c r="N43" i="20"/>
  <c r="I291" i="20"/>
  <c r="M1011" i="20"/>
  <c r="F1146" i="20"/>
  <c r="I456" i="20"/>
  <c r="D591" i="20"/>
  <c r="N591" i="20"/>
  <c r="G681" i="20"/>
  <c r="J681" i="20"/>
  <c r="D1236" i="20"/>
  <c r="E1476" i="20"/>
  <c r="N1401" i="20"/>
  <c r="E51" i="20"/>
  <c r="P52" i="20"/>
  <c r="Q52" i="20" s="1"/>
  <c r="F66" i="20"/>
  <c r="D1146" i="20"/>
  <c r="P577" i="20"/>
  <c r="P622" i="20"/>
  <c r="N1011" i="20"/>
  <c r="K456" i="20"/>
  <c r="F1251" i="20"/>
  <c r="F38" i="20"/>
  <c r="E38" i="20"/>
  <c r="D38" i="20"/>
  <c r="O38" i="20"/>
  <c r="N38" i="20"/>
  <c r="M38" i="20"/>
  <c r="L38" i="20"/>
  <c r="K38" i="20"/>
  <c r="J38" i="20"/>
  <c r="I38" i="20"/>
  <c r="H38" i="20"/>
  <c r="G38" i="20"/>
  <c r="P607" i="20"/>
  <c r="H666" i="20"/>
  <c r="F486" i="20"/>
  <c r="O891" i="20"/>
  <c r="E576" i="20"/>
  <c r="E1236" i="20"/>
  <c r="M1476" i="20"/>
  <c r="G51" i="20"/>
  <c r="C1740" i="20"/>
  <c r="J46" i="20"/>
  <c r="I46" i="20"/>
  <c r="H46" i="20"/>
  <c r="G46" i="20"/>
  <c r="F46" i="20"/>
  <c r="E46" i="20"/>
  <c r="D46" i="20"/>
  <c r="O46" i="20"/>
  <c r="N46" i="20"/>
  <c r="M46" i="20"/>
  <c r="L46" i="20"/>
  <c r="K46" i="20"/>
  <c r="H951" i="20"/>
  <c r="P547" i="20"/>
  <c r="O546" i="20"/>
  <c r="P1552" i="20"/>
  <c r="L291" i="20"/>
  <c r="E456" i="20"/>
  <c r="M456" i="20"/>
  <c r="N471" i="20"/>
  <c r="C1735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G1386" i="20"/>
  <c r="H486" i="20"/>
  <c r="K681" i="20"/>
  <c r="N891" i="20"/>
  <c r="H576" i="20"/>
  <c r="F576" i="20"/>
  <c r="F1236" i="20"/>
  <c r="O1476" i="20"/>
  <c r="H51" i="20"/>
  <c r="C1736" i="20"/>
  <c r="N42" i="20"/>
  <c r="M42" i="20"/>
  <c r="L42" i="20"/>
  <c r="K42" i="20"/>
  <c r="J42" i="20"/>
  <c r="I42" i="20"/>
  <c r="H42" i="20"/>
  <c r="G42" i="20"/>
  <c r="F42" i="20"/>
  <c r="E42" i="20"/>
  <c r="D42" i="20"/>
  <c r="O42" i="20"/>
  <c r="P592" i="20"/>
  <c r="D486" i="20"/>
  <c r="O951" i="20"/>
  <c r="L951" i="20"/>
  <c r="M291" i="20"/>
  <c r="D1011" i="20"/>
  <c r="L456" i="20"/>
  <c r="O471" i="20"/>
  <c r="G591" i="20"/>
  <c r="I396" i="20"/>
  <c r="P667" i="20"/>
  <c r="J486" i="20"/>
  <c r="P892" i="20"/>
  <c r="P1477" i="20"/>
  <c r="D1401" i="20"/>
  <c r="P832" i="20"/>
  <c r="P952" i="20"/>
  <c r="O291" i="20"/>
  <c r="E1011" i="20"/>
  <c r="P1012" i="20"/>
  <c r="I1146" i="20"/>
  <c r="D471" i="20"/>
  <c r="N1386" i="20"/>
  <c r="E891" i="20"/>
  <c r="J576" i="20"/>
  <c r="H1236" i="20"/>
  <c r="G1476" i="20"/>
  <c r="G1401" i="20"/>
  <c r="J51" i="20"/>
  <c r="M471" i="20"/>
  <c r="O1401" i="20"/>
  <c r="E1581" i="20"/>
  <c r="P1582" i="20"/>
  <c r="D951" i="20"/>
  <c r="J621" i="20"/>
  <c r="N1131" i="20"/>
  <c r="D291" i="20"/>
  <c r="F1011" i="20"/>
  <c r="P862" i="20"/>
  <c r="O456" i="20"/>
  <c r="P472" i="20"/>
  <c r="P397" i="20"/>
  <c r="L486" i="20"/>
  <c r="K1236" i="20"/>
  <c r="H1476" i="20"/>
  <c r="C1738" i="20"/>
  <c r="L44" i="20"/>
  <c r="K44" i="20"/>
  <c r="J44" i="20"/>
  <c r="I44" i="20"/>
  <c r="H44" i="20"/>
  <c r="G44" i="20"/>
  <c r="F44" i="20"/>
  <c r="E44" i="20"/>
  <c r="D44" i="20"/>
  <c r="O44" i="20"/>
  <c r="N44" i="20"/>
  <c r="M44" i="20"/>
  <c r="P67" i="20"/>
  <c r="N681" i="20"/>
  <c r="L576" i="20"/>
  <c r="J1476" i="20"/>
  <c r="M51" i="20"/>
  <c r="G66" i="20"/>
  <c r="P203" i="20" l="1"/>
  <c r="P1163" i="20"/>
  <c r="P726" i="20"/>
  <c r="F89" i="27"/>
  <c r="O1371" i="20"/>
  <c r="D1161" i="20"/>
  <c r="J1371" i="20"/>
  <c r="P1028" i="20"/>
  <c r="P713" i="20"/>
  <c r="I1371" i="20"/>
  <c r="D1266" i="20"/>
  <c r="P1268" i="20"/>
  <c r="P1688" i="20"/>
  <c r="P1373" i="20"/>
  <c r="C34" i="20"/>
  <c r="P1266" i="20"/>
  <c r="P711" i="20"/>
  <c r="P1206" i="20"/>
  <c r="P186" i="20"/>
  <c r="P615" i="20"/>
  <c r="P1560" i="20"/>
  <c r="P1506" i="20"/>
  <c r="P1416" i="20"/>
  <c r="P441" i="20"/>
  <c r="P1116" i="20"/>
  <c r="P126" i="20"/>
  <c r="P996" i="20"/>
  <c r="P1161" i="20"/>
  <c r="P300" i="20"/>
  <c r="P1020" i="20"/>
  <c r="P1395" i="20"/>
  <c r="P1590" i="20"/>
  <c r="P690" i="20"/>
  <c r="P1260" i="20"/>
  <c r="P405" i="20"/>
  <c r="P495" i="20"/>
  <c r="P600" i="20"/>
  <c r="P60" i="20"/>
  <c r="Q60" i="20" s="1"/>
  <c r="P630" i="20"/>
  <c r="P585" i="20"/>
  <c r="P420" i="20"/>
  <c r="P465" i="20"/>
  <c r="P675" i="20"/>
  <c r="P75" i="20"/>
  <c r="P1410" i="20"/>
  <c r="P1446" i="20"/>
  <c r="P906" i="20"/>
  <c r="P840" i="20"/>
  <c r="P1110" i="20"/>
  <c r="P1245" i="20"/>
  <c r="P1536" i="20"/>
  <c r="P1140" i="20"/>
  <c r="P201" i="20"/>
  <c r="P480" i="20"/>
  <c r="P276" i="20"/>
  <c r="P870" i="20"/>
  <c r="P366" i="20"/>
  <c r="P231" i="20"/>
  <c r="P786" i="20"/>
  <c r="P960" i="20"/>
  <c r="P1086" i="20"/>
  <c r="P381" i="20"/>
  <c r="P1701" i="20"/>
  <c r="P1056" i="20"/>
  <c r="P1521" i="20"/>
  <c r="P336" i="20"/>
  <c r="P261" i="20"/>
  <c r="P1155" i="20"/>
  <c r="P1071" i="20"/>
  <c r="P1575" i="20"/>
  <c r="P1485" i="20"/>
  <c r="P1191" i="20"/>
  <c r="P111" i="20"/>
  <c r="P1356" i="20"/>
  <c r="P696" i="20"/>
  <c r="P1326" i="20"/>
  <c r="P81" i="20"/>
  <c r="P900" i="20"/>
  <c r="P555" i="20"/>
  <c r="P981" i="20"/>
  <c r="P426" i="20"/>
  <c r="P1686" i="20"/>
  <c r="P645" i="20"/>
  <c r="P171" i="20"/>
  <c r="P306" i="20"/>
  <c r="T43" i="27"/>
  <c r="T77" i="27"/>
  <c r="T28" i="27"/>
  <c r="T39" i="27"/>
  <c r="P1656" i="20"/>
  <c r="T42" i="27"/>
  <c r="P1026" i="20"/>
  <c r="T50" i="27"/>
  <c r="T27" i="27"/>
  <c r="P825" i="20"/>
  <c r="P660" i="20"/>
  <c r="P246" i="20"/>
  <c r="T5" i="27"/>
  <c r="P936" i="20"/>
  <c r="P351" i="20"/>
  <c r="P756" i="20"/>
  <c r="P156" i="20"/>
  <c r="P96" i="20"/>
  <c r="P1221" i="20"/>
  <c r="P1341" i="20"/>
  <c r="P1041" i="20"/>
  <c r="T99" i="27"/>
  <c r="T93" i="27"/>
  <c r="P801" i="20"/>
  <c r="P1440" i="20"/>
  <c r="P966" i="20"/>
  <c r="T56" i="27"/>
  <c r="P741" i="20"/>
  <c r="P411" i="20"/>
  <c r="P1101" i="20"/>
  <c r="P651" i="20"/>
  <c r="P1281" i="20"/>
  <c r="T88" i="27"/>
  <c r="N116" i="27"/>
  <c r="P876" i="20"/>
  <c r="P216" i="20"/>
  <c r="P1311" i="20"/>
  <c r="T94" i="27"/>
  <c r="T15" i="27"/>
  <c r="V116" i="27"/>
  <c r="D116" i="27"/>
  <c r="T76" i="27"/>
  <c r="P636" i="20"/>
  <c r="F116" i="27"/>
  <c r="P1320" i="20"/>
  <c r="T60" i="27"/>
  <c r="T31" i="27"/>
  <c r="P846" i="20"/>
  <c r="T98" i="27"/>
  <c r="T86" i="27"/>
  <c r="T40" i="27"/>
  <c r="T107" i="27"/>
  <c r="L116" i="27"/>
  <c r="T37" i="27"/>
  <c r="P116" i="27"/>
  <c r="T87" i="27"/>
  <c r="P1611" i="20"/>
  <c r="T38" i="27"/>
  <c r="P750" i="20"/>
  <c r="T45" i="27"/>
  <c r="T112" i="27"/>
  <c r="P1296" i="20"/>
  <c r="T110" i="27"/>
  <c r="T100" i="27"/>
  <c r="P225" i="20"/>
  <c r="T64" i="27"/>
  <c r="T105" i="27"/>
  <c r="T109" i="27"/>
  <c r="T36" i="27"/>
  <c r="P816" i="20"/>
  <c r="P975" i="20"/>
  <c r="T20" i="27"/>
  <c r="T101" i="27"/>
  <c r="T91" i="27"/>
  <c r="T12" i="27"/>
  <c r="T49" i="27"/>
  <c r="T19" i="27"/>
  <c r="T89" i="27"/>
  <c r="T48" i="27"/>
  <c r="T52" i="27"/>
  <c r="T75" i="27"/>
  <c r="T71" i="27"/>
  <c r="T111" i="27"/>
  <c r="T53" i="27"/>
  <c r="T103" i="27"/>
  <c r="T6" i="27"/>
  <c r="T69" i="27"/>
  <c r="T67" i="27"/>
  <c r="T16" i="27"/>
  <c r="T102" i="27"/>
  <c r="T23" i="27"/>
  <c r="T114" i="27"/>
  <c r="T97" i="27"/>
  <c r="T8" i="27"/>
  <c r="T82" i="27"/>
  <c r="T3" i="27"/>
  <c r="T51" i="27"/>
  <c r="T7" i="27"/>
  <c r="T11" i="27"/>
  <c r="T18" i="27"/>
  <c r="T72" i="27"/>
  <c r="T80" i="27"/>
  <c r="T54" i="27"/>
  <c r="T85" i="27"/>
  <c r="T62" i="27"/>
  <c r="T61" i="27"/>
  <c r="T26" i="27"/>
  <c r="T73" i="27"/>
  <c r="T30" i="27"/>
  <c r="T63" i="27"/>
  <c r="T14" i="27"/>
  <c r="T47" i="27"/>
  <c r="T17" i="27"/>
  <c r="T13" i="27"/>
  <c r="T78" i="27"/>
  <c r="T21" i="27"/>
  <c r="T24" i="27"/>
  <c r="T10" i="27"/>
  <c r="T70" i="27"/>
  <c r="T95" i="27"/>
  <c r="T9" i="27"/>
  <c r="T113" i="27"/>
  <c r="T90" i="27"/>
  <c r="T81" i="27"/>
  <c r="T25" i="27"/>
  <c r="T66" i="27"/>
  <c r="T29" i="27"/>
  <c r="T74" i="27"/>
  <c r="T22" i="27"/>
  <c r="T58" i="27"/>
  <c r="D1491" i="20"/>
  <c r="P1491" i="20" s="1"/>
  <c r="P1500" i="20"/>
  <c r="P1185" i="20"/>
  <c r="P885" i="20"/>
  <c r="P540" i="20"/>
  <c r="D531" i="20"/>
  <c r="P531" i="20" s="1"/>
  <c r="D1461" i="20"/>
  <c r="P1461" i="20" s="1"/>
  <c r="P1470" i="20"/>
  <c r="T55" i="27"/>
  <c r="D1176" i="20"/>
  <c r="P1176" i="20" s="1"/>
  <c r="P1380" i="20"/>
  <c r="T106" i="27"/>
  <c r="T104" i="27"/>
  <c r="P855" i="20"/>
  <c r="H116" i="27"/>
  <c r="T32" i="27"/>
  <c r="T57" i="27"/>
  <c r="R116" i="27"/>
  <c r="T35" i="27"/>
  <c r="T108" i="27"/>
  <c r="P510" i="20"/>
  <c r="D501" i="20"/>
  <c r="P501" i="20" s="1"/>
  <c r="T4" i="27"/>
  <c r="T83" i="27"/>
  <c r="P1605" i="20"/>
  <c r="D1596" i="20"/>
  <c r="P1596" i="20" s="1"/>
  <c r="T65" i="27"/>
  <c r="T96" i="27"/>
  <c r="T92" i="27"/>
  <c r="T68" i="27"/>
  <c r="P1290" i="20"/>
  <c r="D561" i="20"/>
  <c r="P561" i="20" s="1"/>
  <c r="P570" i="20"/>
  <c r="T84" i="27"/>
  <c r="T59" i="27"/>
  <c r="P525" i="20"/>
  <c r="D516" i="20"/>
  <c r="P516" i="20" s="1"/>
  <c r="P1620" i="20"/>
  <c r="P1680" i="20"/>
  <c r="D1671" i="20"/>
  <c r="P1671" i="20" s="1"/>
  <c r="T34" i="27"/>
  <c r="AA116" i="27"/>
  <c r="AB56" i="27" s="1"/>
  <c r="T44" i="27"/>
  <c r="P1725" i="20"/>
  <c r="E1716" i="20"/>
  <c r="P1716" i="20" s="1"/>
  <c r="D1626" i="20"/>
  <c r="P1626" i="20" s="1"/>
  <c r="P1635" i="20"/>
  <c r="P1305" i="20"/>
  <c r="T33" i="27"/>
  <c r="T79" i="27"/>
  <c r="P1650" i="20"/>
  <c r="D1641" i="20"/>
  <c r="P1641" i="20" s="1"/>
  <c r="T41" i="27"/>
  <c r="T46" i="27"/>
  <c r="P1431" i="20"/>
  <c r="D321" i="20"/>
  <c r="P321" i="20" s="1"/>
  <c r="P330" i="20"/>
  <c r="D25" i="19"/>
  <c r="P831" i="20"/>
  <c r="D99" i="19"/>
  <c r="D42" i="19"/>
  <c r="D61" i="19"/>
  <c r="D47" i="19"/>
  <c r="P546" i="20"/>
  <c r="P38" i="20"/>
  <c r="D46" i="19"/>
  <c r="D37" i="19"/>
  <c r="D73" i="19"/>
  <c r="D32" i="19"/>
  <c r="P861" i="20"/>
  <c r="D111" i="19"/>
  <c r="P1131" i="20"/>
  <c r="D110" i="19"/>
  <c r="P396" i="20"/>
  <c r="P1551" i="20"/>
  <c r="P1011" i="20"/>
  <c r="P1146" i="20"/>
  <c r="P1566" i="20"/>
  <c r="P66" i="20"/>
  <c r="P891" i="20"/>
  <c r="D44" i="19"/>
  <c r="P1401" i="20"/>
  <c r="P486" i="20"/>
  <c r="P1476" i="20"/>
  <c r="P471" i="20"/>
  <c r="P951" i="20"/>
  <c r="P666" i="20"/>
  <c r="P43" i="20"/>
  <c r="P1251" i="20"/>
  <c r="P606" i="20"/>
  <c r="P39" i="20"/>
  <c r="D109" i="19"/>
  <c r="P1236" i="20"/>
  <c r="P621" i="20"/>
  <c r="P1581" i="20"/>
  <c r="P1386" i="20"/>
  <c r="P45" i="20"/>
  <c r="P42" i="20"/>
  <c r="P591" i="20"/>
  <c r="P681" i="20"/>
  <c r="P51" i="20"/>
  <c r="P46" i="20"/>
  <c r="P930" i="20"/>
  <c r="F921" i="20"/>
  <c r="P921" i="20" s="1"/>
  <c r="P41" i="20"/>
  <c r="P44" i="20"/>
  <c r="P456" i="20"/>
  <c r="P291" i="20"/>
  <c r="P576" i="20"/>
  <c r="I36" i="20"/>
  <c r="I34" i="20" s="1"/>
  <c r="G36" i="20"/>
  <c r="G34" i="20" s="1"/>
  <c r="J36" i="20"/>
  <c r="J34" i="20" s="1"/>
  <c r="K36" i="20"/>
  <c r="K34" i="20" s="1"/>
  <c r="L36" i="20"/>
  <c r="L34" i="20" s="1"/>
  <c r="M36" i="20"/>
  <c r="M34" i="20" s="1"/>
  <c r="N36" i="20"/>
  <c r="N34" i="20" s="1"/>
  <c r="O36" i="20"/>
  <c r="O34" i="20" s="1"/>
  <c r="D36" i="20"/>
  <c r="D11" i="19"/>
  <c r="D27" i="19"/>
  <c r="D87" i="19"/>
  <c r="D21" i="19"/>
  <c r="D106" i="19"/>
  <c r="D74" i="19"/>
  <c r="D117" i="19"/>
  <c r="D95" i="19"/>
  <c r="D77" i="19"/>
  <c r="D86" i="19"/>
  <c r="D67" i="19"/>
  <c r="D58" i="19"/>
  <c r="D66" i="19"/>
  <c r="D52" i="19"/>
  <c r="D60" i="19"/>
  <c r="D103" i="19"/>
  <c r="D49" i="19"/>
  <c r="D12" i="19"/>
  <c r="D17" i="19"/>
  <c r="D43" i="19"/>
  <c r="D39" i="19"/>
  <c r="D100" i="19"/>
  <c r="D80" i="19"/>
  <c r="D108" i="19"/>
  <c r="D90" i="19"/>
  <c r="D54" i="19"/>
  <c r="D70" i="19"/>
  <c r="D19" i="19"/>
  <c r="D62" i="19"/>
  <c r="D101" i="19"/>
  <c r="D23" i="19"/>
  <c r="D112" i="19"/>
  <c r="D40" i="19"/>
  <c r="D116" i="19"/>
  <c r="D59" i="19"/>
  <c r="D55" i="19"/>
  <c r="D85" i="19"/>
  <c r="D72" i="19"/>
  <c r="D97" i="19"/>
  <c r="D50" i="19"/>
  <c r="D53" i="19"/>
  <c r="D26" i="19"/>
  <c r="D48" i="19"/>
  <c r="D119" i="19"/>
  <c r="D31" i="19"/>
  <c r="D102" i="19"/>
  <c r="D30" i="19"/>
  <c r="D71" i="19"/>
  <c r="D120" i="19"/>
  <c r="D35" i="19"/>
  <c r="D28" i="19"/>
  <c r="D118" i="19"/>
  <c r="D68" i="19"/>
  <c r="D94" i="19"/>
  <c r="D96" i="19"/>
  <c r="D98" i="19"/>
  <c r="D92" i="19"/>
  <c r="D93" i="19"/>
  <c r="D83" i="19"/>
  <c r="D24" i="19"/>
  <c r="D89" i="19"/>
  <c r="D69" i="19"/>
  <c r="D64" i="19"/>
  <c r="D81" i="19"/>
  <c r="D115" i="19"/>
  <c r="D15" i="19"/>
  <c r="D78" i="19"/>
  <c r="D57" i="19"/>
  <c r="D13" i="19"/>
  <c r="D79" i="19"/>
  <c r="D10" i="19"/>
  <c r="D22" i="19"/>
  <c r="D114" i="19"/>
  <c r="D29" i="19"/>
  <c r="D91" i="19"/>
  <c r="D34" i="19"/>
  <c r="D82" i="19"/>
  <c r="D41" i="19"/>
  <c r="D105" i="19"/>
  <c r="D113" i="19"/>
  <c r="D20" i="19"/>
  <c r="D51" i="19"/>
  <c r="D38" i="19"/>
  <c r="D18" i="19"/>
  <c r="D107" i="19"/>
  <c r="D14" i="19"/>
  <c r="D45" i="19"/>
  <c r="D16" i="19"/>
  <c r="D76" i="19"/>
  <c r="D56" i="19"/>
  <c r="D9" i="19"/>
  <c r="D84" i="19"/>
  <c r="D104" i="19"/>
  <c r="D75" i="19"/>
  <c r="D33" i="19"/>
  <c r="D65" i="19"/>
  <c r="P37" i="20"/>
  <c r="D8" i="19"/>
  <c r="D63" i="19"/>
  <c r="D36" i="19"/>
  <c r="E36" i="20"/>
  <c r="H36" i="20"/>
  <c r="H34" i="20" s="1"/>
  <c r="F36" i="20"/>
  <c r="P1371" i="20" l="1"/>
  <c r="D34" i="20"/>
  <c r="AB96" i="27"/>
  <c r="AB84" i="27"/>
  <c r="AB110" i="27"/>
  <c r="AB115" i="27"/>
  <c r="E34" i="20"/>
  <c r="AB87" i="27"/>
  <c r="T116" i="27"/>
  <c r="AB10" i="27"/>
  <c r="AB25" i="27"/>
  <c r="AB47" i="27"/>
  <c r="AB89" i="27"/>
  <c r="AB81" i="27"/>
  <c r="AB7" i="27"/>
  <c r="AB78" i="27"/>
  <c r="AB19" i="27"/>
  <c r="AB77" i="27"/>
  <c r="AB35" i="27"/>
  <c r="AB24" i="27"/>
  <c r="AB3" i="27"/>
  <c r="AB18" i="27"/>
  <c r="AB72" i="27"/>
  <c r="AB39" i="27"/>
  <c r="AB97" i="27"/>
  <c r="AB31" i="27"/>
  <c r="AB94" i="27"/>
  <c r="AB101" i="27"/>
  <c r="AB63" i="27"/>
  <c r="AB113" i="27"/>
  <c r="AB61" i="27"/>
  <c r="AB91" i="27"/>
  <c r="AB8" i="27"/>
  <c r="AB66" i="27"/>
  <c r="AB73" i="27"/>
  <c r="AB33" i="27"/>
  <c r="AB12" i="27"/>
  <c r="AB90" i="27"/>
  <c r="AB42" i="27"/>
  <c r="AB71" i="27"/>
  <c r="AB36" i="27"/>
  <c r="AB108" i="27"/>
  <c r="AB20" i="27"/>
  <c r="AB75" i="27"/>
  <c r="AB114" i="27"/>
  <c r="AB43" i="27"/>
  <c r="AB88" i="27"/>
  <c r="AB55" i="27"/>
  <c r="AB106" i="27"/>
  <c r="AB57" i="27"/>
  <c r="AB13" i="27"/>
  <c r="AB85" i="27"/>
  <c r="AB46" i="27"/>
  <c r="AB69" i="27"/>
  <c r="AB76" i="27"/>
  <c r="AB70" i="27"/>
  <c r="AB26" i="27"/>
  <c r="AB22" i="27"/>
  <c r="AB109" i="27"/>
  <c r="AB4" i="27"/>
  <c r="AB11" i="27"/>
  <c r="AB51" i="27"/>
  <c r="AB103" i="27"/>
  <c r="AB93" i="27"/>
  <c r="AB105" i="27"/>
  <c r="AB68" i="27"/>
  <c r="AB58" i="27"/>
  <c r="AB40" i="27"/>
  <c r="AB6" i="27"/>
  <c r="AB37" i="27"/>
  <c r="AB60" i="27"/>
  <c r="AB92" i="27"/>
  <c r="AB99" i="27"/>
  <c r="AB50" i="27"/>
  <c r="AB52" i="27"/>
  <c r="AB80" i="27"/>
  <c r="AB104" i="27"/>
  <c r="AB28" i="27"/>
  <c r="AB41" i="27"/>
  <c r="AB111" i="27"/>
  <c r="AB62" i="27"/>
  <c r="AB9" i="27"/>
  <c r="AB23" i="27"/>
  <c r="AB21" i="27"/>
  <c r="AB100" i="27"/>
  <c r="AB17" i="27"/>
  <c r="AB5" i="27"/>
  <c r="AB45" i="27"/>
  <c r="AB54" i="27"/>
  <c r="AB98" i="27"/>
  <c r="AB48" i="27"/>
  <c r="AB14" i="27"/>
  <c r="AB16" i="27"/>
  <c r="AB79" i="27"/>
  <c r="AB95" i="27"/>
  <c r="AB86" i="27"/>
  <c r="AB82" i="27"/>
  <c r="AB74" i="27"/>
  <c r="AB67" i="27"/>
  <c r="AB49" i="27"/>
  <c r="AB29" i="27"/>
  <c r="AB30" i="27"/>
  <c r="AB102" i="27"/>
  <c r="AB59" i="27"/>
  <c r="AB15" i="27"/>
  <c r="AB44" i="27"/>
  <c r="AB53" i="27"/>
  <c r="AB65" i="27"/>
  <c r="AB83" i="27"/>
  <c r="AB64" i="27"/>
  <c r="AB34" i="27"/>
  <c r="AB107" i="27"/>
  <c r="AB27" i="27"/>
  <c r="AB38" i="27"/>
  <c r="AB32" i="27"/>
  <c r="AB112" i="27"/>
  <c r="F34" i="20"/>
  <c r="P36" i="20"/>
  <c r="P34" i="20" s="1"/>
  <c r="D7" i="19"/>
  <c r="AB116" i="27" l="1"/>
</calcChain>
</file>

<file path=xl/sharedStrings.xml><?xml version="1.0" encoding="utf-8"?>
<sst xmlns="http://schemas.openxmlformats.org/spreadsheetml/2006/main" count="6640" uniqueCount="558">
  <si>
    <t>Secretaría de Finanzas y Administración</t>
  </si>
  <si>
    <t>Dirección de Operación Financiera</t>
  </si>
  <si>
    <t>CÁLCULO DE LOS COEFICIENTES DE DESARROLLO RELATIVO PARA EL EJERCICIO FISCAL 2020, CON BASE EN ACTUALIZACIÓN</t>
  </si>
  <si>
    <t>DE LAS VARIABLES DE LA RECAUDACIÓN DE LOS DERECHOS DE ALUMBRADO PÚBLICO 2018 Y PARTICIPACIONES PAGADAS DE 2019, 2DA. PARTE.</t>
  </si>
  <si>
    <t>ASÍ COMO LAS DE SUPERFICIE, DENSIDAD D POBLACIÓN Y NÚMERO DE LOCALIDADES</t>
  </si>
  <si>
    <t>Valores Absolutos</t>
  </si>
  <si>
    <t>Valores Relativos</t>
  </si>
  <si>
    <t xml:space="preserve"> </t>
  </si>
  <si>
    <t>Supefrficie</t>
  </si>
  <si>
    <t>Densidad</t>
  </si>
  <si>
    <t>Población</t>
  </si>
  <si>
    <t>Coefic. Población</t>
  </si>
  <si>
    <t xml:space="preserve">Recaudación  </t>
  </si>
  <si>
    <t xml:space="preserve">Paricip. Pagadas </t>
  </si>
  <si>
    <t>N° de</t>
  </si>
  <si>
    <t>Suma</t>
  </si>
  <si>
    <t>Coeficiente</t>
  </si>
  <si>
    <t>COEFIC.</t>
  </si>
  <si>
    <t>DIF</t>
  </si>
  <si>
    <t>RECAUDACIÓN DAP</t>
  </si>
  <si>
    <t>PART PAGAAS 2DA PARTE</t>
  </si>
  <si>
    <t>Clave</t>
  </si>
  <si>
    <t>Km2</t>
  </si>
  <si>
    <t>Población /Km2</t>
  </si>
  <si>
    <t>DAP 2019</t>
  </si>
  <si>
    <t>2da. Parte 2019</t>
  </si>
  <si>
    <t>Localidades</t>
  </si>
  <si>
    <t>Coeficientes</t>
  </si>
  <si>
    <t>para 2020</t>
  </si>
  <si>
    <t>MUNICIPIO</t>
  </si>
  <si>
    <t>PARA 2019</t>
  </si>
  <si>
    <t>PARA 2020</t>
  </si>
  <si>
    <t>%</t>
  </si>
  <si>
    <t>Mpio</t>
  </si>
  <si>
    <t>Municipios</t>
  </si>
  <si>
    <t>4=3/Σ3</t>
  </si>
  <si>
    <t>8=1/Σ1</t>
  </si>
  <si>
    <t>9=2/Σ2</t>
  </si>
  <si>
    <t>10=5/Σ5</t>
  </si>
  <si>
    <t>11=(6/Σ6)x25</t>
  </si>
  <si>
    <t>12=7/Σ7</t>
  </si>
  <si>
    <t>13=8+9+0+11+12</t>
  </si>
  <si>
    <t>14=13/Σ13</t>
  </si>
  <si>
    <t>Acuitzio</t>
  </si>
  <si>
    <t>Áporo</t>
  </si>
  <si>
    <t>San Lucas</t>
  </si>
  <si>
    <t>Aguililla</t>
  </si>
  <si>
    <t>Lagunillas</t>
  </si>
  <si>
    <t>Epitacio huerta</t>
  </si>
  <si>
    <t>Álvaro Obregón</t>
  </si>
  <si>
    <t>Zináparo</t>
  </si>
  <si>
    <t>Huetamo</t>
  </si>
  <si>
    <t>Angamacutiro</t>
  </si>
  <si>
    <t>Purépero</t>
  </si>
  <si>
    <t>Angangueo</t>
  </si>
  <si>
    <t>Tepalcatepec</t>
  </si>
  <si>
    <t xml:space="preserve">Tiquicheo de N.R. </t>
  </si>
  <si>
    <t>Apatzingán</t>
  </si>
  <si>
    <t>Lázaro Cárdenas</t>
  </si>
  <si>
    <t>Aquila</t>
  </si>
  <si>
    <t>Chavinda</t>
  </si>
  <si>
    <t>Churumuco</t>
  </si>
  <si>
    <t xml:space="preserve">Ario </t>
  </si>
  <si>
    <t xml:space="preserve">Jacona </t>
  </si>
  <si>
    <t>Arteaga</t>
  </si>
  <si>
    <t>Nocupétaro</t>
  </si>
  <si>
    <t>Tzitzio</t>
  </si>
  <si>
    <t xml:space="preserve">Briseñas </t>
  </si>
  <si>
    <t xml:space="preserve">Venustiano Carranza </t>
  </si>
  <si>
    <t>Maravatío</t>
  </si>
  <si>
    <t>Buena vista</t>
  </si>
  <si>
    <t>Chucándiro</t>
  </si>
  <si>
    <t>Churintzio</t>
  </si>
  <si>
    <t>Carácuaro</t>
  </si>
  <si>
    <t>Parácuaro</t>
  </si>
  <si>
    <t>Coahuayana</t>
  </si>
  <si>
    <t xml:space="preserve">Tlazazalca </t>
  </si>
  <si>
    <t>Coalcomán de Vázquez Pallares</t>
  </si>
  <si>
    <t>Tumbiscatío</t>
  </si>
  <si>
    <t>Coeneo</t>
  </si>
  <si>
    <t xml:space="preserve">Nahuatzen </t>
  </si>
  <si>
    <t>Contepec</t>
  </si>
  <si>
    <t>Copándaro</t>
  </si>
  <si>
    <t>Erongarícuaro</t>
  </si>
  <si>
    <t>La Piedad</t>
  </si>
  <si>
    <t>Quiroga</t>
  </si>
  <si>
    <t xml:space="preserve">Cotija </t>
  </si>
  <si>
    <t>Cuitzeo</t>
  </si>
  <si>
    <t>Charapan</t>
  </si>
  <si>
    <t>Paracho</t>
  </si>
  <si>
    <t xml:space="preserve">Chinicuila </t>
  </si>
  <si>
    <t>Charo</t>
  </si>
  <si>
    <t>Huaniqueo</t>
  </si>
  <si>
    <t>Senguio</t>
  </si>
  <si>
    <t>Morelos</t>
  </si>
  <si>
    <t>Cherán</t>
  </si>
  <si>
    <t>Indaparapeo</t>
  </si>
  <si>
    <t>Chilchota</t>
  </si>
  <si>
    <t>Irimbo</t>
  </si>
  <si>
    <t>Tarímbaro</t>
  </si>
  <si>
    <t>Tocumbo</t>
  </si>
  <si>
    <t>José Sixto Verduzco</t>
  </si>
  <si>
    <t>Jiménez</t>
  </si>
  <si>
    <t>Morelia</t>
  </si>
  <si>
    <t>Ecuandureo</t>
  </si>
  <si>
    <t>Huiramba</t>
  </si>
  <si>
    <t xml:space="preserve">Zacapu </t>
  </si>
  <si>
    <t>Tangamandapio</t>
  </si>
  <si>
    <t>Gabriel Zamora</t>
  </si>
  <si>
    <t>Villamar</t>
  </si>
  <si>
    <t>Hidalgo</t>
  </si>
  <si>
    <t>Zinapécuaro</t>
  </si>
  <si>
    <t>La Huacana</t>
  </si>
  <si>
    <t>Pajacuarán</t>
  </si>
  <si>
    <t>Huandacareo</t>
  </si>
  <si>
    <t>Madero</t>
  </si>
  <si>
    <t>Susupuato</t>
  </si>
  <si>
    <t>Uruapan</t>
  </si>
  <si>
    <t>Pátzcuaro</t>
  </si>
  <si>
    <t>Juárez</t>
  </si>
  <si>
    <t>Penjamillo</t>
  </si>
  <si>
    <t>Jungapeo</t>
  </si>
  <si>
    <t>Ixtlán</t>
  </si>
  <si>
    <t>Panindícuaro</t>
  </si>
  <si>
    <t>Tangancícuaro</t>
  </si>
  <si>
    <t>Tzintzuntzan</t>
  </si>
  <si>
    <t>Marcos Castellanos</t>
  </si>
  <si>
    <t>Jiquilpan</t>
  </si>
  <si>
    <t xml:space="preserve">Tuxpan </t>
  </si>
  <si>
    <t>Tanhuato</t>
  </si>
  <si>
    <t>Turicato</t>
  </si>
  <si>
    <t xml:space="preserve">Múgica </t>
  </si>
  <si>
    <t>Queréndaro</t>
  </si>
  <si>
    <t xml:space="preserve"> Cojumatlán de Régules</t>
  </si>
  <si>
    <t>Nuevo Parangaricutiro</t>
  </si>
  <si>
    <t>Ocampo</t>
  </si>
  <si>
    <t>Nuevo Urecho</t>
  </si>
  <si>
    <t>Numarán</t>
  </si>
  <si>
    <t>Salvador Escalante</t>
  </si>
  <si>
    <t>Tuzantla</t>
  </si>
  <si>
    <t>Ziracuaretiro</t>
  </si>
  <si>
    <t xml:space="preserve">Santa Ana Maya </t>
  </si>
  <si>
    <t>Zitácuaro</t>
  </si>
  <si>
    <t>Puruándiro</t>
  </si>
  <si>
    <t>Peribán</t>
  </si>
  <si>
    <t xml:space="preserve">Yurécuaro </t>
  </si>
  <si>
    <t>Los Reyes</t>
  </si>
  <si>
    <t>Tingambato</t>
  </si>
  <si>
    <t>Sahuayo</t>
  </si>
  <si>
    <t>Zamora</t>
  </si>
  <si>
    <t>Vista Hermosa</t>
  </si>
  <si>
    <t xml:space="preserve">Tingüindín </t>
  </si>
  <si>
    <t>Tacámbaro</t>
  </si>
  <si>
    <t>Tancítaro</t>
  </si>
  <si>
    <t xml:space="preserve">Taretan </t>
  </si>
  <si>
    <t xml:space="preserve">Tlalpujahua </t>
  </si>
  <si>
    <t>TOTAL</t>
  </si>
  <si>
    <t>1/</t>
  </si>
  <si>
    <t>DATOS CORRESPONDIENTES AL PERIODO DEL 1 DE ENERO AL 31 DE DICIEMBRE DEL 2016</t>
  </si>
  <si>
    <t>2/</t>
  </si>
  <si>
    <t>DATOS CORRESPONDIENTES AL PERÍODO DEL 1 DE ENERO AL 31 DE DICIEMBRE DEL 2016</t>
  </si>
  <si>
    <t>3/</t>
  </si>
  <si>
    <t>EL VALOR RELATIVO DE LAS PARTICIPACIONES 2DA PARTE TIENE UN PESO ESPECÍFICO DE 25.</t>
  </si>
  <si>
    <t>Dirección de Coordinación Fiscal</t>
  </si>
  <si>
    <t>Comparativos variables utilizadas para la distribución de Participaciones a Municipios</t>
  </si>
  <si>
    <t>Part. Pagadas</t>
  </si>
  <si>
    <t>Rec. DAP</t>
  </si>
  <si>
    <t>Dif</t>
  </si>
  <si>
    <t>N° de Local</t>
  </si>
  <si>
    <t>Coefic</t>
  </si>
  <si>
    <t>Num</t>
  </si>
  <si>
    <t>Municipio</t>
  </si>
  <si>
    <t>Dif %</t>
  </si>
  <si>
    <t>2da P. 2018</t>
  </si>
  <si>
    <t>2da P. 2019</t>
  </si>
  <si>
    <t>2da P. 2020</t>
  </si>
  <si>
    <t>2da P. 2021</t>
  </si>
  <si>
    <t>2da P. 2022</t>
  </si>
  <si>
    <t>Absol</t>
  </si>
  <si>
    <t>Rel</t>
  </si>
  <si>
    <t>Censo Py V 2010</t>
  </si>
  <si>
    <t>Censo Py V 2020</t>
  </si>
  <si>
    <t>2da Parte 2020</t>
  </si>
  <si>
    <t>2da Parte 2021</t>
  </si>
  <si>
    <t>Población 2020</t>
  </si>
  <si>
    <t>Superficie</t>
  </si>
  <si>
    <t>Participaciones</t>
  </si>
  <si>
    <t>Factor de</t>
  </si>
  <si>
    <t>Desarrollo relativo</t>
  </si>
  <si>
    <t>2=3/1</t>
  </si>
  <si>
    <t>11=6/Σ6</t>
  </si>
  <si>
    <t>Total</t>
  </si>
  <si>
    <t>Cáldulo de los coeficientes para el Fondo Participable del 2021</t>
  </si>
  <si>
    <t>VALORES RELATIVOS</t>
  </si>
  <si>
    <t>Densidad de</t>
  </si>
  <si>
    <t>Rec. D.A.P.</t>
  </si>
  <si>
    <t xml:space="preserve">Particip </t>
  </si>
  <si>
    <t>N° DE</t>
  </si>
  <si>
    <t>SUMA</t>
  </si>
  <si>
    <t>Coefic.</t>
  </si>
  <si>
    <t>en KM  ²</t>
  </si>
  <si>
    <t>Población / KM.²</t>
  </si>
  <si>
    <t>Población 2021</t>
  </si>
  <si>
    <t>2da. Parte  2020</t>
  </si>
  <si>
    <t>LOCAL</t>
  </si>
  <si>
    <t>Censo de P. y V. 2020</t>
  </si>
  <si>
    <t>2=1/Σ1</t>
  </si>
  <si>
    <t>Conceptos Participables</t>
  </si>
  <si>
    <t>Monto Estimado SHCP
Estado 2020</t>
  </si>
  <si>
    <t>Monto Estimado SHCP
 Estado 2021</t>
  </si>
  <si>
    <t>Monto Proyectado   2022</t>
  </si>
  <si>
    <t>% distribuible/ Municipios</t>
  </si>
  <si>
    <t>Monto Estimado para Municipios 2020</t>
  </si>
  <si>
    <t>Monto Estimado para Municipios 2021</t>
  </si>
  <si>
    <t>Monto Estimado para Municipios 2022</t>
  </si>
  <si>
    <t>Diferencia
Absoluta</t>
  </si>
  <si>
    <t>Diferencia %
Nominal</t>
  </si>
  <si>
    <t>´(1)</t>
  </si>
  <si>
    <t>´(2)</t>
  </si>
  <si>
    <t>´(3)</t>
  </si>
  <si>
    <t>´(4)</t>
  </si>
  <si>
    <t>(5=1x4)</t>
  </si>
  <si>
    <t>(6=2x4)</t>
  </si>
  <si>
    <t>(7=3x4)</t>
  </si>
  <si>
    <t>(8=7-6)</t>
  </si>
  <si>
    <t>(7=6/4)</t>
  </si>
  <si>
    <t>I=II+III+IV</t>
  </si>
  <si>
    <t>II.</t>
  </si>
  <si>
    <t>Fondo Participable</t>
  </si>
  <si>
    <t>A)</t>
  </si>
  <si>
    <t>Fondo General.</t>
  </si>
  <si>
    <t>B).</t>
  </si>
  <si>
    <t xml:space="preserve">Fondo de Fomento Municipal. </t>
  </si>
  <si>
    <t>C).</t>
  </si>
  <si>
    <t>Impuesto Especial Sobre Producción y Servicios.</t>
  </si>
  <si>
    <t>D).</t>
  </si>
  <si>
    <t>ISR Participable</t>
  </si>
  <si>
    <t>E).</t>
  </si>
  <si>
    <t xml:space="preserve">Fondo de Fiscalización y Recaudación </t>
  </si>
  <si>
    <t>F).</t>
  </si>
  <si>
    <t>Fondo de Compensación sobre Automóviles Nuevos</t>
  </si>
  <si>
    <t>G).</t>
  </si>
  <si>
    <t>Incentivos por la Administración del Impuesto sobre Automóviles Nuevos</t>
  </si>
  <si>
    <t>H).</t>
  </si>
  <si>
    <t xml:space="preserve">Impuesto Sobre Loterías, Rifas, Sorteos yConcursos </t>
  </si>
  <si>
    <t>I).</t>
  </si>
  <si>
    <t>Incentivos por la Administración del Impuesto sobre la Renta por la Enajenación de Bienes Inmuebles</t>
  </si>
  <si>
    <t>J).</t>
  </si>
  <si>
    <t>Impuesto a la Venta Final de Bebidas con Contenido  Alcohólico</t>
  </si>
  <si>
    <t>III.</t>
  </si>
  <si>
    <t>Fondo de Gasolinas y Diesel</t>
  </si>
  <si>
    <t>A).</t>
  </si>
  <si>
    <t>Venta Final de Gasolinas y Diesel.</t>
  </si>
  <si>
    <t>Fondo de Compensación de Gasolinas y Diésel</t>
  </si>
  <si>
    <t>IV</t>
  </si>
  <si>
    <t>Fondos de Aportaciones Federales y Estatales</t>
  </si>
  <si>
    <t>Fondo de Aportaciones para la Infraestructura Social Municipal y DDF</t>
  </si>
  <si>
    <t>Fondo de Aportaciones para el Fortalecimiento de los Municipios y las DDF</t>
  </si>
  <si>
    <t>Fondo de Aportaciones Estatales para los Servicios Públicos Municipales</t>
  </si>
  <si>
    <t>1ra. Parte = 0.45 por población</t>
  </si>
  <si>
    <t>2da. Parte= 0.45  por Desarrollo Relativo</t>
  </si>
  <si>
    <t>3ra. Parte = 0.10 por coeficiente Inverso por habitante de cada municipio</t>
  </si>
  <si>
    <t>Participaciones e Incentivos a julio  de 2021</t>
  </si>
  <si>
    <t xml:space="preserve">ISR 126 </t>
  </si>
  <si>
    <t>Mes</t>
  </si>
  <si>
    <t>Estimado</t>
  </si>
  <si>
    <t>Real</t>
  </si>
  <si>
    <t>Dif $</t>
  </si>
  <si>
    <t>Enero</t>
  </si>
  <si>
    <t>3=2-1</t>
  </si>
  <si>
    <t>Febrero</t>
  </si>
  <si>
    <t xml:space="preserve">Fondo General de Participaciones </t>
  </si>
  <si>
    <t>Marzo</t>
  </si>
  <si>
    <t xml:space="preserve">Fondo de Fomento Municipal </t>
  </si>
  <si>
    <t>Abril</t>
  </si>
  <si>
    <t>Mayo</t>
  </si>
  <si>
    <t xml:space="preserve">Impuesto Especial sobre Producción y Servicios IEPS </t>
  </si>
  <si>
    <t>Junio</t>
  </si>
  <si>
    <t xml:space="preserve">ISR Participable </t>
  </si>
  <si>
    <t>Julio</t>
  </si>
  <si>
    <t xml:space="preserve">Fondo de Compensación Excención ISAN </t>
  </si>
  <si>
    <t xml:space="preserve">Incentivo Recaudación ISAN </t>
  </si>
  <si>
    <t xml:space="preserve">Enajenación de Bienes Inmuebles Art 126 LISR </t>
  </si>
  <si>
    <t xml:space="preserve">Fondo de Compensación de Gaslinas y Diésel </t>
  </si>
  <si>
    <t xml:space="preserve">Impuesto Venta de Gasolinas y D.  </t>
  </si>
  <si>
    <t>Participaciones y Fondos de Aportaciones Federales para el Estado de Michoacán, publicadas por la Secretaría de Haceinda y Crédito Público</t>
  </si>
  <si>
    <t>en el Diario Oficial de la Federación el 3 de enero de 2021</t>
  </si>
  <si>
    <t>Adicionado de otros ingresos de Origen Local, como son las Loterias, rifas, sorteos y concursos, y el nuevo Impuesto al Consumo Final de B.A.</t>
  </si>
  <si>
    <t xml:space="preserve">Febrero </t>
  </si>
  <si>
    <t>Agosto</t>
  </si>
  <si>
    <t>Septiembre</t>
  </si>
  <si>
    <t>Octubre</t>
  </si>
  <si>
    <t>Noviembre</t>
  </si>
  <si>
    <t>Diciembre</t>
  </si>
  <si>
    <t xml:space="preserve">Fondo General </t>
  </si>
  <si>
    <t>Err:508</t>
  </si>
  <si>
    <t>Fondo de Fomento Municipal</t>
  </si>
  <si>
    <t>Impuesto Especial Sobre Producción y Servicios</t>
  </si>
  <si>
    <t>Fondo de Fiscalización y Recaudación</t>
  </si>
  <si>
    <t>Incentivos sobre Automóviles Nuevos</t>
  </si>
  <si>
    <t>Venta Final de Gasolinas y Diesel</t>
  </si>
  <si>
    <t>Incentivos por la Administración del Impuesto sobre la Renta pro la Enajenación de Bienes Inmuebles</t>
  </si>
  <si>
    <t xml:space="preserve">0.136% Lázaro Cárdenas </t>
  </si>
  <si>
    <t>Compensación Repecos</t>
  </si>
  <si>
    <t>Inc. Convenios de Colaboración Admva</t>
  </si>
  <si>
    <t>Gran total</t>
  </si>
  <si>
    <t>Monto Estimado para Municipios 2023</t>
  </si>
  <si>
    <t>Datos acuerdo sept</t>
  </si>
  <si>
    <t>I=II+III</t>
  </si>
  <si>
    <t xml:space="preserve">Impuesto Sobre Loterías, Rifas, Sorteos y Concursos </t>
  </si>
  <si>
    <t>GOBIERNO DEL ESTADO DE MICHOACAN</t>
  </si>
  <si>
    <t>SECRETARÍA DE FINANZAS Y ADMINISTRACIÓN</t>
  </si>
  <si>
    <t>CÁLCULO DE LAS PARTICIPACIONES A MUNICIPIOS PARA EL AÑO 2016</t>
  </si>
  <si>
    <t>FONDO GENERAL PARTICIPABLE</t>
  </si>
  <si>
    <t>MONTO DISTRIBUIBLE</t>
  </si>
  <si>
    <t>1RA. PARTE 45% POR POBLACIÓN</t>
  </si>
  <si>
    <t>(1´)</t>
  </si>
  <si>
    <t>2DA. PARTE 45% POR DESARROLLO RELATIVO</t>
  </si>
  <si>
    <t>(2´)</t>
  </si>
  <si>
    <t>3RA. PARTE 10% EN PROPORCIÓN INVERSA</t>
  </si>
  <si>
    <t>(3´)</t>
  </si>
  <si>
    <t>Suma Participaciones</t>
  </si>
  <si>
    <t>Peso relativo</t>
  </si>
  <si>
    <t>Factor</t>
  </si>
  <si>
    <t>2020</t>
  </si>
  <si>
    <t>1ra parte</t>
  </si>
  <si>
    <t>2da. Parte</t>
  </si>
  <si>
    <t>1a. y 2da  parte</t>
  </si>
  <si>
    <t>Inverso</t>
  </si>
  <si>
    <t>coeficiente inverso</t>
  </si>
  <si>
    <t>3ra. Parte</t>
  </si>
  <si>
    <t>Totales</t>
  </si>
  <si>
    <t>Ponderado</t>
  </si>
  <si>
    <t>5=5/Σ5</t>
  </si>
  <si>
    <t>6=1x5</t>
  </si>
  <si>
    <t>8=2x7</t>
  </si>
  <si>
    <t>9=6+8</t>
  </si>
  <si>
    <t>10=4/Σ9</t>
  </si>
  <si>
    <t>11=10/Σ10</t>
  </si>
  <si>
    <t>12=3x11</t>
  </si>
  <si>
    <t>14=9+12</t>
  </si>
  <si>
    <t>(14=13/13´)</t>
  </si>
  <si>
    <t>Ario</t>
  </si>
  <si>
    <t>Briseñas</t>
  </si>
  <si>
    <t>Cotija</t>
  </si>
  <si>
    <t>Chinicuila</t>
  </si>
  <si>
    <t>Jacona</t>
  </si>
  <si>
    <t>Múgica</t>
  </si>
  <si>
    <t>Nahuatzen</t>
  </si>
  <si>
    <t>Santa Ana Maya</t>
  </si>
  <si>
    <t>Taretan</t>
  </si>
  <si>
    <t>Tingüindín</t>
  </si>
  <si>
    <t>Tiquicheo de N.R.</t>
  </si>
  <si>
    <t>Tlalpujahua</t>
  </si>
  <si>
    <t>Tlazazalca</t>
  </si>
  <si>
    <t>Tuxpan</t>
  </si>
  <si>
    <t>Venustiano Carranza</t>
  </si>
  <si>
    <t>Yurécuaro</t>
  </si>
  <si>
    <t>Zacapu</t>
  </si>
  <si>
    <t>FONDO GENERAL 1RA. PARTE</t>
  </si>
  <si>
    <t>(1)</t>
  </si>
  <si>
    <t>(2)</t>
  </si>
  <si>
    <t>(3)</t>
  </si>
  <si>
    <t>(4)</t>
  </si>
  <si>
    <t>NUM</t>
  </si>
  <si>
    <t>1a parte</t>
  </si>
  <si>
    <t>Desarrollo Relativo</t>
  </si>
  <si>
    <t>2a parte</t>
  </si>
  <si>
    <t>1A. Y 2A PARTES</t>
  </si>
  <si>
    <t>3a parte</t>
  </si>
  <si>
    <t>(5=4/4´)</t>
  </si>
  <si>
    <t>(6=1X5)</t>
  </si>
  <si>
    <t>(7´)</t>
  </si>
  <si>
    <t>(8=2X7´)</t>
  </si>
  <si>
    <t>(11=10/10)</t>
  </si>
  <si>
    <t>(12=3X11)</t>
  </si>
  <si>
    <t>(13=9+12)</t>
  </si>
  <si>
    <t>FFM 1RA. PARTE</t>
  </si>
  <si>
    <t>IEPS 1RA. PARTE</t>
  </si>
  <si>
    <t>FOFIR 1RA. PARTE</t>
  </si>
  <si>
    <t>FC ISAN 1RA. PARTE</t>
  </si>
  <si>
    <t>Estado</t>
  </si>
  <si>
    <t>FONDO ISR</t>
  </si>
  <si>
    <t>Factores con información de validación ISR 2022</t>
  </si>
  <si>
    <t>Buenavista</t>
  </si>
  <si>
    <t>INCENTIVO 1RA. PARTE</t>
  </si>
  <si>
    <t>LOTERÍAS 1RA. PARTE</t>
  </si>
  <si>
    <t>ISR 1RA. PARTE</t>
  </si>
  <si>
    <t>IVFBCA 1RA. PARTE</t>
  </si>
  <si>
    <t>IMP. VENTA FINAL DE GASOLINAS Y D.</t>
  </si>
  <si>
    <t>FOCO GASOLINAS</t>
  </si>
  <si>
    <t>1RA. PARTE 70% POR POBLACIÓN</t>
  </si>
  <si>
    <t>2DA. PARTE:  EN PARTES IGUALES</t>
  </si>
  <si>
    <t>Mpio.</t>
  </si>
  <si>
    <t>2da parte</t>
  </si>
  <si>
    <t>2da  parte</t>
  </si>
  <si>
    <t>5=1x4</t>
  </si>
  <si>
    <t>6=100/113</t>
  </si>
  <si>
    <t>7=2x6</t>
  </si>
  <si>
    <t>8=5+7</t>
  </si>
  <si>
    <t>Monto</t>
  </si>
  <si>
    <t>Concepto</t>
  </si>
  <si>
    <t>Fondo General</t>
  </si>
  <si>
    <t>Impuesto sobre Loterías, Rifas, Sorteos y Concursos</t>
  </si>
  <si>
    <t>0.136% Lázaro Cárdenas</t>
  </si>
  <si>
    <t>Municipios y Conceptos</t>
  </si>
  <si>
    <t>Participables</t>
  </si>
  <si>
    <t>Fondo de Compensación del Impuesto sobre Automóviles Nuevos</t>
  </si>
  <si>
    <t>Impuesto a la Venta Final de de Gasolinas y Diesel</t>
  </si>
  <si>
    <t>Buena Vista</t>
  </si>
  <si>
    <t>Epitacio Huerta</t>
  </si>
  <si>
    <t>compensacion</t>
  </si>
  <si>
    <t>gasolinas</t>
  </si>
  <si>
    <t>Gobierno del Estado de Michoacán de Ocampo</t>
  </si>
  <si>
    <t>Fondo de Aportaciones para la Infraestructura Social Municipal y de las Demarcaciones territoriales del DF 2022</t>
  </si>
  <si>
    <t>MONTO A PAGAR
2021</t>
  </si>
  <si>
    <t>(4)=(3/10 M)</t>
  </si>
  <si>
    <t>(5)=(3/10 M)</t>
  </si>
  <si>
    <t>(6)=(3/10 M)</t>
  </si>
  <si>
    <t>(7)=(3/10 M)</t>
  </si>
  <si>
    <t>(8)=(3/10 M)</t>
  </si>
  <si>
    <t>(9)=(3/10 M)</t>
  </si>
  <si>
    <t>(10)=(3/10 M)</t>
  </si>
  <si>
    <t>(11)=(3/10 M)</t>
  </si>
  <si>
    <t>(12)=(3/10 M)</t>
  </si>
  <si>
    <t>(13)=(3/10 M)</t>
  </si>
  <si>
    <t>Aporo</t>
  </si>
  <si>
    <t>Cojumatlán de Régules</t>
  </si>
  <si>
    <t>Tiquicheo de Nicolás Romero</t>
  </si>
  <si>
    <t>Fondo de Aportaciones para la Infraestructura Social Municipal y de las Demarcaciones territoriales del DF 2023</t>
  </si>
  <si>
    <t>MONTO PAGADO
  2013</t>
  </si>
  <si>
    <t>INCREMENTO
2023/2013</t>
  </si>
  <si>
    <t>MONTO A PAGAR
2023</t>
  </si>
  <si>
    <t>(2)=(3-1)</t>
  </si>
  <si>
    <t>coef bueno</t>
  </si>
  <si>
    <t>final</t>
  </si>
  <si>
    <t>Err:509</t>
  </si>
  <si>
    <t>FONDO DE APORTACIONES PARA EL FORTALECIMIENTO DE LOS MUNICIPIOS Y DE LAS DEMARCACIONES TERRITORIALES DEL DF 2023</t>
  </si>
  <si>
    <t>Población
2020</t>
  </si>
  <si>
    <t>Monto anual
a distribuir</t>
  </si>
  <si>
    <t>(2)=(1/Σ1)</t>
  </si>
  <si>
    <t>(3)=(Σ31*2)</t>
  </si>
  <si>
    <t>(4)=(3/12m)</t>
  </si>
  <si>
    <t>(5)=(3/12m)</t>
  </si>
  <si>
    <t>(6)=(3/12m)</t>
  </si>
  <si>
    <t>(7)=(3/12m)</t>
  </si>
  <si>
    <t>(8)=(3/12m)</t>
  </si>
  <si>
    <t>(9)=(3/12m)</t>
  </si>
  <si>
    <t>(10)=(3/12m)</t>
  </si>
  <si>
    <t>(11)=(3/12m)</t>
  </si>
  <si>
    <t>(12)=(3/12m)</t>
  </si>
  <si>
    <t>(13)=(3/12m)</t>
  </si>
  <si>
    <t>(14)=(3/12m)</t>
  </si>
  <si>
    <t>(15)=(3/12m)</t>
  </si>
  <si>
    <t>Fondo General Estado</t>
  </si>
  <si>
    <t>¨(1)</t>
  </si>
  <si>
    <t>20% a Municipios</t>
  </si>
  <si>
    <t>¨(2)= (1)*20%</t>
  </si>
  <si>
    <t>Diferencia</t>
  </si>
  <si>
    <t>¨(3)=(1)-(2)</t>
  </si>
  <si>
    <t>5% FAEISPUM 2023</t>
  </si>
  <si>
    <t>¨(4)=(3)*5%</t>
  </si>
  <si>
    <t>Distribución a Municipios</t>
  </si>
  <si>
    <t>50% con base en Poblaciòn</t>
  </si>
  <si>
    <t>´(5)</t>
  </si>
  <si>
    <t>50% con base en crecimiento recaudación predial</t>
  </si>
  <si>
    <t>´(6)</t>
  </si>
  <si>
    <t>Monto en base a</t>
  </si>
  <si>
    <t>Predial</t>
  </si>
  <si>
    <t>Crecimi-</t>
  </si>
  <si>
    <t>Coefici-</t>
  </si>
  <si>
    <t>Monto / crec. Imp.</t>
  </si>
  <si>
    <t>Mpio. Mpio. Mpio. Mpio. Mpio. Mpio. Mpio. Mpio. </t>
  </si>
  <si>
    <t>ento</t>
  </si>
  <si>
    <t>ente</t>
  </si>
  <si>
    <t>FAEISPUM $</t>
  </si>
  <si>
    <t>´(7)</t>
  </si>
  <si>
    <t>(8)=(7)/Σ(7)(8)=(7)/Σ(7)(8)=(7)/Σ(7)(8)=(7)/Σ(7)(8)=(7)/Σ(7)(8)=(7)/Σ(7)(8)=(7)/Σ(7)(8)=(7)/Σ(7)</t>
  </si>
  <si>
    <t>(9)=(5)*(8)%</t>
  </si>
  <si>
    <t>´(10)</t>
  </si>
  <si>
    <t>´(11)</t>
  </si>
  <si>
    <t>(12)=(11)-(10)</t>
  </si>
  <si>
    <t>(13)=(12)/Σ(12)(13)=(12)/Σ(12)(13)=(12)/Σ(12)(13)=(12)/Σ(12)(13)=(12)/Σ(12)(13)=(12)/Σ(12)(13)=(12)/Σ(12)(13)=(12)/Σ(12)</t>
  </si>
  <si>
    <t>(14)=(6)*(13)%</t>
  </si>
  <si>
    <t>(15)=(9)+(14)</t>
  </si>
  <si>
    <t> Anotar al final de la tabla la fuente de información para las columnas 3, 6 y 7 .</t>
  </si>
  <si>
    <t>Referir también el ajuste por redondeo y/o expresión del importe sin decimales.</t>
  </si>
  <si>
    <t>No incluye ISR, ya que ese no se determina por coeficientes de desarrollo relativo, sino por el pago de ISR sueldos y salarios del personal pagado con ingresos propios.</t>
  </si>
  <si>
    <t>Densidad poblacional</t>
  </si>
  <si>
    <t>No. localidades</t>
  </si>
  <si>
    <t>Factor de Población 2023</t>
  </si>
  <si>
    <t>Superficie en Km2</t>
  </si>
  <si>
    <t>Densidad Poblacional</t>
  </si>
  <si>
    <t>Variables</t>
  </si>
  <si>
    <t>Fondo General de Participaciones</t>
  </si>
  <si>
    <t>18 y 31</t>
  </si>
  <si>
    <t>17 y 28</t>
  </si>
  <si>
    <t>20 y 31</t>
  </si>
  <si>
    <t>19 y 30</t>
  </si>
  <si>
    <t>17 y 31</t>
  </si>
  <si>
    <t>18 y 29</t>
  </si>
  <si>
    <t>20 y 30</t>
  </si>
  <si>
    <t>4 de mayo</t>
  </si>
  <si>
    <t>4 de agosto</t>
  </si>
  <si>
    <t>6 de septiembre</t>
  </si>
  <si>
    <t>6 de febrero</t>
  </si>
  <si>
    <t>6 de marzo</t>
  </si>
  <si>
    <t>6 de abril</t>
  </si>
  <si>
    <t>6 de junio</t>
  </si>
  <si>
    <t>6 de julio</t>
  </si>
  <si>
    <t>5 de octubre</t>
  </si>
  <si>
    <t>3 de noviembre</t>
  </si>
  <si>
    <t>6 de diciembre</t>
  </si>
  <si>
    <t>4 enero de 2024</t>
  </si>
  <si>
    <t>2a P. 2023</t>
  </si>
  <si>
    <t>2018-2023</t>
  </si>
  <si>
    <t>Cálculo de los coeficientes para el Fondo Participable del 2024</t>
  </si>
  <si>
    <t>Derechos alumbrado público 2023</t>
  </si>
  <si>
    <t>Participaciones pagadas con base en desarrollo relativo en 2023</t>
  </si>
  <si>
    <t>Peso porcentual 2024</t>
  </si>
  <si>
    <t>Monto Estimado SHCP
 Estado 2023</t>
  </si>
  <si>
    <t>Monto Acuerdo 2024</t>
  </si>
  <si>
    <t>Monto Estimado para Municipios 2024</t>
  </si>
  <si>
    <t>ESTIMACIÓN FONDO GENERAL PARTICIPABLE 2024</t>
  </si>
  <si>
    <t>FONDO GENERAL  2024</t>
  </si>
  <si>
    <t>FONDO DE FOMENTO MUNICIPAL 2024</t>
  </si>
  <si>
    <t>IMPUESTO ESPECIAL SOBRE PRODUCCIÓN Y SERVICIOS 2024</t>
  </si>
  <si>
    <t>FONDO DE FISCALIZACIÓN Y RECAUDACIÓN 2024</t>
  </si>
  <si>
    <t>FONDO DE COMPENSACIÓN ISAN 2024</t>
  </si>
  <si>
    <t>INCENTIVOS ISAN 2024</t>
  </si>
  <si>
    <t>IMPUESTO SOBRE LOTERÍAS, RIFAS, SORTEOS Y CONCURSOS 2024</t>
  </si>
  <si>
    <t>IMPUESTO SOBRE LA RENTA POR LA ENAJENACIÓN DE BIENES INMUEBLES 2024</t>
  </si>
  <si>
    <t>IMPUESTO A LA VENTA FINAL DE BEBIDAS CON CONTENIDO ALCOHÓLICO 2024</t>
  </si>
  <si>
    <t>IMPUESTO A LA VENTA FINAL DE GASOLINAS Y DIÉSEL 2024</t>
  </si>
  <si>
    <t>FONDO DE COMPENSACIÓN DE GASOLINAS Y DIÉSEL 2024</t>
  </si>
  <si>
    <t>ESTACIONALIDAD DETERMINADA CON BASE EN ACUERDO PARTICIPACIONES AL ESTADO 2024</t>
  </si>
  <si>
    <t>Aprobado</t>
  </si>
  <si>
    <t>2024 propuesta</t>
  </si>
  <si>
    <t>Participaciones 1a parte</t>
  </si>
  <si>
    <t>Participaciones 2a parte</t>
  </si>
  <si>
    <t>Participaciones 3a parte</t>
  </si>
  <si>
    <t>Participaciones totales</t>
  </si>
  <si>
    <t>1a y 2a Partes</t>
  </si>
  <si>
    <t>MONTO DISTRIBUIBLE FFM 70%</t>
  </si>
  <si>
    <t>30% Convenios coordinados</t>
  </si>
  <si>
    <t>30% Fondo Fomento Municipal</t>
  </si>
  <si>
    <t>Impuesto predial 2021       1</t>
  </si>
  <si>
    <t>Impuesto predial 2022       2</t>
  </si>
  <si>
    <t>Crecimiento Predial 3=2/1</t>
  </si>
  <si>
    <t>Valor mínimo predial 4= (Min 3/Valor 2)</t>
  </si>
  <si>
    <t>Valor mínimo poblacion               5=3*4</t>
  </si>
  <si>
    <t>Coeficiente 30 5/Σ5</t>
  </si>
  <si>
    <t>1RA. PARTE 45% POR POBLACIÓN (1)</t>
  </si>
  <si>
    <t>2DA. PARTE 45% POR DESARROLLO RELATIVO (2)</t>
  </si>
  <si>
    <t>3RA. PARTE 10% EN PROPORCIÓN INVERSA (3)</t>
  </si>
  <si>
    <t>FFM 30% (4)</t>
  </si>
  <si>
    <t>2a Parte 2022</t>
  </si>
  <si>
    <t>2a Parte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</si>
</sst>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2">
    <numFmt numFmtId="164" formatCode="_-&quot;$&quot;* #,##0.00_-;\-&quot;$&quot;* #,##0.00_-;_-&quot;$&quot;* &quot;-&quot;??_-;_-@_-"/>
    <numFmt numFmtId="165" formatCode="General&quot; &quot;"/>
    <numFmt numFmtId="166" formatCode="&quot; &quot;#,##0&quot;    &quot;;&quot;-&quot;#,##0&quot;    &quot;;&quot; -&quot;#&quot;    &quot;;&quot; &quot;@&quot; &quot;"/>
    <numFmt numFmtId="167" formatCode="&quot; &quot;#,##0.00&quot; &quot;;&quot;-&quot;#,##0.00&quot; &quot;;&quot; -&quot;#&quot; &quot;;&quot; &quot;@&quot; &quot;"/>
    <numFmt numFmtId="168" formatCode="&quot; &quot;#,##0.00&quot;    &quot;;&quot;-&quot;#,##0.00&quot;    &quot;;&quot; -&quot;#&quot;    &quot;;&quot; &quot;@&quot; &quot;"/>
    <numFmt numFmtId="169" formatCode="&quot; &quot;#,##0.0&quot; &quot;;&quot; (&quot;#,##0.0&quot;)&quot;;&quot; -&quot;#&quot; &quot;;&quot; &quot;@&quot; &quot;"/>
    <numFmt numFmtId="170" formatCode="&quot; &quot;#,##0&quot; &quot;;&quot; (&quot;#,##0&quot;)&quot;;&quot; -&quot;#&quot; &quot;;&quot; &quot;@&quot; &quot;"/>
    <numFmt numFmtId="171" formatCode="&quot; &quot;#,##0.000000&quot; &quot;;&quot;-&quot;#,##0.000000&quot; &quot;;&quot; -&quot;#&quot; &quot;;&quot; &quot;@&quot; &quot;"/>
    <numFmt numFmtId="172" formatCode="#,##0.000000&quot; &quot;;&quot;-&quot;#,##0.000000&quot; &quot;"/>
    <numFmt numFmtId="173" formatCode="&quot; &quot;#,##0.000000&quot;    &quot;;&quot;-&quot;#,##0.000000&quot;    &quot;;&quot; -&quot;#&quot;    &quot;;&quot; &quot;@&quot; &quot;"/>
    <numFmt numFmtId="174" formatCode="&quot; &quot;#,##0.0&quot;    &quot;;&quot;-&quot;#,##0.0&quot;    &quot;;&quot; -&quot;#&quot;    &quot;;&quot; &quot;@&quot; &quot;"/>
    <numFmt numFmtId="175" formatCode="0.0000"/>
    <numFmt numFmtId="176" formatCode="0.0000000"/>
    <numFmt numFmtId="177" formatCode="0.000000"/>
    <numFmt numFmtId="178" formatCode="&quot; &quot;#,##0.00000000&quot;    &quot;;&quot;-&quot;#,##0.00000000&quot;    &quot;;&quot; -&quot;#&quot;    &quot;;&quot; &quot;@&quot; &quot;"/>
    <numFmt numFmtId="179" formatCode="&quot; &quot;#,##0.0000000&quot;    &quot;;&quot;-&quot;#,##0.0000000&quot;    &quot;;&quot; -&quot;#&quot;    &quot;;&quot; &quot;@&quot; &quot;"/>
    <numFmt numFmtId="180" formatCode="[$-80A]#,##0.00"/>
    <numFmt numFmtId="181" formatCode="&quot; &quot;#,##0&quot; &quot;;&quot;-&quot;#,##0&quot; &quot;;&quot; -&quot;#&quot; &quot;;&quot; &quot;@&quot; &quot;"/>
    <numFmt numFmtId="182" formatCode="[$-80A]#,##0"/>
    <numFmt numFmtId="183" formatCode="[$-80A]General"/>
    <numFmt numFmtId="184" formatCode="&quot; &quot;#,##0.00&quot; &quot;;&quot; (&quot;#,##0.00&quot;)&quot;;&quot; -&quot;#&quot; &quot;;&quot; &quot;@&quot; &quot;"/>
    <numFmt numFmtId="185" formatCode="[$-80A]0%"/>
    <numFmt numFmtId="186" formatCode="0.00000"/>
    <numFmt numFmtId="187" formatCode="#,##0.000000"/>
    <numFmt numFmtId="188" formatCode="&quot; &quot;#,##0.0000&quot; &quot;;&quot; (&quot;#,##0.0000&quot;)&quot;;&quot; -&quot;#&quot; &quot;;&quot; &quot;@&quot; &quot;"/>
    <numFmt numFmtId="189" formatCode="0.0000000000&quot; &quot;;&quot;-&quot;0.0000000000&quot; &quot;"/>
    <numFmt numFmtId="190" formatCode="&quot; &quot;#,##0.000000&quot; &quot;;&quot; (&quot;#,##0.000000&quot;)&quot;;&quot; -&quot;#&quot; &quot;;&quot; &quot;@&quot; &quot;"/>
    <numFmt numFmtId="191" formatCode="#,##0.0000000"/>
    <numFmt numFmtId="192" formatCode="0.0000000000"/>
    <numFmt numFmtId="193" formatCode="&quot; &quot;#,##0&quot;       &quot;;&quot;-&quot;#,##0&quot;       &quot;;&quot; -&quot;#&quot;       &quot;;&quot; &quot;@&quot; &quot;"/>
    <numFmt numFmtId="194" formatCode="#,##0.00000000"/>
    <numFmt numFmtId="195" formatCode="#,##0&quot; &quot;;&quot;-&quot;#,##0&quot; &quot;"/>
    <numFmt numFmtId="196" formatCode="#,##0.00000&quot; &quot;;&quot;-&quot;#,##0.00000&quot; &quot;"/>
    <numFmt numFmtId="197" formatCode="&quot; &quot;#,##0.0000000&quot; &quot;;&quot;-&quot;#,##0.0000000&quot; &quot;;&quot; -&quot;#&quot; &quot;;&quot; &quot;@&quot; &quot;"/>
    <numFmt numFmtId="198" formatCode="&quot; &quot;#,##0.000&quot;    &quot;;&quot;-&quot;#,##0.000&quot;    &quot;;&quot; -&quot;#&quot;    &quot;;&quot; &quot;@&quot; &quot;"/>
    <numFmt numFmtId="199" formatCode="&quot; $&quot;#,##0.00&quot; &quot;;&quot;-$&quot;#,##0.00&quot; &quot;;&quot; $-&quot;#&quot; &quot;;&quot; &quot;@&quot; &quot;"/>
    <numFmt numFmtId="200" formatCode="&quot; &quot;#,##0.0000000000&quot;    &quot;;&quot;-&quot;#,##0.0000000000&quot;    &quot;;&quot; -&quot;#&quot;    &quot;;&quot; &quot;@&quot; &quot;"/>
    <numFmt numFmtId="201" formatCode="#,##0.0000000&quot; &quot;;&quot;-&quot;#,##0.0000000&quot; &quot;"/>
    <numFmt numFmtId="202" formatCode="#,##0.000000000000&quot; &quot;;&quot;-&quot;#,##0.000000000000&quot; &quot;"/>
    <numFmt numFmtId="203" formatCode="#,##0.000"/>
    <numFmt numFmtId="204" formatCode="&quot; &quot;#,##0.00000&quot; &quot;;&quot;-&quot;#,##0.00000&quot; &quot;;&quot; -&quot;#&quot; &quot;;&quot; &quot;@&quot; &quot;"/>
    <numFmt numFmtId="205" formatCode="&quot; &quot;#,##0.00000&quot; &quot;;&quot; (&quot;#,##0.00000&quot;)&quot;;&quot; -&quot;#&quot; &quot;;&quot; &quot;@&quot; &quot;"/>
    <numFmt numFmtId="206" formatCode="&quot; &quot;#,##0.00000&quot;    &quot;;&quot;-&quot;#,##0.00000&quot;    &quot;;&quot; -&quot;#&quot;    &quot;;&quot; &quot;@&quot; &quot;"/>
    <numFmt numFmtId="207" formatCode="&quot; &quot;#,##0.0000&quot;    &quot;;&quot;-&quot;#,##0.0000&quot;    &quot;;&quot; -&quot;#&quot;    &quot;;&quot; &quot;@&quot; &quot;"/>
    <numFmt numFmtId="208" formatCode="0.0%"/>
    <numFmt numFmtId="209" formatCode="&quot; &quot;#,##0.000000000&quot; &quot;;&quot; (&quot;#,##0.000000000&quot;)&quot;;&quot; -&quot;#&quot; &quot;;&quot; &quot;@&quot; &quot;"/>
    <numFmt numFmtId="210" formatCode="&quot; &quot;#,##0.000&quot; &quot;;&quot; (&quot;#,##0.000&quot;)&quot;;&quot; -&quot;#&quot; &quot;;&quot; &quot;@&quot; &quot;"/>
    <numFmt numFmtId="211" formatCode="&quot; &quot;#,##0&quot; &quot;;&quot; (&quot;#,##0&quot;)&quot;;&quot; - &quot;;&quot; &quot;@&quot; &quot;"/>
    <numFmt numFmtId="212" formatCode="&quot; $&quot;#,##0&quot; &quot;;&quot; $(&quot;#,##0&quot;)&quot;;&quot; $- &quot;;&quot; &quot;@&quot; &quot;"/>
    <numFmt numFmtId="213" formatCode="&quot; $&quot;#,##0.00&quot; &quot;;&quot; $(&quot;#,##0.00&quot;)&quot;;&quot; $-&quot;#&quot; &quot;;&quot; &quot;@&quot; &quot;"/>
    <numFmt numFmtId="214" formatCode="&quot; &quot;[$€]#,##0.00&quot; &quot;;&quot;-&quot;[$€]#,##0.00&quot; &quot;;&quot; &quot;[$€]&quot;-&quot;#&quot; &quot;"/>
    <numFmt numFmtId="215" formatCode="&quot; &quot;#,##0&quot; &quot;;&quot;-&quot;#,##0&quot; &quot;;&quot; - &quot;;&quot; &quot;@&quot; &quot;"/>
    <numFmt numFmtId="216" formatCode="&quot; &quot;#,##0&quot; € &quot;;&quot;-&quot;#,##0&quot; € &quot;;&quot; - € &quot;;&quot; &quot;@&quot; &quot;"/>
    <numFmt numFmtId="217" formatCode="dddd&quot;, &quot;dd&quot; de &quot;mmmm&quot; de &quot;yyyy"/>
    <numFmt numFmtId="218" formatCode="&quot; &quot;#,##0.00&quot;       &quot;;&quot;-&quot;#,##0.00&quot;       &quot;;&quot; -&quot;#&quot;       &quot;;&quot; &quot;@&quot; &quot;"/>
    <numFmt numFmtId="219" formatCode="[$-80A]#,##0;[$-80A]&quot;-&quot;#,##0"/>
    <numFmt numFmtId="220" formatCode="0.00&quot; &quot;"/>
    <numFmt numFmtId="221" formatCode="[$$-80A]#,##0.00;[Red]&quot;-&quot;[$$-80A]#,##0.00"/>
    <numFmt numFmtId="222" formatCode="[$-80A]#,##0.00000"/>
    <numFmt numFmtId="223" formatCode="0.000000%"/>
    <numFmt numFmtId="224" formatCode="[$-80A]#,##0.000000"/>
    <numFmt numFmtId="225" formatCode="&quot; &quot;#,##0.000000&quot;    &quot;;&quot;-&quot;#,##0.000000&quot;    &quot;;&quot; -&quot;#.0000&quot;    &quot;;&quot; &quot;@&quot; &quot;"/>
  </numFmts>
  <fonts count="54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Courier"/>
    </font>
    <font>
      <sz val="12"/>
      <color theme="1"/>
      <name val="Tms Rmn"/>
    </font>
    <font>
      <sz val="11"/>
      <color rgb="FF000000"/>
      <name val="Calibri"/>
      <family val="2"/>
    </font>
    <font>
      <b/>
      <i/>
      <sz val="16"/>
      <color theme="1"/>
      <name val="Arial"/>
      <family val="2"/>
    </font>
    <font>
      <b/>
      <i/>
      <sz val="16"/>
      <color rgb="FF000000"/>
      <name val="Arial"/>
      <family val="2"/>
    </font>
    <font>
      <u/>
      <sz val="11"/>
      <color rgb="FF0066AA"/>
      <name val="Calibri"/>
      <family val="2"/>
    </font>
    <font>
      <u/>
      <sz val="11"/>
      <color rgb="FF0000FF"/>
      <name val="Calibri"/>
      <family val="2"/>
    </font>
    <font>
      <sz val="7"/>
      <color theme="1"/>
      <name val="Small Fonts"/>
    </font>
    <font>
      <b/>
      <i/>
      <sz val="16"/>
      <color theme="1"/>
      <name val="Helv"/>
    </font>
    <font>
      <sz val="11"/>
      <color rgb="FF00000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i/>
      <u/>
      <sz val="11"/>
      <color theme="1"/>
      <name val="Arial"/>
      <family val="2"/>
    </font>
    <font>
      <b/>
      <i/>
      <u/>
      <sz val="11"/>
      <color rgb="FF000000"/>
      <name val="Arial"/>
      <family val="2"/>
    </font>
    <font>
      <sz val="7"/>
      <color theme="1"/>
      <name val="Arial Narrow"/>
      <family val="2"/>
    </font>
    <font>
      <b/>
      <sz val="7"/>
      <color theme="1"/>
      <name val="Arial Narrow"/>
      <family val="2"/>
    </font>
    <font>
      <sz val="7"/>
      <color rgb="FFFF000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8"/>
      <color theme="1"/>
      <name val="Arial Narrow"/>
      <family val="2"/>
    </font>
    <font>
      <b/>
      <sz val="9"/>
      <color theme="1"/>
      <name val="Gibson Book"/>
      <family val="3"/>
    </font>
    <font>
      <b/>
      <sz val="8"/>
      <color theme="1"/>
      <name val="Arial Narrow"/>
      <family val="2"/>
    </font>
    <font>
      <sz val="10"/>
      <color rgb="FF000000"/>
      <name val="Arial Narrow"/>
      <family val="2"/>
    </font>
    <font>
      <b/>
      <sz val="12"/>
      <color theme="1"/>
      <name val="Arial Narrow"/>
      <family val="2"/>
    </font>
    <font>
      <b/>
      <sz val="9"/>
      <color theme="1"/>
      <name val="Arial"/>
      <family val="2"/>
    </font>
    <font>
      <b/>
      <sz val="10"/>
      <color rgb="FF000000"/>
      <name val="Arial Narrow"/>
      <family val="2"/>
    </font>
    <font>
      <sz val="9"/>
      <color rgb="FF000000"/>
      <name val="Gibson Book"/>
      <family val="3"/>
    </font>
    <font>
      <sz val="9"/>
      <color theme="1"/>
      <name val="Gibson Book"/>
      <family val="3"/>
    </font>
    <font>
      <b/>
      <sz val="9"/>
      <color rgb="FF000000"/>
      <name val="Gibson Book"/>
      <family val="3"/>
    </font>
    <font>
      <sz val="9"/>
      <color theme="1"/>
      <name val="Arial Narrow"/>
      <family val="2"/>
    </font>
    <font>
      <b/>
      <sz val="10"/>
      <color theme="1"/>
      <name val="Gibson Book"/>
      <family val="3"/>
    </font>
    <font>
      <sz val="12"/>
      <color theme="1"/>
      <name val="Gibson Book"/>
      <family val="3"/>
    </font>
    <font>
      <sz val="10"/>
      <color theme="1"/>
      <name val="Gibson Book"/>
      <family val="3"/>
    </font>
    <font>
      <sz val="10"/>
      <color rgb="FF993300"/>
      <name val="Gibson Book"/>
      <family val="3"/>
    </font>
    <font>
      <b/>
      <sz val="8"/>
      <color theme="1"/>
      <name val="Gibson Book"/>
      <family val="3"/>
    </font>
    <font>
      <sz val="8"/>
      <color theme="1"/>
      <name val="Gibson Book"/>
      <family val="3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2"/>
      <color rgb="FF000000"/>
      <name val="Arial Narrow"/>
      <family val="2"/>
    </font>
    <font>
      <sz val="8"/>
      <color rgb="FF000000"/>
      <name val="Arial Narrow"/>
      <family val="2"/>
    </font>
    <font>
      <sz val="7"/>
      <color rgb="FF000000"/>
      <name val="Arial Narrow"/>
      <family val="2"/>
    </font>
    <font>
      <b/>
      <sz val="7"/>
      <color rgb="FF000000"/>
      <name val="Arial Narrow"/>
      <family val="2"/>
    </font>
    <font>
      <b/>
      <sz val="8"/>
      <color rgb="FF000000"/>
      <name val="Arial Narrow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sz val="11"/>
      <color theme="1"/>
      <name val="Gibson Book"/>
      <family val="3"/>
    </font>
    <font>
      <b/>
      <sz val="7"/>
      <color theme="1"/>
      <name val="Gibson Book"/>
      <family val="3"/>
    </font>
    <font>
      <sz val="7"/>
      <color rgb="FF993300"/>
      <name val="Gibson Book"/>
      <family val="3"/>
    </font>
    <font>
      <sz val="7"/>
      <color theme="1"/>
      <name val="Gibson Book"/>
      <family val="3"/>
    </font>
    <font>
      <sz val="8"/>
      <name val="Arial"/>
      <family val="2"/>
    </font>
    <font>
      <sz val="8"/>
      <name val="Gibson Book"/>
      <family val="3"/>
    </font>
    <font>
      <b/>
      <sz val="9"/>
      <name val="Gibson Book"/>
      <family val="3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E46C0A"/>
        <bgColor rgb="FFE46C0A"/>
      </patternFill>
    </fill>
    <fill>
      <patternFill patternType="solid">
        <fgColor rgb="FFFFFFFF"/>
        <bgColor rgb="FFFFFFFF"/>
      </patternFill>
    </fill>
    <fill>
      <patternFill patternType="solid">
        <fgColor rgb="FFC3D69B"/>
        <bgColor rgb="FFC3D69B"/>
      </patternFill>
    </fill>
    <fill>
      <patternFill patternType="solid">
        <fgColor rgb="FFD7E4BD"/>
        <bgColor rgb="FFD7E4BD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5">
    <xf numFmtId="0" fontId="0" fillId="0" borderId="0"/>
    <xf numFmtId="165" fontId="2" fillId="0" borderId="0"/>
    <xf numFmtId="0" fontId="3" fillId="0" borderId="0"/>
    <xf numFmtId="211" fontId="1" fillId="0" borderId="0"/>
    <xf numFmtId="184" fontId="1" fillId="0" borderId="0"/>
    <xf numFmtId="212" fontId="1" fillId="0" borderId="0"/>
    <xf numFmtId="213" fontId="1" fillId="0" borderId="0"/>
    <xf numFmtId="214" fontId="1" fillId="0" borderId="0"/>
    <xf numFmtId="168" fontId="1" fillId="0" borderId="0"/>
    <xf numFmtId="0" fontId="4" fillId="0" borderId="0"/>
    <xf numFmtId="0" fontId="4" fillId="0" borderId="0"/>
    <xf numFmtId="185" fontId="1" fillId="0" borderId="0"/>
    <xf numFmtId="0" fontId="5" fillId="0" borderId="0">
      <alignment horizontal="center"/>
    </xf>
    <xf numFmtId="183" fontId="6" fillId="0" borderId="0">
      <alignment horizontal="center"/>
    </xf>
    <xf numFmtId="0" fontId="5" fillId="0" borderId="0">
      <alignment horizontal="center" textRotation="90"/>
    </xf>
    <xf numFmtId="183" fontId="6" fillId="0" borderId="0">
      <alignment horizontal="center" textRotation="90"/>
    </xf>
    <xf numFmtId="0" fontId="7" fillId="0" borderId="0"/>
    <xf numFmtId="0" fontId="8" fillId="0" borderId="0"/>
    <xf numFmtId="167" fontId="1" fillId="0" borderId="0"/>
    <xf numFmtId="165" fontId="1" fillId="0" borderId="0"/>
    <xf numFmtId="167" fontId="1" fillId="0" borderId="0"/>
    <xf numFmtId="168" fontId="1" fillId="0" borderId="0"/>
    <xf numFmtId="168" fontId="1" fillId="0" borderId="0"/>
    <xf numFmtId="215" fontId="4" fillId="0" borderId="0"/>
    <xf numFmtId="167" fontId="4" fillId="0" borderId="0"/>
    <xf numFmtId="167" fontId="1" fillId="0" borderId="0"/>
    <xf numFmtId="168" fontId="1" fillId="0" borderId="0"/>
    <xf numFmtId="181" fontId="1" fillId="0" borderId="0"/>
    <xf numFmtId="167" fontId="1" fillId="0" borderId="0"/>
    <xf numFmtId="168" fontId="1" fillId="0" borderId="0"/>
    <xf numFmtId="216" fontId="4" fillId="0" borderId="0"/>
    <xf numFmtId="217" fontId="4" fillId="0" borderId="0"/>
    <xf numFmtId="168" fontId="4" fillId="0" borderId="0"/>
    <xf numFmtId="167" fontId="4" fillId="0" borderId="0"/>
    <xf numFmtId="167" fontId="4" fillId="0" borderId="0"/>
    <xf numFmtId="167" fontId="1" fillId="0" borderId="0"/>
    <xf numFmtId="168" fontId="4" fillId="0" borderId="0"/>
    <xf numFmtId="218" fontId="1" fillId="0" borderId="0"/>
    <xf numFmtId="219" fontId="9" fillId="0" borderId="0"/>
    <xf numFmtId="220" fontId="10" fillId="0" borderId="0"/>
    <xf numFmtId="183" fontId="11" fillId="0" borderId="0"/>
    <xf numFmtId="183" fontId="11" fillId="0" borderId="0"/>
    <xf numFmtId="183" fontId="11" fillId="0" borderId="0"/>
    <xf numFmtId="183" fontId="4" fillId="0" borderId="0"/>
    <xf numFmtId="183" fontId="12" fillId="0" borderId="0"/>
    <xf numFmtId="183" fontId="13" fillId="0" borderId="0"/>
    <xf numFmtId="183" fontId="13" fillId="0" borderId="0"/>
    <xf numFmtId="183" fontId="4" fillId="0" borderId="0"/>
    <xf numFmtId="183" fontId="13" fillId="0" borderId="0"/>
    <xf numFmtId="219" fontId="13" fillId="0" borderId="0"/>
    <xf numFmtId="183" fontId="11" fillId="0" borderId="0"/>
    <xf numFmtId="183" fontId="4" fillId="0" borderId="0"/>
    <xf numFmtId="183" fontId="4" fillId="0" borderId="0"/>
    <xf numFmtId="183" fontId="13" fillId="0" borderId="0"/>
    <xf numFmtId="183" fontId="13" fillId="0" borderId="0"/>
    <xf numFmtId="183" fontId="4" fillId="0" borderId="0"/>
    <xf numFmtId="183" fontId="4" fillId="0" borderId="0"/>
    <xf numFmtId="185" fontId="1" fillId="0" borderId="0"/>
    <xf numFmtId="185" fontId="1" fillId="0" borderId="0"/>
    <xf numFmtId="185" fontId="1" fillId="0" borderId="0"/>
    <xf numFmtId="0" fontId="14" fillId="0" borderId="0"/>
    <xf numFmtId="183" fontId="15" fillId="0" borderId="0"/>
    <xf numFmtId="221" fontId="14" fillId="0" borderId="0"/>
    <xf numFmtId="221" fontId="15" fillId="0" borderId="0"/>
    <xf numFmtId="9" fontId="1" fillId="0" borderId="0" applyFont="0" applyFill="0" applyBorder="0" applyAlignment="0" applyProtection="0"/>
  </cellStyleXfs>
  <cellXfs count="776">
    <xf numFmtId="0" fontId="0" fillId="0" borderId="0" xfId="0"/>
    <xf numFmtId="0" fontId="16" fillId="0" borderId="0" xfId="0" applyFont="1"/>
    <xf numFmtId="0" fontId="16" fillId="0" borderId="0" xfId="0" applyFont="1" applyAlignment="1">
      <alignment horizontal="left"/>
    </xf>
    <xf numFmtId="168" fontId="16" fillId="0" borderId="0" xfId="8" applyFont="1"/>
    <xf numFmtId="0" fontId="17" fillId="0" borderId="0" xfId="0" applyFont="1" applyAlignment="1">
      <alignment horizontal="left"/>
    </xf>
    <xf numFmtId="0" fontId="17" fillId="0" borderId="0" xfId="0" applyFont="1"/>
    <xf numFmtId="0" fontId="16" fillId="0" borderId="0" xfId="0" applyFont="1" applyAlignment="1">
      <alignment horizontal="center"/>
    </xf>
    <xf numFmtId="168" fontId="16" fillId="0" borderId="0" xfId="8" applyFont="1" applyAlignment="1">
      <alignment horizontal="center"/>
    </xf>
    <xf numFmtId="168" fontId="16" fillId="0" borderId="0" xfId="8" applyFont="1" applyAlignment="1">
      <alignment horizontal="left"/>
    </xf>
    <xf numFmtId="0" fontId="17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168" fontId="16" fillId="0" borderId="2" xfId="8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168" fontId="16" fillId="0" borderId="5" xfId="8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8" xfId="0" applyFont="1" applyBorder="1" applyAlignment="1">
      <alignment horizontal="left"/>
    </xf>
    <xf numFmtId="0" fontId="16" fillId="0" borderId="9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168" fontId="16" fillId="0" borderId="8" xfId="8" applyFont="1" applyBorder="1" applyAlignment="1">
      <alignment horizontal="center"/>
    </xf>
    <xf numFmtId="173" fontId="16" fillId="0" borderId="8" xfId="8" applyNumberFormat="1" applyFont="1" applyBorder="1" applyAlignment="1">
      <alignment horizontal="center"/>
    </xf>
    <xf numFmtId="174" fontId="16" fillId="0" borderId="0" xfId="8" applyNumberFormat="1" applyFont="1"/>
    <xf numFmtId="166" fontId="16" fillId="0" borderId="0" xfId="8" applyNumberFormat="1" applyFont="1"/>
    <xf numFmtId="186" fontId="16" fillId="0" borderId="0" xfId="0" applyNumberFormat="1" applyFont="1"/>
    <xf numFmtId="200" fontId="16" fillId="0" borderId="0" xfId="8" applyNumberFormat="1" applyFont="1"/>
    <xf numFmtId="205" fontId="16" fillId="0" borderId="0" xfId="0" applyNumberFormat="1" applyFont="1"/>
    <xf numFmtId="177" fontId="16" fillId="0" borderId="0" xfId="0" applyNumberFormat="1" applyFont="1"/>
    <xf numFmtId="170" fontId="16" fillId="0" borderId="0" xfId="0" applyNumberFormat="1" applyFont="1"/>
    <xf numFmtId="168" fontId="18" fillId="0" borderId="0" xfId="8" applyFont="1"/>
    <xf numFmtId="210" fontId="16" fillId="0" borderId="0" xfId="0" applyNumberFormat="1" applyFont="1"/>
    <xf numFmtId="0" fontId="16" fillId="0" borderId="1" xfId="0" applyFont="1" applyBorder="1"/>
    <xf numFmtId="171" fontId="16" fillId="0" borderId="1" xfId="0" applyNumberFormat="1" applyFont="1" applyBorder="1"/>
    <xf numFmtId="169" fontId="16" fillId="0" borderId="1" xfId="8" applyNumberFormat="1" applyFont="1" applyBorder="1"/>
    <xf numFmtId="175" fontId="16" fillId="0" borderId="1" xfId="0" applyNumberFormat="1" applyFont="1" applyBorder="1"/>
    <xf numFmtId="166" fontId="16" fillId="0" borderId="1" xfId="8" applyNumberFormat="1" applyFont="1" applyBorder="1"/>
    <xf numFmtId="177" fontId="16" fillId="0" borderId="1" xfId="0" applyNumberFormat="1" applyFont="1" applyBorder="1"/>
    <xf numFmtId="168" fontId="16" fillId="0" borderId="1" xfId="8" applyFont="1" applyBorder="1"/>
    <xf numFmtId="173" fontId="16" fillId="0" borderId="1" xfId="8" applyNumberFormat="1" applyFont="1" applyBorder="1" applyAlignment="1">
      <alignment horizontal="right"/>
    </xf>
    <xf numFmtId="200" fontId="16" fillId="0" borderId="1" xfId="8" applyNumberFormat="1" applyFont="1" applyBorder="1" applyAlignment="1">
      <alignment horizontal="right"/>
    </xf>
    <xf numFmtId="171" fontId="18" fillId="0" borderId="1" xfId="0" applyNumberFormat="1" applyFont="1" applyBorder="1"/>
    <xf numFmtId="207" fontId="18" fillId="0" borderId="1" xfId="8" applyNumberFormat="1" applyFont="1" applyBorder="1"/>
    <xf numFmtId="169" fontId="18" fillId="0" borderId="1" xfId="8" applyNumberFormat="1" applyFont="1" applyBorder="1"/>
    <xf numFmtId="166" fontId="18" fillId="0" borderId="1" xfId="8" applyNumberFormat="1" applyFont="1" applyBorder="1"/>
    <xf numFmtId="168" fontId="18" fillId="0" borderId="1" xfId="8" applyFont="1" applyBorder="1"/>
    <xf numFmtId="207" fontId="16" fillId="0" borderId="1" xfId="8" applyNumberFormat="1" applyFont="1" applyBorder="1"/>
    <xf numFmtId="206" fontId="16" fillId="0" borderId="1" xfId="8" applyNumberFormat="1" applyFont="1" applyBorder="1"/>
    <xf numFmtId="169" fontId="16" fillId="0" borderId="1" xfId="8" applyNumberFormat="1" applyFont="1" applyBorder="1" applyAlignment="1">
      <alignment horizontal="center"/>
    </xf>
    <xf numFmtId="173" fontId="16" fillId="0" borderId="1" xfId="8" applyNumberFormat="1" applyFont="1" applyBorder="1"/>
    <xf numFmtId="168" fontId="16" fillId="0" borderId="1" xfId="8" applyFont="1" applyBorder="1" applyAlignment="1">
      <alignment horizontal="center"/>
    </xf>
    <xf numFmtId="170" fontId="16" fillId="0" borderId="1" xfId="8" applyNumberFormat="1" applyFont="1" applyBorder="1" applyAlignment="1">
      <alignment horizontal="center"/>
    </xf>
    <xf numFmtId="184" fontId="16" fillId="0" borderId="1" xfId="8" applyNumberFormat="1" applyFont="1" applyBorder="1" applyAlignment="1">
      <alignment horizontal="center"/>
    </xf>
    <xf numFmtId="190" fontId="16" fillId="0" borderId="1" xfId="8" applyNumberFormat="1" applyFont="1" applyBorder="1" applyAlignment="1">
      <alignment horizontal="center"/>
    </xf>
    <xf numFmtId="166" fontId="16" fillId="0" borderId="1" xfId="8" applyNumberFormat="1" applyFont="1" applyBorder="1" applyAlignment="1">
      <alignment horizontal="center"/>
    </xf>
    <xf numFmtId="178" fontId="16" fillId="0" borderId="1" xfId="8" applyNumberFormat="1" applyFont="1" applyBorder="1" applyAlignment="1">
      <alignment horizontal="right"/>
    </xf>
    <xf numFmtId="171" fontId="16" fillId="0" borderId="0" xfId="0" applyNumberFormat="1" applyFont="1"/>
    <xf numFmtId="209" fontId="16" fillId="0" borderId="0" xfId="8" applyNumberFormat="1" applyFont="1" applyAlignment="1">
      <alignment horizontal="center"/>
    </xf>
    <xf numFmtId="168" fontId="17" fillId="0" borderId="0" xfId="8" applyFont="1"/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168" fontId="20" fillId="0" borderId="0" xfId="8" applyFont="1" applyAlignment="1">
      <alignment horizontal="center"/>
    </xf>
    <xf numFmtId="0" fontId="20" fillId="0" borderId="0" xfId="0" applyFont="1"/>
    <xf numFmtId="168" fontId="20" fillId="0" borderId="0" xfId="8" applyFont="1" applyAlignment="1">
      <alignment horizontal="left"/>
    </xf>
    <xf numFmtId="0" fontId="19" fillId="0" borderId="0" xfId="0" applyFont="1"/>
    <xf numFmtId="166" fontId="20" fillId="0" borderId="0" xfId="8" applyNumberFormat="1" applyFont="1" applyAlignment="1">
      <alignment horizontal="center"/>
    </xf>
    <xf numFmtId="166" fontId="20" fillId="0" borderId="0" xfId="8" applyNumberFormat="1" applyFont="1"/>
    <xf numFmtId="168" fontId="20" fillId="0" borderId="0" xfId="8" applyFont="1"/>
    <xf numFmtId="0" fontId="20" fillId="0" borderId="2" xfId="0" applyFont="1" applyBorder="1" applyAlignment="1">
      <alignment horizontal="center"/>
    </xf>
    <xf numFmtId="168" fontId="20" fillId="0" borderId="2" xfId="8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168" fontId="20" fillId="0" borderId="8" xfId="8" applyFont="1" applyBorder="1" applyAlignment="1">
      <alignment horizontal="center"/>
    </xf>
    <xf numFmtId="167" fontId="20" fillId="0" borderId="0" xfId="8" applyNumberFormat="1" applyFont="1" applyAlignment="1">
      <alignment horizontal="center"/>
    </xf>
    <xf numFmtId="181" fontId="20" fillId="0" borderId="0" xfId="44" applyNumberFormat="1" applyFont="1"/>
    <xf numFmtId="172" fontId="20" fillId="0" borderId="0" xfId="8" applyNumberFormat="1" applyFont="1"/>
    <xf numFmtId="173" fontId="20" fillId="0" borderId="0" xfId="8" applyNumberFormat="1" applyFont="1"/>
    <xf numFmtId="0" fontId="20" fillId="0" borderId="1" xfId="0" applyFont="1" applyBorder="1"/>
    <xf numFmtId="171" fontId="20" fillId="0" borderId="1" xfId="0" applyNumberFormat="1" applyFont="1" applyBorder="1"/>
    <xf numFmtId="166" fontId="20" fillId="0" borderId="1" xfId="8" applyNumberFormat="1" applyFont="1" applyBorder="1"/>
    <xf numFmtId="181" fontId="20" fillId="0" borderId="1" xfId="44" applyNumberFormat="1" applyFont="1" applyBorder="1"/>
    <xf numFmtId="168" fontId="20" fillId="0" borderId="1" xfId="8" applyFont="1" applyBorder="1"/>
    <xf numFmtId="182" fontId="20" fillId="0" borderId="0" xfId="0" applyNumberFormat="1" applyFont="1" applyAlignment="1">
      <alignment horizontal="center"/>
    </xf>
    <xf numFmtId="166" fontId="20" fillId="0" borderId="11" xfId="8" applyNumberFormat="1" applyFont="1" applyBorder="1"/>
    <xf numFmtId="171" fontId="20" fillId="0" borderId="1" xfId="8" applyNumberFormat="1" applyFont="1" applyBorder="1"/>
    <xf numFmtId="166" fontId="20" fillId="0" borderId="12" xfId="8" applyNumberFormat="1" applyFont="1" applyBorder="1"/>
    <xf numFmtId="166" fontId="20" fillId="2" borderId="12" xfId="8" applyNumberFormat="1" applyFont="1" applyFill="1" applyBorder="1"/>
    <xf numFmtId="182" fontId="20" fillId="0" borderId="1" xfId="44" applyNumberFormat="1" applyFont="1" applyBorder="1" applyAlignment="1">
      <alignment horizontal="right" vertical="top"/>
    </xf>
    <xf numFmtId="169" fontId="20" fillId="0" borderId="1" xfId="8" applyNumberFormat="1" applyFont="1" applyBorder="1" applyAlignment="1">
      <alignment horizontal="center"/>
    </xf>
    <xf numFmtId="169" fontId="20" fillId="0" borderId="0" xfId="8" applyNumberFormat="1" applyFont="1" applyAlignment="1">
      <alignment horizontal="center"/>
    </xf>
    <xf numFmtId="166" fontId="20" fillId="0" borderId="12" xfId="8" applyNumberFormat="1" applyFont="1" applyBorder="1" applyAlignment="1">
      <alignment horizontal="center"/>
    </xf>
    <xf numFmtId="170" fontId="20" fillId="0" borderId="1" xfId="8" applyNumberFormat="1" applyFont="1" applyBorder="1" applyAlignment="1">
      <alignment horizontal="center"/>
    </xf>
    <xf numFmtId="170" fontId="20" fillId="0" borderId="0" xfId="8" applyNumberFormat="1" applyFont="1" applyAlignment="1">
      <alignment horizontal="center"/>
    </xf>
    <xf numFmtId="0" fontId="22" fillId="0" borderId="0" xfId="0" applyFont="1" applyAlignment="1">
      <alignment horizontal="left"/>
    </xf>
    <xf numFmtId="183" fontId="20" fillId="0" borderId="0" xfId="44" applyFont="1" applyAlignment="1">
      <alignment horizontal="center"/>
    </xf>
    <xf numFmtId="173" fontId="16" fillId="0" borderId="0" xfId="8" applyNumberFormat="1" applyFont="1" applyAlignment="1">
      <alignment horizontal="center"/>
    </xf>
    <xf numFmtId="176" fontId="16" fillId="0" borderId="0" xfId="0" applyNumberFormat="1" applyFont="1"/>
    <xf numFmtId="173" fontId="16" fillId="0" borderId="0" xfId="8" applyNumberFormat="1" applyFont="1"/>
    <xf numFmtId="178" fontId="16" fillId="0" borderId="0" xfId="8" applyNumberFormat="1" applyFont="1"/>
    <xf numFmtId="179" fontId="16" fillId="0" borderId="0" xfId="8" applyNumberFormat="1" applyFont="1"/>
    <xf numFmtId="176" fontId="20" fillId="0" borderId="0" xfId="0" applyNumberFormat="1" applyFont="1"/>
    <xf numFmtId="177" fontId="20" fillId="0" borderId="1" xfId="0" applyNumberFormat="1" applyFont="1" applyBorder="1"/>
    <xf numFmtId="181" fontId="24" fillId="0" borderId="0" xfId="20" applyNumberFormat="1" applyFont="1"/>
    <xf numFmtId="181" fontId="25" fillId="0" borderId="0" xfId="20" applyNumberFormat="1" applyFont="1" applyAlignment="1">
      <alignment horizontal="left"/>
    </xf>
    <xf numFmtId="167" fontId="24" fillId="0" borderId="0" xfId="20" applyFont="1"/>
    <xf numFmtId="181" fontId="26" fillId="0" borderId="0" xfId="20" applyNumberFormat="1" applyFont="1" applyAlignment="1">
      <alignment horizontal="left"/>
    </xf>
    <xf numFmtId="181" fontId="20" fillId="0" borderId="1" xfId="20" applyNumberFormat="1" applyFont="1" applyBorder="1"/>
    <xf numFmtId="183" fontId="20" fillId="0" borderId="1" xfId="8" applyNumberFormat="1" applyFont="1" applyBorder="1" applyAlignment="1">
      <alignment horizontal="center" wrapText="1"/>
    </xf>
    <xf numFmtId="181" fontId="20" fillId="0" borderId="0" xfId="20" applyNumberFormat="1" applyFont="1"/>
    <xf numFmtId="181" fontId="20" fillId="0" borderId="13" xfId="20" applyNumberFormat="1" applyFont="1" applyBorder="1" applyAlignment="1">
      <alignment horizontal="center" vertical="center" wrapText="1"/>
    </xf>
    <xf numFmtId="181" fontId="19" fillId="0" borderId="0" xfId="20" applyNumberFormat="1" applyFont="1"/>
    <xf numFmtId="182" fontId="19" fillId="0" borderId="0" xfId="8" applyNumberFormat="1" applyFont="1" applyAlignment="1">
      <alignment horizontal="right"/>
    </xf>
    <xf numFmtId="184" fontId="27" fillId="0" borderId="0" xfId="20" applyNumberFormat="1" applyFont="1"/>
    <xf numFmtId="182" fontId="19" fillId="0" borderId="0" xfId="8" applyNumberFormat="1" applyFont="1" applyAlignment="1">
      <alignment horizontal="center"/>
    </xf>
    <xf numFmtId="166" fontId="19" fillId="0" borderId="0" xfId="8" applyNumberFormat="1" applyFont="1" applyAlignment="1">
      <alignment horizontal="center"/>
    </xf>
    <xf numFmtId="184" fontId="24" fillId="0" borderId="0" xfId="20" applyNumberFormat="1" applyFont="1"/>
    <xf numFmtId="181" fontId="19" fillId="0" borderId="0" xfId="20" applyNumberFormat="1" applyFont="1" applyAlignment="1">
      <alignment vertical="top"/>
    </xf>
    <xf numFmtId="182" fontId="19" fillId="0" borderId="0" xfId="8" applyNumberFormat="1" applyFont="1"/>
    <xf numFmtId="181" fontId="24" fillId="0" borderId="0" xfId="20" applyNumberFormat="1" applyFont="1" applyAlignment="1">
      <alignment horizontal="right"/>
    </xf>
    <xf numFmtId="181" fontId="20" fillId="0" borderId="1" xfId="20" applyNumberFormat="1" applyFont="1" applyBorder="1" applyAlignment="1">
      <alignment vertical="top"/>
    </xf>
    <xf numFmtId="182" fontId="24" fillId="0" borderId="1" xfId="20" applyNumberFormat="1" applyFont="1" applyBorder="1" applyAlignment="1">
      <alignment horizontal="right" vertical="center"/>
    </xf>
    <xf numFmtId="185" fontId="20" fillId="0" borderId="1" xfId="8" applyNumberFormat="1" applyFont="1" applyBorder="1" applyAlignment="1">
      <alignment horizontal="center"/>
    </xf>
    <xf numFmtId="181" fontId="24" fillId="0" borderId="1" xfId="20" applyNumberFormat="1" applyFont="1" applyBorder="1"/>
    <xf numFmtId="182" fontId="19" fillId="0" borderId="1" xfId="8" applyNumberFormat="1" applyFont="1" applyBorder="1" applyAlignment="1">
      <alignment horizontal="right"/>
    </xf>
    <xf numFmtId="184" fontId="27" fillId="0" borderId="1" xfId="20" applyNumberFormat="1" applyFont="1" applyBorder="1"/>
    <xf numFmtId="182" fontId="20" fillId="0" borderId="1" xfId="8" applyNumberFormat="1" applyFont="1" applyBorder="1" applyAlignment="1">
      <alignment horizontal="right"/>
    </xf>
    <xf numFmtId="184" fontId="24" fillId="0" borderId="1" xfId="20" applyNumberFormat="1" applyFont="1" applyBorder="1"/>
    <xf numFmtId="181" fontId="20" fillId="0" borderId="1" xfId="20" applyNumberFormat="1" applyFont="1" applyBorder="1" applyAlignment="1">
      <alignment horizontal="justify" vertical="top"/>
    </xf>
    <xf numFmtId="182" fontId="20" fillId="0" borderId="1" xfId="8" applyNumberFormat="1" applyFont="1" applyBorder="1" applyAlignment="1">
      <alignment horizontal="center"/>
    </xf>
    <xf numFmtId="182" fontId="24" fillId="0" borderId="1" xfId="20" applyNumberFormat="1" applyFont="1" applyBorder="1"/>
    <xf numFmtId="181" fontId="24" fillId="0" borderId="1" xfId="20" applyNumberFormat="1" applyFont="1" applyBorder="1" applyAlignment="1">
      <alignment horizontal="justify" vertical="top"/>
    </xf>
    <xf numFmtId="180" fontId="24" fillId="0" borderId="1" xfId="20" applyNumberFormat="1" applyFont="1" applyBorder="1"/>
    <xf numFmtId="181" fontId="24" fillId="0" borderId="0" xfId="20" applyNumberFormat="1" applyFont="1" applyAlignment="1">
      <alignment vertical="top"/>
    </xf>
    <xf numFmtId="182" fontId="24" fillId="0" borderId="0" xfId="20" applyNumberFormat="1" applyFont="1"/>
    <xf numFmtId="170" fontId="24" fillId="0" borderId="0" xfId="20" applyNumberFormat="1" applyFont="1"/>
    <xf numFmtId="181" fontId="19" fillId="0" borderId="0" xfId="20" applyNumberFormat="1" applyFont="1" applyAlignment="1">
      <alignment horizontal="justify" vertical="top"/>
    </xf>
    <xf numFmtId="181" fontId="27" fillId="0" borderId="0" xfId="20" applyNumberFormat="1" applyFont="1"/>
    <xf numFmtId="170" fontId="27" fillId="0" borderId="0" xfId="20" applyNumberFormat="1" applyFont="1"/>
    <xf numFmtId="181" fontId="27" fillId="0" borderId="0" xfId="20" applyNumberFormat="1" applyFont="1" applyAlignment="1">
      <alignment vertical="top"/>
    </xf>
    <xf numFmtId="181" fontId="27" fillId="0" borderId="0" xfId="20" applyNumberFormat="1" applyFont="1" applyAlignment="1">
      <alignment horizontal="justify" vertical="top"/>
    </xf>
    <xf numFmtId="166" fontId="24" fillId="0" borderId="0" xfId="8" applyNumberFormat="1" applyFont="1"/>
    <xf numFmtId="166" fontId="24" fillId="0" borderId="0" xfId="8" applyNumberFormat="1" applyFont="1" applyAlignment="1">
      <alignment horizontal="center"/>
    </xf>
    <xf numFmtId="183" fontId="24" fillId="0" borderId="0" xfId="8" applyNumberFormat="1" applyFont="1" applyAlignment="1">
      <alignment horizontal="center"/>
    </xf>
    <xf numFmtId="166" fontId="24" fillId="0" borderId="1" xfId="8" applyNumberFormat="1" applyFont="1" applyBorder="1"/>
    <xf numFmtId="166" fontId="27" fillId="0" borderId="0" xfId="8" applyNumberFormat="1" applyFont="1"/>
    <xf numFmtId="181" fontId="24" fillId="0" borderId="0" xfId="20" applyNumberFormat="1" applyFont="1" applyAlignment="1">
      <alignment horizontal="center"/>
    </xf>
    <xf numFmtId="167" fontId="24" fillId="0" borderId="0" xfId="20" applyFont="1" applyAlignment="1">
      <alignment horizontal="center"/>
    </xf>
    <xf numFmtId="181" fontId="24" fillId="3" borderId="8" xfId="20" applyNumberFormat="1" applyFont="1" applyFill="1" applyBorder="1"/>
    <xf numFmtId="182" fontId="24" fillId="3" borderId="1" xfId="20" applyNumberFormat="1" applyFont="1" applyFill="1" applyBorder="1" applyAlignment="1">
      <alignment horizontal="right" vertical="center"/>
    </xf>
    <xf numFmtId="167" fontId="24" fillId="3" borderId="1" xfId="20" applyFont="1" applyFill="1" applyBorder="1" applyAlignment="1">
      <alignment horizontal="right" vertical="center"/>
    </xf>
    <xf numFmtId="181" fontId="24" fillId="3" borderId="1" xfId="20" applyNumberFormat="1" applyFont="1" applyFill="1" applyBorder="1" applyAlignment="1">
      <alignment horizontal="justify" vertical="top"/>
    </xf>
    <xf numFmtId="181" fontId="24" fillId="3" borderId="1" xfId="20" applyNumberFormat="1" applyFont="1" applyFill="1" applyBorder="1"/>
    <xf numFmtId="167" fontId="24" fillId="3" borderId="1" xfId="20" applyFont="1" applyFill="1" applyBorder="1"/>
    <xf numFmtId="181" fontId="24" fillId="4" borderId="0" xfId="20" applyNumberFormat="1" applyFont="1" applyFill="1" applyAlignment="1">
      <alignment horizontal="justify" vertical="top"/>
    </xf>
    <xf numFmtId="181" fontId="24" fillId="4" borderId="0" xfId="20" applyNumberFormat="1" applyFont="1" applyFill="1"/>
    <xf numFmtId="167" fontId="24" fillId="4" borderId="0" xfId="20" applyFont="1" applyFill="1"/>
    <xf numFmtId="182" fontId="24" fillId="4" borderId="0" xfId="20" applyNumberFormat="1" applyFont="1" applyFill="1" applyAlignment="1">
      <alignment horizontal="right" vertical="center"/>
    </xf>
    <xf numFmtId="167" fontId="24" fillId="4" borderId="0" xfId="20" applyFont="1" applyFill="1" applyAlignment="1">
      <alignment horizontal="right" vertical="center"/>
    </xf>
    <xf numFmtId="181" fontId="28" fillId="0" borderId="0" xfId="20" applyNumberFormat="1" applyFont="1" applyAlignment="1">
      <alignment vertical="center"/>
    </xf>
    <xf numFmtId="181" fontId="22" fillId="0" borderId="0" xfId="20" applyNumberFormat="1" applyFont="1" applyAlignment="1">
      <alignment horizontal="left" vertical="center"/>
    </xf>
    <xf numFmtId="167" fontId="28" fillId="0" borderId="0" xfId="20" applyFont="1" applyAlignment="1">
      <alignment vertical="center"/>
    </xf>
    <xf numFmtId="181" fontId="29" fillId="0" borderId="1" xfId="20" applyNumberFormat="1" applyFont="1" applyBorder="1" applyAlignment="1">
      <alignment vertical="center"/>
    </xf>
    <xf numFmtId="183" fontId="29" fillId="0" borderId="1" xfId="8" applyNumberFormat="1" applyFont="1" applyBorder="1" applyAlignment="1">
      <alignment horizontal="center" vertical="center" wrapText="1"/>
    </xf>
    <xf numFmtId="181" fontId="29" fillId="0" borderId="0" xfId="20" applyNumberFormat="1" applyFont="1" applyAlignment="1">
      <alignment vertical="center"/>
    </xf>
    <xf numFmtId="181" fontId="29" fillId="0" borderId="13" xfId="20" applyNumberFormat="1" applyFont="1" applyBorder="1" applyAlignment="1">
      <alignment horizontal="center" vertical="center" wrapText="1"/>
    </xf>
    <xf numFmtId="181" fontId="22" fillId="0" borderId="0" xfId="20" applyNumberFormat="1" applyFont="1" applyAlignment="1">
      <alignment vertical="center"/>
    </xf>
    <xf numFmtId="182" fontId="22" fillId="0" borderId="0" xfId="8" applyNumberFormat="1" applyFont="1" applyAlignment="1">
      <alignment horizontal="right" vertical="center"/>
    </xf>
    <xf numFmtId="184" fontId="30" fillId="0" borderId="0" xfId="20" applyNumberFormat="1" applyFont="1" applyAlignment="1">
      <alignment vertical="center"/>
    </xf>
    <xf numFmtId="182" fontId="22" fillId="0" borderId="0" xfId="8" applyNumberFormat="1" applyFont="1" applyAlignment="1">
      <alignment horizontal="center" vertical="center"/>
    </xf>
    <xf numFmtId="166" fontId="22" fillId="0" borderId="0" xfId="8" applyNumberFormat="1" applyFont="1" applyAlignment="1">
      <alignment horizontal="center" vertical="center"/>
    </xf>
    <xf numFmtId="184" fontId="28" fillId="0" borderId="0" xfId="20" applyNumberFormat="1" applyFont="1" applyAlignment="1">
      <alignment vertical="center"/>
    </xf>
    <xf numFmtId="182" fontId="22" fillId="0" borderId="0" xfId="8" applyNumberFormat="1" applyFont="1" applyAlignment="1">
      <alignment vertical="center"/>
    </xf>
    <xf numFmtId="166" fontId="22" fillId="0" borderId="0" xfId="8" applyNumberFormat="1" applyFont="1" applyAlignment="1">
      <alignment vertical="center"/>
    </xf>
    <xf numFmtId="182" fontId="28" fillId="0" borderId="1" xfId="20" applyNumberFormat="1" applyFont="1" applyBorder="1" applyAlignment="1">
      <alignment horizontal="right" vertical="center"/>
    </xf>
    <xf numFmtId="185" fontId="29" fillId="0" borderId="1" xfId="8" applyNumberFormat="1" applyFont="1" applyBorder="1" applyAlignment="1">
      <alignment horizontal="center" vertical="center"/>
    </xf>
    <xf numFmtId="181" fontId="28" fillId="0" borderId="1" xfId="20" applyNumberFormat="1" applyFont="1" applyBorder="1" applyAlignment="1">
      <alignment vertical="center"/>
    </xf>
    <xf numFmtId="182" fontId="22" fillId="0" borderId="1" xfId="8" applyNumberFormat="1" applyFont="1" applyBorder="1" applyAlignment="1">
      <alignment horizontal="right" vertical="center"/>
    </xf>
    <xf numFmtId="184" fontId="30" fillId="0" borderId="1" xfId="20" applyNumberFormat="1" applyFont="1" applyBorder="1" applyAlignment="1">
      <alignment vertical="center"/>
    </xf>
    <xf numFmtId="182" fontId="29" fillId="0" borderId="1" xfId="8" applyNumberFormat="1" applyFont="1" applyBorder="1" applyAlignment="1">
      <alignment horizontal="right" vertical="center"/>
    </xf>
    <xf numFmtId="184" fontId="28" fillId="0" borderId="1" xfId="20" applyNumberFormat="1" applyFont="1" applyBorder="1" applyAlignment="1">
      <alignment vertical="center"/>
    </xf>
    <xf numFmtId="181" fontId="29" fillId="0" borderId="1" xfId="20" applyNumberFormat="1" applyFont="1" applyBorder="1" applyAlignment="1">
      <alignment horizontal="justify" vertical="center"/>
    </xf>
    <xf numFmtId="182" fontId="28" fillId="0" borderId="1" xfId="20" applyNumberFormat="1" applyFont="1" applyBorder="1" applyAlignment="1">
      <alignment vertical="center"/>
    </xf>
    <xf numFmtId="181" fontId="28" fillId="0" borderId="1" xfId="20" applyNumberFormat="1" applyFont="1" applyBorder="1" applyAlignment="1">
      <alignment horizontal="justify" vertical="center"/>
    </xf>
    <xf numFmtId="182" fontId="28" fillId="0" borderId="0" xfId="20" applyNumberFormat="1" applyFont="1" applyAlignment="1">
      <alignment vertical="center"/>
    </xf>
    <xf numFmtId="170" fontId="28" fillId="0" borderId="0" xfId="20" applyNumberFormat="1" applyFont="1" applyAlignment="1">
      <alignment vertical="center"/>
    </xf>
    <xf numFmtId="181" fontId="22" fillId="0" borderId="0" xfId="20" applyNumberFormat="1" applyFont="1" applyAlignment="1">
      <alignment horizontal="justify" vertical="center"/>
    </xf>
    <xf numFmtId="181" fontId="30" fillId="0" borderId="0" xfId="20" applyNumberFormat="1" applyFont="1" applyAlignment="1">
      <alignment vertical="center"/>
    </xf>
    <xf numFmtId="170" fontId="30" fillId="0" borderId="0" xfId="20" applyNumberFormat="1" applyFont="1" applyAlignment="1">
      <alignment vertical="center"/>
    </xf>
    <xf numFmtId="166" fontId="28" fillId="0" borderId="0" xfId="8" applyNumberFormat="1" applyFont="1" applyAlignment="1">
      <alignment vertical="center"/>
    </xf>
    <xf numFmtId="166" fontId="28" fillId="0" borderId="0" xfId="8" applyNumberFormat="1" applyFont="1" applyAlignment="1">
      <alignment horizontal="center" vertical="center"/>
    </xf>
    <xf numFmtId="183" fontId="28" fillId="0" borderId="0" xfId="8" applyNumberFormat="1" applyFont="1" applyAlignment="1">
      <alignment horizontal="center" vertical="center"/>
    </xf>
    <xf numFmtId="166" fontId="28" fillId="0" borderId="1" xfId="8" applyNumberFormat="1" applyFont="1" applyBorder="1" applyAlignment="1">
      <alignment vertical="center"/>
    </xf>
    <xf numFmtId="166" fontId="30" fillId="0" borderId="0" xfId="8" applyNumberFormat="1" applyFont="1" applyAlignment="1">
      <alignment vertical="center"/>
    </xf>
    <xf numFmtId="181" fontId="28" fillId="0" borderId="0" xfId="20" applyNumberFormat="1" applyFont="1" applyAlignment="1">
      <alignment horizontal="center" vertical="center"/>
    </xf>
    <xf numFmtId="167" fontId="28" fillId="0" borderId="0" xfId="20" applyFont="1" applyAlignment="1">
      <alignment horizontal="center" vertical="center"/>
    </xf>
    <xf numFmtId="181" fontId="28" fillId="3" borderId="8" xfId="20" applyNumberFormat="1" applyFont="1" applyFill="1" applyBorder="1" applyAlignment="1">
      <alignment vertical="center"/>
    </xf>
    <xf numFmtId="182" fontId="28" fillId="3" borderId="1" xfId="20" applyNumberFormat="1" applyFont="1" applyFill="1" applyBorder="1" applyAlignment="1">
      <alignment horizontal="right" vertical="center"/>
    </xf>
    <xf numFmtId="167" fontId="28" fillId="3" borderId="1" xfId="20" applyFont="1" applyFill="1" applyBorder="1" applyAlignment="1">
      <alignment horizontal="right" vertical="center"/>
    </xf>
    <xf numFmtId="181" fontId="28" fillId="3" borderId="1" xfId="20" applyNumberFormat="1" applyFont="1" applyFill="1" applyBorder="1" applyAlignment="1">
      <alignment horizontal="justify" vertical="center"/>
    </xf>
    <xf numFmtId="181" fontId="28" fillId="3" borderId="1" xfId="20" applyNumberFormat="1" applyFont="1" applyFill="1" applyBorder="1" applyAlignment="1">
      <alignment vertical="center"/>
    </xf>
    <xf numFmtId="167" fontId="28" fillId="3" borderId="1" xfId="20" applyFont="1" applyFill="1" applyBorder="1" applyAlignment="1">
      <alignment vertical="center"/>
    </xf>
    <xf numFmtId="181" fontId="28" fillId="4" borderId="0" xfId="20" applyNumberFormat="1" applyFont="1" applyFill="1" applyAlignment="1">
      <alignment horizontal="justify" vertical="center"/>
    </xf>
    <xf numFmtId="181" fontId="28" fillId="4" borderId="0" xfId="20" applyNumberFormat="1" applyFont="1" applyFill="1" applyAlignment="1">
      <alignment vertical="center"/>
    </xf>
    <xf numFmtId="167" fontId="28" fillId="4" borderId="0" xfId="20" applyFont="1" applyFill="1" applyAlignment="1">
      <alignment vertical="center"/>
    </xf>
    <xf numFmtId="182" fontId="28" fillId="4" borderId="0" xfId="20" applyNumberFormat="1" applyFont="1" applyFill="1" applyAlignment="1">
      <alignment horizontal="right" vertical="center"/>
    </xf>
    <xf numFmtId="167" fontId="28" fillId="4" borderId="0" xfId="20" applyFont="1" applyFill="1" applyAlignment="1">
      <alignment horizontal="right" vertical="center"/>
    </xf>
    <xf numFmtId="183" fontId="20" fillId="0" borderId="8" xfId="44" applyFont="1" applyBorder="1" applyAlignment="1">
      <alignment horizontal="center"/>
    </xf>
    <xf numFmtId="183" fontId="20" fillId="0" borderId="1" xfId="44" applyFont="1" applyBorder="1"/>
    <xf numFmtId="166" fontId="20" fillId="2" borderId="1" xfId="8" applyNumberFormat="1" applyFont="1" applyFill="1" applyBorder="1"/>
    <xf numFmtId="0" fontId="32" fillId="0" borderId="0" xfId="0" applyFont="1" applyAlignment="1">
      <alignment horizontal="left" vertical="center"/>
    </xf>
    <xf numFmtId="175" fontId="32" fillId="0" borderId="0" xfId="44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horizontal="left" vertical="center"/>
    </xf>
    <xf numFmtId="183" fontId="35" fillId="0" borderId="0" xfId="44" applyFont="1" applyAlignment="1">
      <alignment horizontal="center" vertical="center"/>
    </xf>
    <xf numFmtId="175" fontId="32" fillId="0" borderId="0" xfId="44" applyNumberFormat="1" applyFont="1" applyAlignment="1">
      <alignment horizontal="center" vertical="center"/>
    </xf>
    <xf numFmtId="175" fontId="32" fillId="0" borderId="0" xfId="44" applyNumberFormat="1" applyFont="1" applyAlignment="1">
      <alignment horizontal="left" vertical="center"/>
    </xf>
    <xf numFmtId="182" fontId="32" fillId="0" borderId="0" xfId="44" applyNumberFormat="1" applyFont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183" fontId="34" fillId="0" borderId="1" xfId="44" applyFont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182" fontId="34" fillId="0" borderId="1" xfId="0" applyNumberFormat="1" applyFont="1" applyBorder="1" applyAlignment="1">
      <alignment vertical="center"/>
    </xf>
    <xf numFmtId="166" fontId="34" fillId="0" borderId="1" xfId="8" applyNumberFormat="1" applyFont="1" applyBorder="1" applyAlignment="1">
      <alignment vertical="center"/>
    </xf>
    <xf numFmtId="183" fontId="32" fillId="0" borderId="1" xfId="44" applyFont="1" applyBorder="1" applyAlignment="1">
      <alignment horizontal="center" vertical="center"/>
    </xf>
    <xf numFmtId="183" fontId="32" fillId="0" borderId="1" xfId="44" applyFont="1" applyBorder="1" applyAlignment="1">
      <alignment vertical="center"/>
    </xf>
    <xf numFmtId="182" fontId="32" fillId="0" borderId="1" xfId="44" applyNumberFormat="1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183" fontId="20" fillId="0" borderId="2" xfId="44" applyFont="1" applyBorder="1"/>
    <xf numFmtId="183" fontId="20" fillId="0" borderId="5" xfId="44" applyFont="1" applyBorder="1"/>
    <xf numFmtId="183" fontId="20" fillId="0" borderId="8" xfId="44" applyFont="1" applyBorder="1"/>
    <xf numFmtId="173" fontId="20" fillId="0" borderId="1" xfId="8" applyNumberFormat="1" applyFont="1" applyBorder="1"/>
    <xf numFmtId="0" fontId="36" fillId="0" borderId="0" xfId="0" applyFont="1" applyAlignment="1">
      <alignment vertical="center"/>
    </xf>
    <xf numFmtId="166" fontId="36" fillId="0" borderId="0" xfId="8" applyNumberFormat="1" applyFont="1" applyAlignment="1">
      <alignment vertical="center"/>
    </xf>
    <xf numFmtId="0" fontId="37" fillId="0" borderId="0" xfId="0" applyFont="1" applyAlignment="1">
      <alignment vertical="center"/>
    </xf>
    <xf numFmtId="166" fontId="37" fillId="0" borderId="0" xfId="8" applyNumberFormat="1" applyFont="1" applyAlignment="1">
      <alignment vertical="center"/>
    </xf>
    <xf numFmtId="0" fontId="37" fillId="0" borderId="1" xfId="0" applyFont="1" applyBorder="1" applyAlignment="1">
      <alignment horizontal="center" vertical="center"/>
    </xf>
    <xf numFmtId="182" fontId="37" fillId="0" borderId="1" xfId="8" applyNumberFormat="1" applyFont="1" applyBorder="1" applyAlignment="1">
      <alignment horizontal="center" vertical="center"/>
    </xf>
    <xf numFmtId="182" fontId="37" fillId="0" borderId="12" xfId="8" applyNumberFormat="1" applyFont="1" applyBorder="1" applyAlignment="1">
      <alignment horizontal="center" vertical="center"/>
    </xf>
    <xf numFmtId="199" fontId="37" fillId="0" borderId="0" xfId="0" applyNumberFormat="1" applyFont="1" applyAlignment="1">
      <alignment vertical="center"/>
    </xf>
    <xf numFmtId="0" fontId="37" fillId="0" borderId="1" xfId="0" applyFont="1" applyBorder="1" applyAlignment="1">
      <alignment vertical="center"/>
    </xf>
    <xf numFmtId="182" fontId="37" fillId="0" borderId="1" xfId="8" applyNumberFormat="1" applyFont="1" applyBorder="1" applyAlignment="1">
      <alignment vertical="center"/>
    </xf>
    <xf numFmtId="183" fontId="37" fillId="0" borderId="1" xfId="44" applyFont="1" applyBorder="1" applyAlignment="1">
      <alignment horizontal="center" vertical="center"/>
    </xf>
    <xf numFmtId="166" fontId="37" fillId="0" borderId="1" xfId="8" applyNumberFormat="1" applyFont="1" applyBorder="1" applyAlignment="1">
      <alignment vertical="center"/>
    </xf>
    <xf numFmtId="168" fontId="37" fillId="0" borderId="0" xfId="8" applyFont="1" applyAlignment="1">
      <alignment vertical="center"/>
    </xf>
    <xf numFmtId="198" fontId="37" fillId="0" borderId="0" xfId="8" applyNumberFormat="1" applyFont="1" applyAlignment="1">
      <alignment vertical="center"/>
    </xf>
    <xf numFmtId="0" fontId="37" fillId="0" borderId="8" xfId="0" applyFont="1" applyBorder="1" applyAlignment="1">
      <alignment vertical="center"/>
    </xf>
    <xf numFmtId="166" fontId="37" fillId="0" borderId="8" xfId="8" applyNumberFormat="1" applyFont="1" applyBorder="1" applyAlignment="1">
      <alignment vertical="center"/>
    </xf>
    <xf numFmtId="198" fontId="37" fillId="0" borderId="8" xfId="8" applyNumberFormat="1" applyFont="1" applyBorder="1" applyAlignment="1">
      <alignment vertical="center"/>
    </xf>
    <xf numFmtId="175" fontId="23" fillId="0" borderId="0" xfId="44" applyNumberFormat="1" applyFont="1"/>
    <xf numFmtId="183" fontId="21" fillId="0" borderId="0" xfId="44" applyFont="1"/>
    <xf numFmtId="183" fontId="21" fillId="0" borderId="2" xfId="44" applyFont="1" applyBorder="1" applyAlignment="1">
      <alignment horizontal="center"/>
    </xf>
    <xf numFmtId="183" fontId="21" fillId="0" borderId="8" xfId="44" applyFont="1" applyBorder="1" applyAlignment="1">
      <alignment horizontal="center"/>
    </xf>
    <xf numFmtId="182" fontId="21" fillId="0" borderId="0" xfId="44" applyNumberFormat="1" applyFont="1"/>
    <xf numFmtId="183" fontId="23" fillId="0" borderId="0" xfId="44" applyFont="1"/>
    <xf numFmtId="183" fontId="21" fillId="0" borderId="2" xfId="44" applyFont="1" applyBorder="1"/>
    <xf numFmtId="183" fontId="21" fillId="0" borderId="5" xfId="44" applyFont="1" applyBorder="1"/>
    <xf numFmtId="183" fontId="21" fillId="0" borderId="1" xfId="44" applyFont="1" applyBorder="1"/>
    <xf numFmtId="183" fontId="38" fillId="0" borderId="0" xfId="51" applyFont="1"/>
    <xf numFmtId="183" fontId="39" fillId="0" borderId="0" xfId="51" applyFont="1"/>
    <xf numFmtId="183" fontId="40" fillId="0" borderId="0" xfId="51" applyFont="1"/>
    <xf numFmtId="167" fontId="41" fillId="0" borderId="0" xfId="51" applyNumberFormat="1" applyFont="1"/>
    <xf numFmtId="182" fontId="20" fillId="0" borderId="2" xfId="44" applyNumberFormat="1" applyFont="1" applyBorder="1" applyAlignment="1">
      <alignment horizontal="center"/>
    </xf>
    <xf numFmtId="182" fontId="20" fillId="0" borderId="5" xfId="44" applyNumberFormat="1" applyFont="1" applyBorder="1" applyAlignment="1">
      <alignment horizontal="center"/>
    </xf>
    <xf numFmtId="182" fontId="20" fillId="0" borderId="1" xfId="44" applyNumberFormat="1" applyFont="1" applyBorder="1" applyAlignment="1">
      <alignment horizontal="center"/>
    </xf>
    <xf numFmtId="183" fontId="42" fillId="0" borderId="0" xfId="51" applyFont="1"/>
    <xf numFmtId="181" fontId="43" fillId="0" borderId="0" xfId="20" applyNumberFormat="1" applyFont="1"/>
    <xf numFmtId="167" fontId="38" fillId="0" borderId="0" xfId="51" applyNumberFormat="1" applyFont="1"/>
    <xf numFmtId="181" fontId="38" fillId="0" borderId="0" xfId="51" applyNumberFormat="1" applyFont="1"/>
    <xf numFmtId="183" fontId="42" fillId="0" borderId="1" xfId="51" applyFont="1" applyBorder="1" applyAlignment="1">
      <alignment horizontal="center"/>
    </xf>
    <xf numFmtId="183" fontId="42" fillId="0" borderId="1" xfId="51" applyFont="1" applyBorder="1" applyAlignment="1">
      <alignment vertical="top"/>
    </xf>
    <xf numFmtId="182" fontId="42" fillId="0" borderId="1" xfId="51" applyNumberFormat="1" applyFont="1" applyBorder="1" applyAlignment="1">
      <alignment vertical="top" wrapText="1"/>
    </xf>
    <xf numFmtId="181" fontId="42" fillId="0" borderId="1" xfId="20" applyNumberFormat="1" applyFont="1" applyBorder="1"/>
    <xf numFmtId="183" fontId="41" fillId="0" borderId="0" xfId="51" applyFont="1"/>
    <xf numFmtId="183" fontId="44" fillId="0" borderId="0" xfId="51" applyFont="1"/>
    <xf numFmtId="182" fontId="21" fillId="0" borderId="2" xfId="44" applyNumberFormat="1" applyFont="1" applyBorder="1" applyAlignment="1">
      <alignment horizontal="center"/>
    </xf>
    <xf numFmtId="182" fontId="21" fillId="0" borderId="5" xfId="44" applyNumberFormat="1" applyFont="1" applyBorder="1" applyAlignment="1">
      <alignment horizontal="center"/>
    </xf>
    <xf numFmtId="183" fontId="21" fillId="0" borderId="8" xfId="44" applyFont="1" applyBorder="1"/>
    <xf numFmtId="183" fontId="21" fillId="0" borderId="8" xfId="44" applyFont="1" applyBorder="1" applyAlignment="1">
      <alignment horizontal="center" wrapText="1"/>
    </xf>
    <xf numFmtId="182" fontId="21" fillId="0" borderId="1" xfId="44" applyNumberFormat="1" applyFont="1" applyBorder="1" applyAlignment="1">
      <alignment horizontal="center"/>
    </xf>
    <xf numFmtId="181" fontId="44" fillId="0" borderId="0" xfId="20" applyNumberFormat="1" applyFont="1"/>
    <xf numFmtId="199" fontId="41" fillId="0" borderId="0" xfId="51" applyNumberFormat="1" applyFont="1"/>
    <xf numFmtId="183" fontId="41" fillId="0" borderId="1" xfId="51" applyFont="1" applyBorder="1" applyAlignment="1">
      <alignment horizontal="center"/>
    </xf>
    <xf numFmtId="183" fontId="41" fillId="0" borderId="1" xfId="51" applyFont="1" applyBorder="1" applyAlignment="1">
      <alignment vertical="top"/>
    </xf>
    <xf numFmtId="182" fontId="41" fillId="0" borderId="1" xfId="51" applyNumberFormat="1" applyFont="1" applyBorder="1" applyAlignment="1">
      <alignment vertical="top" wrapText="1"/>
    </xf>
    <xf numFmtId="181" fontId="41" fillId="0" borderId="1" xfId="20" applyNumberFormat="1" applyFont="1" applyBorder="1" applyAlignment="1">
      <alignment vertical="top" wrapText="1"/>
    </xf>
    <xf numFmtId="181" fontId="41" fillId="0" borderId="1" xfId="20" applyNumberFormat="1" applyFont="1" applyBorder="1"/>
    <xf numFmtId="204" fontId="41" fillId="0" borderId="0" xfId="51" applyNumberFormat="1" applyFont="1"/>
    <xf numFmtId="182" fontId="41" fillId="2" borderId="1" xfId="51" applyNumberFormat="1" applyFont="1" applyFill="1" applyBorder="1" applyAlignment="1">
      <alignment vertical="top" wrapText="1"/>
    </xf>
    <xf numFmtId="181" fontId="21" fillId="0" borderId="0" xfId="44" applyNumberFormat="1" applyFont="1"/>
    <xf numFmtId="167" fontId="23" fillId="0" borderId="0" xfId="20" applyFont="1"/>
    <xf numFmtId="182" fontId="41" fillId="0" borderId="0" xfId="51" applyNumberFormat="1" applyFont="1" applyAlignment="1">
      <alignment horizontal="right" vertical="center"/>
    </xf>
    <xf numFmtId="182" fontId="41" fillId="0" borderId="17" xfId="51" applyNumberFormat="1" applyFont="1" applyBorder="1" applyAlignment="1">
      <alignment horizontal="right" vertical="center"/>
    </xf>
    <xf numFmtId="183" fontId="21" fillId="0" borderId="2" xfId="44" applyFont="1" applyBorder="1" applyAlignment="1">
      <alignment horizontal="center" wrapText="1"/>
    </xf>
    <xf numFmtId="182" fontId="21" fillId="0" borderId="8" xfId="44" applyNumberFormat="1" applyFont="1" applyBorder="1" applyAlignment="1">
      <alignment horizontal="center"/>
    </xf>
    <xf numFmtId="183" fontId="23" fillId="0" borderId="8" xfId="44" applyFont="1" applyBorder="1" applyAlignment="1">
      <alignment horizontal="center"/>
    </xf>
    <xf numFmtId="183" fontId="23" fillId="0" borderId="8" xfId="44" applyFont="1" applyBorder="1" applyAlignment="1">
      <alignment horizontal="left"/>
    </xf>
    <xf numFmtId="181" fontId="21" fillId="0" borderId="8" xfId="20" applyNumberFormat="1" applyFont="1" applyBorder="1"/>
    <xf numFmtId="204" fontId="21" fillId="0" borderId="8" xfId="20" applyNumberFormat="1" applyFont="1" applyBorder="1"/>
    <xf numFmtId="181" fontId="21" fillId="0" borderId="0" xfId="20" applyNumberFormat="1" applyFont="1"/>
    <xf numFmtId="183" fontId="41" fillId="0" borderId="1" xfId="51" applyFont="1" applyBorder="1" applyAlignment="1">
      <alignment horizontal="left"/>
    </xf>
    <xf numFmtId="181" fontId="21" fillId="0" borderId="8" xfId="44" applyNumberFormat="1" applyFont="1" applyBorder="1"/>
    <xf numFmtId="171" fontId="21" fillId="0" borderId="8" xfId="27" applyNumberFormat="1" applyFont="1" applyBorder="1"/>
    <xf numFmtId="181" fontId="21" fillId="0" borderId="1" xfId="27" applyFont="1" applyBorder="1"/>
    <xf numFmtId="167" fontId="21" fillId="0" borderId="8" xfId="20" applyFont="1" applyBorder="1"/>
    <xf numFmtId="182" fontId="21" fillId="0" borderId="1" xfId="44" applyNumberFormat="1" applyFont="1" applyBorder="1" applyAlignment="1">
      <alignment horizontal="right" vertical="top"/>
    </xf>
    <xf numFmtId="181" fontId="21" fillId="0" borderId="1" xfId="44" applyNumberFormat="1" applyFont="1" applyBorder="1"/>
    <xf numFmtId="183" fontId="23" fillId="0" borderId="8" xfId="44" applyFont="1" applyBorder="1"/>
    <xf numFmtId="166" fontId="23" fillId="0" borderId="8" xfId="27" applyNumberFormat="1" applyFont="1" applyBorder="1" applyAlignment="1">
      <alignment horizontal="right" vertical="top" wrapText="1"/>
    </xf>
    <xf numFmtId="173" fontId="23" fillId="0" borderId="8" xfId="27" applyNumberFormat="1" applyFont="1" applyBorder="1" applyAlignment="1">
      <alignment horizontal="right" vertical="top" wrapText="1"/>
    </xf>
    <xf numFmtId="181" fontId="23" fillId="0" borderId="8" xfId="27" applyFont="1" applyBorder="1" applyAlignment="1">
      <alignment horizontal="right" vertical="top" wrapText="1"/>
    </xf>
    <xf numFmtId="167" fontId="39" fillId="0" borderId="0" xfId="20" applyFont="1" applyAlignment="1">
      <alignment horizontal="right" vertical="center"/>
    </xf>
    <xf numFmtId="181" fontId="28" fillId="0" borderId="1" xfId="20" applyNumberFormat="1" applyFont="1" applyBorder="1"/>
    <xf numFmtId="183" fontId="28" fillId="0" borderId="1" xfId="51" applyFont="1" applyBorder="1"/>
    <xf numFmtId="183" fontId="28" fillId="0" borderId="0" xfId="51" applyFont="1"/>
    <xf numFmtId="183" fontId="45" fillId="0" borderId="0" xfId="51" applyFont="1"/>
    <xf numFmtId="183" fontId="28" fillId="0" borderId="2" xfId="51" applyFont="1" applyBorder="1"/>
    <xf numFmtId="183" fontId="28" fillId="0" borderId="11" xfId="51" applyFont="1" applyBorder="1"/>
    <xf numFmtId="183" fontId="28" fillId="0" borderId="12" xfId="51" applyFont="1" applyBorder="1"/>
    <xf numFmtId="181" fontId="28" fillId="0" borderId="12" xfId="20" applyNumberFormat="1" applyFont="1" applyBorder="1"/>
    <xf numFmtId="181" fontId="45" fillId="0" borderId="0" xfId="51" applyNumberFormat="1" applyFont="1"/>
    <xf numFmtId="181" fontId="28" fillId="0" borderId="0" xfId="20" applyNumberFormat="1" applyFont="1"/>
    <xf numFmtId="167" fontId="28" fillId="0" borderId="1" xfId="20" applyFont="1" applyBorder="1"/>
    <xf numFmtId="183" fontId="28" fillId="0" borderId="1" xfId="51" applyFont="1" applyBorder="1" applyAlignment="1">
      <alignment horizontal="center" vertical="center"/>
    </xf>
    <xf numFmtId="181" fontId="45" fillId="0" borderId="0" xfId="20" applyNumberFormat="1" applyFont="1"/>
    <xf numFmtId="183" fontId="45" fillId="0" borderId="2" xfId="51" applyFont="1" applyBorder="1" applyAlignment="1">
      <alignment vertical="center"/>
    </xf>
    <xf numFmtId="183" fontId="45" fillId="0" borderId="2" xfId="51" applyFont="1" applyBorder="1" applyAlignment="1">
      <alignment horizontal="center" vertical="center"/>
    </xf>
    <xf numFmtId="183" fontId="45" fillId="0" borderId="2" xfId="51" applyFont="1" applyBorder="1" applyAlignment="1">
      <alignment horizontal="center" vertical="center" wrapText="1"/>
    </xf>
    <xf numFmtId="183" fontId="45" fillId="0" borderId="5" xfId="51" applyFont="1" applyBorder="1" applyAlignment="1">
      <alignment vertical="center"/>
    </xf>
    <xf numFmtId="183" fontId="45" fillId="0" borderId="5" xfId="51" applyFont="1" applyBorder="1" applyAlignment="1">
      <alignment horizontal="center" vertical="center"/>
    </xf>
    <xf numFmtId="183" fontId="45" fillId="0" borderId="5" xfId="51" applyFont="1" applyBorder="1" applyAlignment="1">
      <alignment horizontal="center" vertical="center" wrapText="1"/>
    </xf>
    <xf numFmtId="183" fontId="45" fillId="0" borderId="8" xfId="51" applyFont="1" applyBorder="1" applyAlignment="1">
      <alignment vertical="top"/>
    </xf>
    <xf numFmtId="183" fontId="45" fillId="0" borderId="8" xfId="51" applyFont="1" applyBorder="1" applyAlignment="1">
      <alignment horizontal="center" vertical="center"/>
    </xf>
    <xf numFmtId="183" fontId="45" fillId="0" borderId="8" xfId="51" applyFont="1" applyBorder="1" applyAlignment="1">
      <alignment horizontal="center" vertical="center" wrapText="1"/>
    </xf>
    <xf numFmtId="183" fontId="46" fillId="0" borderId="8" xfId="51" applyFont="1" applyBorder="1" applyAlignment="1">
      <alignment vertical="center"/>
    </xf>
    <xf numFmtId="181" fontId="46" fillId="0" borderId="8" xfId="20" applyNumberFormat="1" applyFont="1" applyBorder="1" applyAlignment="1">
      <alignment horizontal="center" vertical="center"/>
    </xf>
    <xf numFmtId="204" fontId="46" fillId="0" borderId="8" xfId="20" applyNumberFormat="1" applyFont="1" applyBorder="1" applyAlignment="1">
      <alignment horizontal="center" vertical="center"/>
    </xf>
    <xf numFmtId="171" fontId="46" fillId="0" borderId="8" xfId="20" applyNumberFormat="1" applyFont="1" applyBorder="1" applyAlignment="1">
      <alignment horizontal="center" vertical="center"/>
    </xf>
    <xf numFmtId="183" fontId="45" fillId="0" borderId="1" xfId="51" applyFont="1" applyBorder="1" applyAlignment="1">
      <alignment vertical="center"/>
    </xf>
    <xf numFmtId="181" fontId="31" fillId="0" borderId="8" xfId="44" applyNumberFormat="1" applyFont="1" applyBorder="1"/>
    <xf numFmtId="177" fontId="45" fillId="0" borderId="1" xfId="51" applyNumberFormat="1" applyFont="1" applyBorder="1" applyAlignment="1">
      <alignment horizontal="right" vertical="center"/>
    </xf>
    <xf numFmtId="182" fontId="45" fillId="0" borderId="1" xfId="51" applyNumberFormat="1" applyFont="1" applyBorder="1" applyAlignment="1">
      <alignment horizontal="right" vertical="center"/>
    </xf>
    <xf numFmtId="181" fontId="45" fillId="0" borderId="1" xfId="20" applyNumberFormat="1" applyFont="1" applyBorder="1" applyAlignment="1">
      <alignment horizontal="center" vertical="center"/>
    </xf>
    <xf numFmtId="183" fontId="45" fillId="0" borderId="1" xfId="51" applyFont="1" applyBorder="1" applyAlignment="1">
      <alignment horizontal="center" vertical="center"/>
    </xf>
    <xf numFmtId="183" fontId="45" fillId="0" borderId="1" xfId="51" applyFont="1" applyBorder="1" applyAlignment="1">
      <alignment horizontal="right" vertical="center"/>
    </xf>
    <xf numFmtId="199" fontId="38" fillId="0" borderId="0" xfId="51" applyNumberFormat="1" applyFont="1"/>
    <xf numFmtId="208" fontId="38" fillId="0" borderId="0" xfId="11" applyNumberFormat="1" applyFont="1"/>
    <xf numFmtId="181" fontId="31" fillId="0" borderId="1" xfId="44" applyNumberFormat="1" applyFont="1" applyBorder="1"/>
    <xf numFmtId="182" fontId="31" fillId="0" borderId="1" xfId="44" applyNumberFormat="1" applyFont="1" applyBorder="1" applyAlignment="1">
      <alignment horizontal="right" vertical="top"/>
    </xf>
    <xf numFmtId="183" fontId="38" fillId="0" borderId="0" xfId="51" applyFont="1" applyAlignment="1">
      <alignment vertical="center"/>
    </xf>
    <xf numFmtId="0" fontId="12" fillId="0" borderId="0" xfId="0" applyFont="1"/>
    <xf numFmtId="166" fontId="12" fillId="0" borderId="0" xfId="8" applyNumberFormat="1" applyFont="1"/>
    <xf numFmtId="173" fontId="12" fillId="0" borderId="0" xfId="8" applyNumberFormat="1" applyFont="1"/>
    <xf numFmtId="0" fontId="12" fillId="0" borderId="1" xfId="0" applyFont="1" applyBorder="1"/>
    <xf numFmtId="166" fontId="12" fillId="0" borderId="1" xfId="8" applyNumberFormat="1" applyFont="1" applyBorder="1"/>
    <xf numFmtId="173" fontId="12" fillId="0" borderId="1" xfId="8" applyNumberFormat="1" applyFont="1" applyBorder="1"/>
    <xf numFmtId="0" fontId="20" fillId="0" borderId="8" xfId="8" applyNumberFormat="1" applyFont="1" applyBorder="1" applyAlignment="1">
      <alignment horizontal="center"/>
    </xf>
    <xf numFmtId="222" fontId="37" fillId="0" borderId="0" xfId="0" applyNumberFormat="1" applyFont="1" applyAlignment="1">
      <alignment vertical="center"/>
    </xf>
    <xf numFmtId="175" fontId="37" fillId="0" borderId="0" xfId="0" applyNumberFormat="1" applyFont="1" applyAlignment="1">
      <alignment vertical="center"/>
    </xf>
    <xf numFmtId="183" fontId="29" fillId="0" borderId="0" xfId="44" applyFont="1"/>
    <xf numFmtId="175" fontId="22" fillId="0" borderId="0" xfId="44" applyNumberFormat="1" applyFont="1" applyAlignment="1">
      <alignment horizontal="center"/>
    </xf>
    <xf numFmtId="183" fontId="22" fillId="0" borderId="0" xfId="44" applyFont="1" applyAlignment="1">
      <alignment horizontal="left"/>
    </xf>
    <xf numFmtId="175" fontId="29" fillId="0" borderId="0" xfId="44" applyNumberFormat="1" applyFont="1"/>
    <xf numFmtId="166" fontId="22" fillId="0" borderId="0" xfId="8" applyNumberFormat="1" applyFont="1" applyAlignment="1">
      <alignment horizontal="left"/>
    </xf>
    <xf numFmtId="182" fontId="29" fillId="0" borderId="0" xfId="44" applyNumberFormat="1" applyFont="1"/>
    <xf numFmtId="168" fontId="29" fillId="0" borderId="0" xfId="22" applyFont="1"/>
    <xf numFmtId="182" fontId="22" fillId="0" borderId="14" xfId="37" applyNumberFormat="1" applyFont="1" applyBorder="1" applyAlignment="1">
      <alignment horizontal="right"/>
    </xf>
    <xf numFmtId="168" fontId="29" fillId="0" borderId="0" xfId="8" applyFont="1"/>
    <xf numFmtId="166" fontId="29" fillId="0" borderId="0" xfId="8" applyNumberFormat="1" applyFont="1"/>
    <xf numFmtId="193" fontId="29" fillId="0" borderId="0" xfId="37" applyNumberFormat="1" applyFont="1"/>
    <xf numFmtId="182" fontId="22" fillId="0" borderId="0" xfId="44" applyNumberFormat="1" applyFont="1" applyAlignment="1">
      <alignment horizontal="right"/>
    </xf>
    <xf numFmtId="183" fontId="22" fillId="0" borderId="0" xfId="44" applyFont="1" applyAlignment="1">
      <alignment horizontal="center"/>
    </xf>
    <xf numFmtId="182" fontId="22" fillId="0" borderId="0" xfId="37" applyNumberFormat="1" applyFont="1" applyAlignment="1">
      <alignment horizontal="right"/>
    </xf>
    <xf numFmtId="189" fontId="29" fillId="0" borderId="0" xfId="44" applyNumberFormat="1" applyFont="1"/>
    <xf numFmtId="192" fontId="22" fillId="0" borderId="0" xfId="44" applyNumberFormat="1" applyFont="1" applyAlignment="1">
      <alignment horizontal="right"/>
    </xf>
    <xf numFmtId="183" fontId="29" fillId="0" borderId="3" xfId="44" applyFont="1" applyBorder="1" applyAlignment="1">
      <alignment horizontal="center"/>
    </xf>
    <xf numFmtId="183" fontId="29" fillId="0" borderId="6" xfId="44" applyFont="1" applyBorder="1" applyAlignment="1">
      <alignment horizontal="center"/>
    </xf>
    <xf numFmtId="183" fontId="29" fillId="0" borderId="9" xfId="44" applyFont="1" applyBorder="1" applyAlignment="1">
      <alignment horizontal="center"/>
    </xf>
    <xf numFmtId="183" fontId="29" fillId="0" borderId="0" xfId="44" applyFont="1" applyAlignment="1">
      <alignment horizontal="center"/>
    </xf>
    <xf numFmtId="181" fontId="29" fillId="0" borderId="0" xfId="44" applyNumberFormat="1" applyFont="1" applyAlignment="1">
      <alignment horizontal="left"/>
    </xf>
    <xf numFmtId="171" fontId="29" fillId="0" borderId="0" xfId="44" applyNumberFormat="1" applyFont="1" applyAlignment="1">
      <alignment horizontal="left"/>
    </xf>
    <xf numFmtId="172" fontId="29" fillId="0" borderId="0" xfId="8" applyNumberFormat="1" applyFont="1" applyAlignment="1">
      <alignment horizontal="center" vertical="center"/>
    </xf>
    <xf numFmtId="181" fontId="29" fillId="0" borderId="0" xfId="44" applyNumberFormat="1" applyFont="1" applyAlignment="1">
      <alignment horizontal="center" vertical="center"/>
    </xf>
    <xf numFmtId="171" fontId="29" fillId="0" borderId="0" xfId="44" applyNumberFormat="1" applyFont="1" applyAlignment="1">
      <alignment horizontal="center" vertical="center"/>
    </xf>
    <xf numFmtId="183" fontId="29" fillId="0" borderId="1" xfId="44" applyFont="1" applyBorder="1"/>
    <xf numFmtId="187" fontId="29" fillId="0" borderId="0" xfId="44" applyNumberFormat="1" applyFont="1"/>
    <xf numFmtId="177" fontId="29" fillId="0" borderId="0" xfId="44" applyNumberFormat="1" applyFont="1"/>
    <xf numFmtId="172" fontId="29" fillId="0" borderId="0" xfId="44" applyNumberFormat="1" applyFont="1"/>
    <xf numFmtId="183" fontId="22" fillId="0" borderId="1" xfId="44" applyFont="1" applyBorder="1"/>
    <xf numFmtId="183" fontId="22" fillId="0" borderId="0" xfId="44" applyFont="1"/>
    <xf numFmtId="183" fontId="22" fillId="0" borderId="15" xfId="44" applyFont="1" applyBorder="1" applyAlignment="1">
      <alignment horizontal="center"/>
    </xf>
    <xf numFmtId="183" fontId="22" fillId="0" borderId="15" xfId="44" applyFont="1" applyBorder="1"/>
    <xf numFmtId="188" fontId="29" fillId="0" borderId="0" xfId="44" applyNumberFormat="1" applyFont="1"/>
    <xf numFmtId="170" fontId="29" fillId="0" borderId="0" xfId="44" applyNumberFormat="1" applyFont="1"/>
    <xf numFmtId="0" fontId="29" fillId="0" borderId="0" xfId="0" applyFont="1"/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168" fontId="37" fillId="0" borderId="0" xfId="8" applyFont="1" applyAlignment="1">
      <alignment horizontal="center"/>
    </xf>
    <xf numFmtId="0" fontId="37" fillId="0" borderId="0" xfId="0" applyFont="1"/>
    <xf numFmtId="0" fontId="47" fillId="0" borderId="0" xfId="0" applyFont="1"/>
    <xf numFmtId="168" fontId="37" fillId="0" borderId="0" xfId="8" applyFont="1" applyAlignment="1">
      <alignment horizontal="left"/>
    </xf>
    <xf numFmtId="0" fontId="36" fillId="0" borderId="0" xfId="0" applyFont="1"/>
    <xf numFmtId="183" fontId="37" fillId="0" borderId="0" xfId="44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19" xfId="0" applyFont="1" applyBorder="1" applyAlignment="1">
      <alignment horizontal="center" vertical="center" wrapText="1"/>
    </xf>
    <xf numFmtId="168" fontId="36" fillId="0" borderId="19" xfId="8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/>
    </xf>
    <xf numFmtId="166" fontId="37" fillId="0" borderId="19" xfId="8" applyNumberFormat="1" applyFont="1" applyBorder="1" applyAlignment="1">
      <alignment horizontal="center"/>
    </xf>
    <xf numFmtId="173" fontId="37" fillId="0" borderId="19" xfId="8" applyNumberFormat="1" applyFont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168" fontId="37" fillId="0" borderId="0" xfId="8" applyFont="1"/>
    <xf numFmtId="0" fontId="36" fillId="0" borderId="0" xfId="0" applyFont="1" applyAlignment="1">
      <alignment horizontal="center" vertical="center"/>
    </xf>
    <xf numFmtId="168" fontId="36" fillId="0" borderId="0" xfId="8" applyFont="1"/>
    <xf numFmtId="174" fontId="37" fillId="0" borderId="8" xfId="8" applyNumberFormat="1" applyFont="1" applyBorder="1" applyAlignment="1">
      <alignment vertical="center"/>
    </xf>
    <xf numFmtId="168" fontId="37" fillId="0" borderId="8" xfId="8" applyFont="1" applyBorder="1" applyAlignment="1">
      <alignment vertical="center"/>
    </xf>
    <xf numFmtId="176" fontId="37" fillId="0" borderId="8" xfId="0" applyNumberFormat="1" applyFont="1" applyBorder="1" applyAlignment="1">
      <alignment vertical="center"/>
    </xf>
    <xf numFmtId="173" fontId="37" fillId="0" borderId="8" xfId="8" applyNumberFormat="1" applyFont="1" applyBorder="1" applyAlignment="1">
      <alignment vertical="center"/>
    </xf>
    <xf numFmtId="178" fontId="37" fillId="0" borderId="8" xfId="8" applyNumberFormat="1" applyFont="1" applyBorder="1" applyAlignment="1">
      <alignment vertical="center"/>
    </xf>
    <xf numFmtId="179" fontId="37" fillId="0" borderId="8" xfId="8" applyNumberFormat="1" applyFont="1" applyBorder="1" applyAlignment="1">
      <alignment vertical="center"/>
    </xf>
    <xf numFmtId="171" fontId="37" fillId="0" borderId="1" xfId="0" applyNumberFormat="1" applyFont="1" applyBorder="1" applyAlignment="1">
      <alignment vertical="center"/>
    </xf>
    <xf numFmtId="169" fontId="37" fillId="0" borderId="1" xfId="8" applyNumberFormat="1" applyFont="1" applyBorder="1" applyAlignment="1">
      <alignment vertical="center"/>
    </xf>
    <xf numFmtId="175" fontId="37" fillId="0" borderId="1" xfId="0" applyNumberFormat="1" applyFont="1" applyBorder="1" applyAlignment="1">
      <alignment vertical="center"/>
    </xf>
    <xf numFmtId="177" fontId="37" fillId="0" borderId="1" xfId="0" applyNumberFormat="1" applyFont="1" applyBorder="1" applyAlignment="1">
      <alignment vertical="center"/>
    </xf>
    <xf numFmtId="173" fontId="37" fillId="0" borderId="1" xfId="8" applyNumberFormat="1" applyFont="1" applyBorder="1" applyAlignment="1">
      <alignment vertical="center"/>
    </xf>
    <xf numFmtId="173" fontId="37" fillId="0" borderId="1" xfId="8" applyNumberFormat="1" applyFont="1" applyBorder="1" applyAlignment="1">
      <alignment horizontal="right" vertical="center"/>
    </xf>
    <xf numFmtId="173" fontId="29" fillId="0" borderId="0" xfId="8" applyNumberFormat="1" applyFont="1" applyAlignment="1">
      <alignment horizontal="right" vertical="center"/>
    </xf>
    <xf numFmtId="183" fontId="22" fillId="0" borderId="2" xfId="44" applyFont="1" applyBorder="1" applyAlignment="1">
      <alignment horizontal="center"/>
    </xf>
    <xf numFmtId="193" fontId="22" fillId="0" borderId="2" xfId="37" applyNumberFormat="1" applyFont="1" applyBorder="1" applyAlignment="1">
      <alignment horizontal="center"/>
    </xf>
    <xf numFmtId="175" fontId="22" fillId="0" borderId="2" xfId="44" applyNumberFormat="1" applyFont="1" applyBorder="1" applyAlignment="1">
      <alignment horizontal="center"/>
    </xf>
    <xf numFmtId="183" fontId="22" fillId="0" borderId="5" xfId="44" applyFont="1" applyBorder="1" applyAlignment="1">
      <alignment horizontal="center"/>
    </xf>
    <xf numFmtId="193" fontId="22" fillId="0" borderId="5" xfId="37" applyNumberFormat="1" applyFont="1" applyBorder="1" applyAlignment="1">
      <alignment horizontal="center"/>
    </xf>
    <xf numFmtId="175" fontId="22" fillId="0" borderId="5" xfId="44" applyNumberFormat="1" applyFont="1" applyBorder="1" applyAlignment="1">
      <alignment horizontal="center"/>
    </xf>
    <xf numFmtId="183" fontId="22" fillId="0" borderId="8" xfId="44" applyFont="1" applyBorder="1" applyAlignment="1">
      <alignment horizontal="center"/>
    </xf>
    <xf numFmtId="175" fontId="22" fillId="0" borderId="8" xfId="44" applyNumberFormat="1" applyFont="1" applyBorder="1" applyAlignment="1">
      <alignment horizontal="center"/>
    </xf>
    <xf numFmtId="181" fontId="29" fillId="0" borderId="0" xfId="44" applyNumberFormat="1" applyFont="1" applyAlignment="1">
      <alignment horizontal="left" vertical="center"/>
    </xf>
    <xf numFmtId="181" fontId="29" fillId="0" borderId="0" xfId="44" applyNumberFormat="1" applyFont="1" applyAlignment="1">
      <alignment horizontal="right" vertical="center"/>
    </xf>
    <xf numFmtId="183" fontId="29" fillId="0" borderId="0" xfId="44" applyFont="1" applyAlignment="1">
      <alignment horizontal="center" wrapText="1"/>
    </xf>
    <xf numFmtId="183" fontId="29" fillId="0" borderId="1" xfId="44" applyFont="1" applyBorder="1" applyAlignment="1">
      <alignment wrapText="1"/>
    </xf>
    <xf numFmtId="166" fontId="29" fillId="0" borderId="1" xfId="8" applyNumberFormat="1" applyFont="1" applyBorder="1" applyAlignment="1">
      <alignment wrapText="1"/>
    </xf>
    <xf numFmtId="171" fontId="29" fillId="0" borderId="0" xfId="44" applyNumberFormat="1" applyFont="1" applyAlignment="1">
      <alignment horizontal="left" vertical="center"/>
    </xf>
    <xf numFmtId="181" fontId="29" fillId="0" borderId="1" xfId="44" applyNumberFormat="1" applyFont="1" applyBorder="1" applyAlignment="1">
      <alignment vertical="center"/>
    </xf>
    <xf numFmtId="187" fontId="29" fillId="0" borderId="1" xfId="44" applyNumberFormat="1" applyFont="1" applyBorder="1" applyAlignment="1">
      <alignment vertical="center"/>
    </xf>
    <xf numFmtId="182" fontId="29" fillId="0" borderId="1" xfId="44" applyNumberFormat="1" applyFont="1" applyBorder="1" applyAlignment="1">
      <alignment vertical="center"/>
    </xf>
    <xf numFmtId="177" fontId="29" fillId="0" borderId="1" xfId="44" applyNumberFormat="1" applyFont="1" applyBorder="1" applyAlignment="1">
      <alignment vertical="center"/>
    </xf>
    <xf numFmtId="170" fontId="29" fillId="0" borderId="1" xfId="44" applyNumberFormat="1" applyFont="1" applyBorder="1" applyAlignment="1">
      <alignment vertical="center"/>
    </xf>
    <xf numFmtId="172" fontId="29" fillId="0" borderId="1" xfId="22" applyNumberFormat="1" applyFont="1" applyBorder="1" applyAlignment="1">
      <alignment vertical="center"/>
    </xf>
    <xf numFmtId="171" fontId="29" fillId="0" borderId="1" xfId="44" applyNumberFormat="1" applyFont="1" applyBorder="1" applyAlignment="1">
      <alignment vertical="center"/>
    </xf>
    <xf numFmtId="182" fontId="29" fillId="0" borderId="1" xfId="37" applyNumberFormat="1" applyFont="1" applyBorder="1" applyAlignment="1">
      <alignment horizontal="right" vertical="center"/>
    </xf>
    <xf numFmtId="182" fontId="29" fillId="0" borderId="1" xfId="37" applyNumberFormat="1" applyFont="1" applyBorder="1" applyAlignment="1">
      <alignment vertical="center"/>
    </xf>
    <xf numFmtId="182" fontId="29" fillId="5" borderId="1" xfId="37" applyNumberFormat="1" applyFont="1" applyFill="1" applyBorder="1" applyAlignment="1">
      <alignment vertical="center"/>
    </xf>
    <xf numFmtId="182" fontId="22" fillId="5" borderId="15" xfId="37" applyNumberFormat="1" applyFont="1" applyFill="1" applyBorder="1" applyAlignment="1">
      <alignment horizontal="right" vertical="center"/>
    </xf>
    <xf numFmtId="187" fontId="22" fillId="5" borderId="15" xfId="37" applyNumberFormat="1" applyFont="1" applyFill="1" applyBorder="1" applyAlignment="1">
      <alignment horizontal="right" vertical="center"/>
    </xf>
    <xf numFmtId="191" fontId="22" fillId="5" borderId="15" xfId="37" applyNumberFormat="1" applyFont="1" applyFill="1" applyBorder="1" applyAlignment="1">
      <alignment horizontal="right" vertical="center"/>
    </xf>
    <xf numFmtId="177" fontId="22" fillId="5" borderId="16" xfId="37" applyNumberFormat="1" applyFont="1" applyFill="1" applyBorder="1" applyAlignment="1">
      <alignment horizontal="right" vertical="center"/>
    </xf>
    <xf numFmtId="183" fontId="22" fillId="0" borderId="2" xfId="44" applyFont="1" applyBorder="1" applyAlignment="1">
      <alignment horizontal="center" vertical="center" wrapText="1"/>
    </xf>
    <xf numFmtId="183" fontId="22" fillId="0" borderId="2" xfId="44" applyFont="1" applyBorder="1" applyAlignment="1">
      <alignment horizontal="center" vertical="center"/>
    </xf>
    <xf numFmtId="183" fontId="22" fillId="0" borderId="5" xfId="44" applyFont="1" applyBorder="1" applyAlignment="1">
      <alignment horizontal="center" wrapText="1"/>
    </xf>
    <xf numFmtId="183" fontId="22" fillId="0" borderId="5" xfId="44" applyFont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3" fontId="34" fillId="0" borderId="19" xfId="0" applyNumberFormat="1" applyFont="1" applyBorder="1" applyAlignment="1">
      <alignment vertical="center"/>
    </xf>
    <xf numFmtId="3" fontId="34" fillId="0" borderId="18" xfId="0" applyNumberFormat="1" applyFont="1" applyBorder="1" applyAlignment="1">
      <alignment vertical="center"/>
    </xf>
    <xf numFmtId="0" fontId="32" fillId="0" borderId="19" xfId="0" applyFont="1" applyBorder="1" applyAlignment="1">
      <alignment horizontal="center" vertical="center" wrapText="1"/>
    </xf>
    <xf numFmtId="175" fontId="48" fillId="0" borderId="0" xfId="44" applyNumberFormat="1" applyFont="1"/>
    <xf numFmtId="183" fontId="48" fillId="0" borderId="0" xfId="44" applyFont="1" applyAlignment="1">
      <alignment horizontal="left"/>
    </xf>
    <xf numFmtId="183" fontId="49" fillId="0" borderId="0" xfId="44" applyFont="1"/>
    <xf numFmtId="168" fontId="49" fillId="0" borderId="0" xfId="8" applyFont="1"/>
    <xf numFmtId="166" fontId="49" fillId="0" borderId="0" xfId="8" applyNumberFormat="1" applyFont="1"/>
    <xf numFmtId="183" fontId="49" fillId="0" borderId="0" xfId="44" applyFont="1" applyAlignment="1">
      <alignment horizontal="left"/>
    </xf>
    <xf numFmtId="168" fontId="50" fillId="0" borderId="1" xfId="8" applyFont="1" applyBorder="1" applyAlignment="1">
      <alignment horizontal="center" vertical="center"/>
    </xf>
    <xf numFmtId="168" fontId="50" fillId="0" borderId="1" xfId="8" applyFont="1" applyBorder="1" applyAlignment="1">
      <alignment horizontal="center"/>
    </xf>
    <xf numFmtId="193" fontId="50" fillId="0" borderId="2" xfId="37" applyNumberFormat="1" applyFont="1" applyBorder="1" applyAlignment="1">
      <alignment horizontal="center"/>
    </xf>
    <xf numFmtId="168" fontId="50" fillId="0" borderId="0" xfId="8" applyFont="1" applyAlignment="1">
      <alignment horizontal="center"/>
    </xf>
    <xf numFmtId="166" fontId="50" fillId="0" borderId="0" xfId="8" applyNumberFormat="1" applyFont="1" applyAlignment="1">
      <alignment horizontal="center"/>
    </xf>
    <xf numFmtId="168" fontId="50" fillId="7" borderId="11" xfId="8" applyFont="1" applyFill="1" applyBorder="1" applyAlignment="1">
      <alignment horizontal="justify" vertical="top"/>
    </xf>
    <xf numFmtId="182" fontId="50" fillId="7" borderId="1" xfId="44" applyNumberFormat="1" applyFont="1" applyFill="1" applyBorder="1" applyAlignment="1">
      <alignment horizontal="right"/>
    </xf>
    <xf numFmtId="195" fontId="50" fillId="0" borderId="0" xfId="8" applyNumberFormat="1" applyFont="1"/>
    <xf numFmtId="168" fontId="50" fillId="0" borderId="0" xfId="8" applyFont="1"/>
    <xf numFmtId="182" fontId="50" fillId="0" borderId="0" xfId="44" applyNumberFormat="1" applyFont="1" applyAlignment="1">
      <alignment horizontal="right"/>
    </xf>
    <xf numFmtId="182" fontId="49" fillId="0" borderId="0" xfId="44" applyNumberFormat="1" applyFont="1"/>
    <xf numFmtId="182" fontId="50" fillId="7" borderId="1" xfId="44" applyNumberFormat="1" applyFont="1" applyFill="1" applyBorder="1" applyAlignment="1">
      <alignment horizontal="right" vertical="center"/>
    </xf>
    <xf numFmtId="195" fontId="50" fillId="7" borderId="1" xfId="8" applyNumberFormat="1" applyFont="1" applyFill="1" applyBorder="1" applyAlignment="1">
      <alignment horizontal="right"/>
    </xf>
    <xf numFmtId="195" fontId="50" fillId="7" borderId="1" xfId="8" applyNumberFormat="1" applyFont="1" applyFill="1" applyBorder="1"/>
    <xf numFmtId="195" fontId="50" fillId="7" borderId="1" xfId="8" applyNumberFormat="1" applyFont="1" applyFill="1" applyBorder="1" applyAlignment="1">
      <alignment horizontal="right" vertical="center"/>
    </xf>
    <xf numFmtId="195" fontId="50" fillId="7" borderId="11" xfId="8" applyNumberFormat="1" applyFont="1" applyFill="1" applyBorder="1" applyAlignment="1">
      <alignment vertical="center" wrapText="1"/>
    </xf>
    <xf numFmtId="180" fontId="50" fillId="7" borderId="1" xfId="44" applyNumberFormat="1" applyFont="1" applyFill="1" applyBorder="1" applyAlignment="1">
      <alignment horizontal="right"/>
    </xf>
    <xf numFmtId="168" fontId="50" fillId="3" borderId="1" xfId="8" applyFont="1" applyFill="1" applyBorder="1" applyAlignment="1">
      <alignment horizontal="justify" vertical="top"/>
    </xf>
    <xf numFmtId="201" fontId="50" fillId="3" borderId="1" xfId="8" applyNumberFormat="1" applyFont="1" applyFill="1" applyBorder="1" applyAlignment="1">
      <alignment horizontal="right"/>
    </xf>
    <xf numFmtId="187" fontId="50" fillId="3" borderId="1" xfId="44" applyNumberFormat="1" applyFont="1" applyFill="1" applyBorder="1" applyAlignment="1">
      <alignment horizontal="right"/>
    </xf>
    <xf numFmtId="202" fontId="50" fillId="0" borderId="0" xfId="8" applyNumberFormat="1" applyFont="1"/>
    <xf numFmtId="183" fontId="50" fillId="0" borderId="0" xfId="44" applyFont="1"/>
    <xf numFmtId="168" fontId="50" fillId="3" borderId="11" xfId="8" applyFont="1" applyFill="1" applyBorder="1" applyAlignment="1">
      <alignment horizontal="justify" vertical="top"/>
    </xf>
    <xf numFmtId="195" fontId="50" fillId="3" borderId="11" xfId="8" applyNumberFormat="1" applyFont="1" applyFill="1" applyBorder="1"/>
    <xf numFmtId="187" fontId="50" fillId="0" borderId="0" xfId="44" applyNumberFormat="1" applyFont="1"/>
    <xf numFmtId="182" fontId="50" fillId="0" borderId="0" xfId="44" applyNumberFormat="1" applyFont="1"/>
    <xf numFmtId="166" fontId="50" fillId="0" borderId="0" xfId="8" applyNumberFormat="1" applyFont="1"/>
    <xf numFmtId="0" fontId="50" fillId="0" borderId="0" xfId="0" applyFont="1"/>
    <xf numFmtId="183" fontId="50" fillId="0" borderId="0" xfId="44" applyFont="1" applyAlignment="1">
      <alignment horizontal="left"/>
    </xf>
    <xf numFmtId="168" fontId="50" fillId="0" borderId="0" xfId="8" applyFont="1" applyAlignment="1">
      <alignment horizontal="right"/>
    </xf>
    <xf numFmtId="166" fontId="50" fillId="0" borderId="0" xfId="8" applyNumberFormat="1" applyFont="1" applyAlignment="1">
      <alignment horizontal="right"/>
    </xf>
    <xf numFmtId="183" fontId="50" fillId="0" borderId="2" xfId="44" applyFont="1" applyBorder="1" applyAlignment="1">
      <alignment horizontal="left"/>
    </xf>
    <xf numFmtId="166" fontId="50" fillId="0" borderId="2" xfId="8" applyNumberFormat="1" applyFont="1" applyBorder="1" applyAlignment="1">
      <alignment horizontal="center"/>
    </xf>
    <xf numFmtId="183" fontId="50" fillId="0" borderId="8" xfId="44" applyFont="1" applyBorder="1" applyAlignment="1">
      <alignment horizontal="left"/>
    </xf>
    <xf numFmtId="166" fontId="48" fillId="0" borderId="8" xfId="8" applyNumberFormat="1" applyFont="1" applyBorder="1" applyAlignment="1">
      <alignment horizontal="right"/>
    </xf>
    <xf numFmtId="166" fontId="48" fillId="0" borderId="0" xfId="8" applyNumberFormat="1" applyFont="1" applyAlignment="1">
      <alignment horizontal="right"/>
    </xf>
    <xf numFmtId="182" fontId="48" fillId="0" borderId="0" xfId="44" applyNumberFormat="1" applyFont="1" applyAlignment="1">
      <alignment horizontal="right"/>
    </xf>
    <xf numFmtId="203" fontId="48" fillId="0" borderId="0" xfId="44" applyNumberFormat="1" applyFont="1" applyAlignment="1">
      <alignment horizontal="right"/>
    </xf>
    <xf numFmtId="183" fontId="48" fillId="0" borderId="19" xfId="44" applyFont="1" applyBorder="1"/>
    <xf numFmtId="166" fontId="48" fillId="0" borderId="19" xfId="8" applyNumberFormat="1" applyFont="1" applyBorder="1"/>
    <xf numFmtId="168" fontId="48" fillId="0" borderId="0" xfId="8" applyFont="1"/>
    <xf numFmtId="182" fontId="48" fillId="0" borderId="0" xfId="44" applyNumberFormat="1" applyFont="1"/>
    <xf numFmtId="180" fontId="48" fillId="0" borderId="0" xfId="44" applyNumberFormat="1" applyFont="1"/>
    <xf numFmtId="168" fontId="50" fillId="0" borderId="10" xfId="8" applyFont="1" applyBorder="1" applyAlignment="1">
      <alignment horizontal="justify" vertical="top"/>
    </xf>
    <xf numFmtId="166" fontId="50" fillId="0" borderId="8" xfId="8" applyNumberFormat="1" applyFont="1" applyBorder="1" applyAlignment="1">
      <alignment vertical="center"/>
    </xf>
    <xf numFmtId="168" fontId="50" fillId="0" borderId="12" xfId="8" applyFont="1" applyBorder="1" applyAlignment="1">
      <alignment horizontal="justify" vertical="top"/>
    </xf>
    <xf numFmtId="166" fontId="50" fillId="0" borderId="1" xfId="8" applyNumberFormat="1" applyFont="1" applyBorder="1" applyAlignment="1">
      <alignment vertical="center"/>
    </xf>
    <xf numFmtId="168" fontId="50" fillId="0" borderId="11" xfId="8" applyFont="1" applyBorder="1" applyAlignment="1">
      <alignment horizontal="justify" vertical="top"/>
    </xf>
    <xf numFmtId="166" fontId="50" fillId="0" borderId="1" xfId="8" applyNumberFormat="1" applyFont="1" applyBorder="1" applyAlignment="1">
      <alignment horizontal="center" vertical="center" wrapText="1"/>
    </xf>
    <xf numFmtId="183" fontId="50" fillId="0" borderId="0" xfId="44" applyFont="1" applyAlignment="1">
      <alignment horizontal="justify" vertical="center"/>
    </xf>
    <xf numFmtId="166" fontId="50" fillId="0" borderId="0" xfId="8" applyNumberFormat="1" applyFont="1" applyAlignment="1">
      <alignment horizontal="center" vertical="center" wrapText="1"/>
    </xf>
    <xf numFmtId="166" fontId="50" fillId="0" borderId="0" xfId="8" applyNumberFormat="1" applyFont="1" applyAlignment="1">
      <alignment vertical="center"/>
    </xf>
    <xf numFmtId="168" fontId="50" fillId="0" borderId="0" xfId="44" applyNumberFormat="1" applyFont="1" applyAlignment="1">
      <alignment horizontal="center" vertical="center" wrapText="1"/>
    </xf>
    <xf numFmtId="166" fontId="48" fillId="0" borderId="19" xfId="8" applyNumberFormat="1" applyFont="1" applyBorder="1" applyAlignment="1">
      <alignment vertical="center"/>
    </xf>
    <xf numFmtId="168" fontId="50" fillId="0" borderId="19" xfId="8" applyFont="1" applyBorder="1" applyAlignment="1">
      <alignment horizontal="justify" vertical="top"/>
    </xf>
    <xf numFmtId="166" fontId="50" fillId="0" borderId="19" xfId="8" applyNumberFormat="1" applyFont="1" applyBorder="1" applyAlignment="1">
      <alignment vertical="center"/>
    </xf>
    <xf numFmtId="168" fontId="50" fillId="0" borderId="8" xfId="8" applyFont="1" applyBorder="1" applyAlignment="1">
      <alignment horizontal="justify" vertical="top"/>
    </xf>
    <xf numFmtId="168" fontId="50" fillId="0" borderId="1" xfId="8" applyFont="1" applyBorder="1" applyAlignment="1">
      <alignment horizontal="justify" vertical="top"/>
    </xf>
    <xf numFmtId="183" fontId="49" fillId="0" borderId="0" xfId="44" applyFont="1" applyAlignment="1">
      <alignment horizontal="center"/>
    </xf>
    <xf numFmtId="166" fontId="50" fillId="0" borderId="1" xfId="8" applyNumberFormat="1" applyFont="1" applyBorder="1"/>
    <xf numFmtId="166" fontId="50" fillId="0" borderId="11" xfId="8" applyNumberFormat="1" applyFont="1" applyBorder="1"/>
    <xf numFmtId="168" fontId="50" fillId="0" borderId="0" xfId="8" applyFont="1" applyAlignment="1">
      <alignment horizontal="center" vertical="center" wrapText="1"/>
    </xf>
    <xf numFmtId="168" fontId="48" fillId="0" borderId="19" xfId="8" applyFont="1" applyBorder="1"/>
    <xf numFmtId="168" fontId="50" fillId="0" borderId="0" xfId="8" applyFont="1" applyAlignment="1">
      <alignment horizontal="justify" vertical="center"/>
    </xf>
    <xf numFmtId="195" fontId="50" fillId="0" borderId="11" xfId="8" applyNumberFormat="1" applyFont="1" applyBorder="1"/>
    <xf numFmtId="168" fontId="50" fillId="0" borderId="0" xfId="8" applyFont="1" applyAlignment="1">
      <alignment vertical="center"/>
    </xf>
    <xf numFmtId="182" fontId="50" fillId="0" borderId="0" xfId="44" applyNumberFormat="1" applyFont="1" applyAlignment="1">
      <alignment vertical="center"/>
    </xf>
    <xf numFmtId="193" fontId="50" fillId="0" borderId="0" xfId="37" applyNumberFormat="1" applyFont="1"/>
    <xf numFmtId="175" fontId="50" fillId="0" borderId="0" xfId="44" applyNumberFormat="1" applyFont="1"/>
    <xf numFmtId="175" fontId="22" fillId="0" borderId="0" xfId="44" applyNumberFormat="1" applyFont="1"/>
    <xf numFmtId="166" fontId="29" fillId="0" borderId="0" xfId="22" applyNumberFormat="1" applyFont="1"/>
    <xf numFmtId="182" fontId="22" fillId="0" borderId="0" xfId="44" applyNumberFormat="1" applyFont="1" applyAlignment="1">
      <alignment horizontal="left"/>
    </xf>
    <xf numFmtId="181" fontId="22" fillId="0" borderId="0" xfId="44" applyNumberFormat="1" applyFont="1" applyAlignment="1">
      <alignment horizontal="left"/>
    </xf>
    <xf numFmtId="183" fontId="29" fillId="0" borderId="2" xfId="44" applyFont="1" applyBorder="1" applyAlignment="1">
      <alignment horizontal="center"/>
    </xf>
    <xf numFmtId="183" fontId="29" fillId="0" borderId="5" xfId="44" applyFont="1" applyBorder="1" applyAlignment="1">
      <alignment horizontal="center"/>
    </xf>
    <xf numFmtId="183" fontId="29" fillId="0" borderId="8" xfId="44" applyFont="1" applyBorder="1" applyAlignment="1">
      <alignment horizontal="center"/>
    </xf>
    <xf numFmtId="181" fontId="29" fillId="0" borderId="0" xfId="44" applyNumberFormat="1" applyFont="1"/>
    <xf numFmtId="181" fontId="29" fillId="0" borderId="1" xfId="44" applyNumberFormat="1" applyFont="1" applyBorder="1"/>
    <xf numFmtId="187" fontId="29" fillId="0" borderId="1" xfId="44" applyNumberFormat="1" applyFont="1" applyBorder="1"/>
    <xf numFmtId="182" fontId="29" fillId="0" borderId="1" xfId="44" applyNumberFormat="1" applyFont="1" applyBorder="1"/>
    <xf numFmtId="170" fontId="29" fillId="0" borderId="1" xfId="44" applyNumberFormat="1" applyFont="1" applyBorder="1"/>
    <xf numFmtId="181" fontId="29" fillId="0" borderId="1" xfId="22" applyNumberFormat="1" applyFont="1" applyBorder="1"/>
    <xf numFmtId="182" fontId="22" fillId="0" borderId="15" xfId="37" applyNumberFormat="1" applyFont="1" applyBorder="1" applyAlignment="1">
      <alignment horizontal="right"/>
    </xf>
    <xf numFmtId="187" fontId="22" fillId="0" borderId="15" xfId="37" applyNumberFormat="1" applyFont="1" applyBorder="1" applyAlignment="1">
      <alignment horizontal="right"/>
    </xf>
    <xf numFmtId="182" fontId="22" fillId="0" borderId="8" xfId="37" applyNumberFormat="1" applyFont="1" applyBorder="1" applyAlignment="1">
      <alignment horizontal="right"/>
    </xf>
    <xf numFmtId="197" fontId="22" fillId="0" borderId="8" xfId="8" applyNumberFormat="1" applyFont="1" applyBorder="1" applyAlignment="1">
      <alignment horizontal="right"/>
    </xf>
    <xf numFmtId="182" fontId="22" fillId="0" borderId="10" xfId="37" applyNumberFormat="1" applyFont="1" applyBorder="1" applyAlignment="1">
      <alignment horizontal="right"/>
    </xf>
    <xf numFmtId="183" fontId="29" fillId="0" borderId="1" xfId="44" applyFont="1" applyBorder="1" applyAlignment="1">
      <alignment vertical="center"/>
    </xf>
    <xf numFmtId="166" fontId="29" fillId="0" borderId="1" xfId="8" applyNumberFormat="1" applyFont="1" applyBorder="1" applyAlignment="1">
      <alignment vertical="center"/>
    </xf>
    <xf numFmtId="183" fontId="29" fillId="0" borderId="1" xfId="44" applyFont="1" applyBorder="1" applyAlignment="1">
      <alignment vertical="center" wrapText="1"/>
    </xf>
    <xf numFmtId="166" fontId="29" fillId="0" borderId="1" xfId="8" applyNumberFormat="1" applyFont="1" applyBorder="1" applyAlignment="1">
      <alignment vertical="center" wrapText="1"/>
    </xf>
    <xf numFmtId="183" fontId="22" fillId="0" borderId="8" xfId="44" applyFont="1" applyBorder="1" applyAlignment="1">
      <alignment vertical="center" wrapText="1"/>
    </xf>
    <xf numFmtId="171" fontId="29" fillId="0" borderId="0" xfId="44" applyNumberFormat="1" applyFont="1" applyAlignment="1">
      <alignment horizontal="right" vertical="center"/>
    </xf>
    <xf numFmtId="183" fontId="29" fillId="0" borderId="2" xfId="44" applyFont="1" applyBorder="1" applyAlignment="1">
      <alignment horizontal="center" vertical="center"/>
    </xf>
    <xf numFmtId="183" fontId="29" fillId="0" borderId="5" xfId="44" applyFont="1" applyBorder="1" applyAlignment="1">
      <alignment horizontal="center" vertical="center"/>
    </xf>
    <xf numFmtId="183" fontId="29" fillId="0" borderId="8" xfId="44" applyFont="1" applyBorder="1" applyAlignment="1">
      <alignment horizontal="center" vertical="center"/>
    </xf>
    <xf numFmtId="183" fontId="29" fillId="0" borderId="0" xfId="44" applyFont="1" applyAlignment="1">
      <alignment vertical="center"/>
    </xf>
    <xf numFmtId="183" fontId="29" fillId="0" borderId="0" xfId="44" applyFont="1" applyAlignment="1">
      <alignment horizontal="center" vertical="center"/>
    </xf>
    <xf numFmtId="181" fontId="29" fillId="0" borderId="0" xfId="44" applyNumberFormat="1" applyFont="1" applyAlignment="1">
      <alignment vertical="center"/>
    </xf>
    <xf numFmtId="171" fontId="29" fillId="0" borderId="0" xfId="44" applyNumberFormat="1" applyFont="1" applyAlignment="1">
      <alignment vertical="center"/>
    </xf>
    <xf numFmtId="173" fontId="29" fillId="0" borderId="1" xfId="8" applyNumberFormat="1" applyFont="1" applyBorder="1" applyAlignment="1">
      <alignment vertical="center"/>
    </xf>
    <xf numFmtId="181" fontId="29" fillId="0" borderId="1" xfId="22" applyNumberFormat="1" applyFont="1" applyBorder="1" applyAlignment="1">
      <alignment vertical="center"/>
    </xf>
    <xf numFmtId="183" fontId="22" fillId="0" borderId="0" xfId="44" applyFont="1" applyAlignment="1">
      <alignment vertical="center"/>
    </xf>
    <xf numFmtId="182" fontId="22" fillId="0" borderId="15" xfId="37" applyNumberFormat="1" applyFont="1" applyBorder="1" applyAlignment="1">
      <alignment horizontal="right" vertical="center"/>
    </xf>
    <xf numFmtId="187" fontId="22" fillId="0" borderId="15" xfId="37" applyNumberFormat="1" applyFont="1" applyBorder="1" applyAlignment="1">
      <alignment horizontal="right" vertical="center"/>
    </xf>
    <xf numFmtId="0" fontId="48" fillId="0" borderId="1" xfId="44" applyNumberFormat="1" applyFont="1" applyBorder="1"/>
    <xf numFmtId="0" fontId="48" fillId="0" borderId="0" xfId="44" applyNumberFormat="1" applyFont="1"/>
    <xf numFmtId="0" fontId="49" fillId="0" borderId="0" xfId="44" applyNumberFormat="1" applyFont="1"/>
    <xf numFmtId="0" fontId="50" fillId="0" borderId="0" xfId="44" applyNumberFormat="1" applyFont="1"/>
    <xf numFmtId="0" fontId="50" fillId="0" borderId="0" xfId="44" applyNumberFormat="1" applyFont="1" applyAlignment="1">
      <alignment horizontal="center"/>
    </xf>
    <xf numFmtId="0" fontId="50" fillId="0" borderId="2" xfId="44" applyNumberFormat="1" applyFont="1" applyBorder="1" applyAlignment="1">
      <alignment horizontal="center"/>
    </xf>
    <xf numFmtId="0" fontId="50" fillId="0" borderId="8" xfId="44" applyNumberFormat="1" applyFont="1" applyBorder="1" applyAlignment="1">
      <alignment horizontal="center"/>
    </xf>
    <xf numFmtId="0" fontId="50" fillId="0" borderId="0" xfId="44" applyNumberFormat="1" applyFont="1" applyAlignment="1">
      <alignment horizontal="right"/>
    </xf>
    <xf numFmtId="0" fontId="48" fillId="0" borderId="11" xfId="44" applyNumberFormat="1" applyFont="1" applyBorder="1"/>
    <xf numFmtId="0" fontId="50" fillId="0" borderId="2" xfId="44" applyNumberFormat="1" applyFont="1" applyBorder="1"/>
    <xf numFmtId="0" fontId="50" fillId="0" borderId="5" xfId="44" applyNumberFormat="1" applyFont="1" applyBorder="1"/>
    <xf numFmtId="0" fontId="50" fillId="0" borderId="5" xfId="44" applyNumberFormat="1" applyFont="1" applyBorder="1" applyAlignment="1">
      <alignment horizontal="center" wrapText="1"/>
    </xf>
    <xf numFmtId="0" fontId="50" fillId="0" borderId="0" xfId="44" applyNumberFormat="1" applyFont="1" applyAlignment="1">
      <alignment horizontal="center" wrapText="1"/>
    </xf>
    <xf numFmtId="0" fontId="49" fillId="0" borderId="0" xfId="44" applyNumberFormat="1" applyFont="1" applyAlignment="1">
      <alignment horizontal="center"/>
    </xf>
    <xf numFmtId="0" fontId="50" fillId="0" borderId="0" xfId="8" applyNumberFormat="1" applyFont="1"/>
    <xf numFmtId="0" fontId="50" fillId="0" borderId="0" xfId="8" applyNumberFormat="1" applyFont="1" applyAlignment="1">
      <alignment horizontal="center" wrapText="1"/>
    </xf>
    <xf numFmtId="0" fontId="48" fillId="0" borderId="3" xfId="44" applyNumberFormat="1" applyFont="1" applyBorder="1"/>
    <xf numFmtId="0" fontId="50" fillId="0" borderId="11" xfId="44" applyNumberFormat="1" applyFont="1" applyBorder="1"/>
    <xf numFmtId="0" fontId="48" fillId="0" borderId="1" xfId="44" applyNumberFormat="1" applyFont="1" applyBorder="1" applyAlignment="1">
      <alignment vertical="top"/>
    </xf>
    <xf numFmtId="0" fontId="32" fillId="0" borderId="19" xfId="0" applyFont="1" applyBorder="1" applyAlignment="1">
      <alignment vertical="center"/>
    </xf>
    <xf numFmtId="0" fontId="34" fillId="0" borderId="0" xfId="0" applyFont="1" applyAlignment="1">
      <alignment vertical="center"/>
    </xf>
    <xf numFmtId="183" fontId="34" fillId="0" borderId="9" xfId="44" applyFont="1" applyBorder="1" applyAlignment="1">
      <alignment vertical="center" wrapText="1"/>
    </xf>
    <xf numFmtId="183" fontId="34" fillId="0" borderId="11" xfId="44" applyFont="1" applyBorder="1" applyAlignment="1">
      <alignment vertical="center" wrapText="1"/>
    </xf>
    <xf numFmtId="166" fontId="34" fillId="0" borderId="11" xfId="8" applyNumberFormat="1" applyFont="1" applyBorder="1" applyAlignment="1">
      <alignment vertical="center" wrapText="1"/>
    </xf>
    <xf numFmtId="183" fontId="34" fillId="0" borderId="3" xfId="44" applyFont="1" applyBorder="1" applyAlignment="1">
      <alignment vertical="center" wrapText="1"/>
    </xf>
    <xf numFmtId="3" fontId="32" fillId="0" borderId="19" xfId="0" applyNumberFormat="1" applyFont="1" applyBorder="1" applyAlignment="1">
      <alignment vertical="center"/>
    </xf>
    <xf numFmtId="9" fontId="32" fillId="0" borderId="19" xfId="64" applyFont="1" applyBorder="1" applyAlignment="1">
      <alignment vertical="center"/>
    </xf>
    <xf numFmtId="183" fontId="34" fillId="0" borderId="8" xfId="44" applyFont="1" applyBorder="1" applyAlignment="1">
      <alignment horizontal="center" vertical="center"/>
    </xf>
    <xf numFmtId="183" fontId="34" fillId="0" borderId="2" xfId="44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37" fillId="0" borderId="19" xfId="0" applyFont="1" applyBorder="1" applyAlignment="1">
      <alignment vertical="center" wrapText="1"/>
    </xf>
    <xf numFmtId="0" fontId="37" fillId="0" borderId="19" xfId="0" applyFont="1" applyBorder="1" applyAlignment="1">
      <alignment horizontal="center" vertical="center" wrapText="1"/>
    </xf>
    <xf numFmtId="175" fontId="32" fillId="0" borderId="0" xfId="44" applyNumberFormat="1" applyFont="1"/>
    <xf numFmtId="183" fontId="32" fillId="0" borderId="0" xfId="44" applyFont="1" applyAlignment="1">
      <alignment horizontal="left"/>
    </xf>
    <xf numFmtId="183" fontId="34" fillId="0" borderId="0" xfId="44" applyFont="1"/>
    <xf numFmtId="183" fontId="35" fillId="0" borderId="0" xfId="44" applyFont="1"/>
    <xf numFmtId="175" fontId="34" fillId="0" borderId="0" xfId="44" applyNumberFormat="1" applyFont="1"/>
    <xf numFmtId="166" fontId="32" fillId="0" borderId="0" xfId="8" applyNumberFormat="1" applyFont="1" applyAlignment="1">
      <alignment horizontal="left"/>
    </xf>
    <xf numFmtId="168" fontId="34" fillId="0" borderId="0" xfId="22" applyFont="1"/>
    <xf numFmtId="182" fontId="32" fillId="0" borderId="14" xfId="37" applyNumberFormat="1" applyFont="1" applyBorder="1" applyAlignment="1">
      <alignment horizontal="right"/>
    </xf>
    <xf numFmtId="182" fontId="32" fillId="0" borderId="0" xfId="44" applyNumberFormat="1" applyFont="1" applyAlignment="1">
      <alignment horizontal="right"/>
    </xf>
    <xf numFmtId="182" fontId="34" fillId="0" borderId="0" xfId="44" applyNumberFormat="1" applyFont="1"/>
    <xf numFmtId="193" fontId="34" fillId="0" borderId="0" xfId="37" applyNumberFormat="1" applyFont="1"/>
    <xf numFmtId="183" fontId="32" fillId="0" borderId="0" xfId="44" applyFont="1" applyAlignment="1">
      <alignment horizontal="center"/>
    </xf>
    <xf numFmtId="182" fontId="32" fillId="5" borderId="0" xfId="44" applyNumberFormat="1" applyFont="1" applyFill="1" applyAlignment="1">
      <alignment horizontal="right"/>
    </xf>
    <xf numFmtId="183" fontId="34" fillId="0" borderId="0" xfId="44" applyFont="1" applyAlignment="1">
      <alignment horizontal="center"/>
    </xf>
    <xf numFmtId="182" fontId="34" fillId="0" borderId="0" xfId="44" applyNumberFormat="1" applyFont="1" applyAlignment="1">
      <alignment horizontal="center"/>
    </xf>
    <xf numFmtId="183" fontId="34" fillId="0" borderId="0" xfId="44" applyFont="1" applyAlignment="1">
      <alignment horizontal="justify"/>
    </xf>
    <xf numFmtId="168" fontId="34" fillId="0" borderId="0" xfId="8" applyFont="1"/>
    <xf numFmtId="177" fontId="34" fillId="0" borderId="0" xfId="44" applyNumberFormat="1" applyFont="1" applyAlignment="1">
      <alignment horizontal="right"/>
    </xf>
    <xf numFmtId="195" fontId="34" fillId="0" borderId="0" xfId="8" applyNumberFormat="1" applyFont="1" applyAlignment="1">
      <alignment horizontal="right"/>
    </xf>
    <xf numFmtId="172" fontId="34" fillId="0" borderId="0" xfId="8" applyNumberFormat="1" applyFont="1" applyAlignment="1">
      <alignment horizontal="right"/>
    </xf>
    <xf numFmtId="183" fontId="34" fillId="0" borderId="1" xfId="44" applyFont="1" applyBorder="1"/>
    <xf numFmtId="187" fontId="34" fillId="0" borderId="1" xfId="44" applyNumberFormat="1" applyFont="1" applyBorder="1"/>
    <xf numFmtId="182" fontId="34" fillId="0" borderId="1" xfId="44" applyNumberFormat="1" applyFont="1" applyBorder="1"/>
    <xf numFmtId="177" fontId="34" fillId="0" borderId="1" xfId="44" applyNumberFormat="1" applyFont="1" applyBorder="1"/>
    <xf numFmtId="170" fontId="34" fillId="0" borderId="1" xfId="44" applyNumberFormat="1" applyFont="1" applyBorder="1"/>
    <xf numFmtId="171" fontId="34" fillId="5" borderId="1" xfId="44" applyNumberFormat="1" applyFont="1" applyFill="1" applyBorder="1"/>
    <xf numFmtId="182" fontId="34" fillId="0" borderId="1" xfId="37" applyNumberFormat="1" applyFont="1" applyBorder="1" applyAlignment="1">
      <alignment horizontal="right"/>
    </xf>
    <xf numFmtId="182" fontId="34" fillId="0" borderId="1" xfId="37" applyNumberFormat="1" applyFont="1" applyBorder="1"/>
    <xf numFmtId="187" fontId="34" fillId="0" borderId="0" xfId="44" applyNumberFormat="1" applyFont="1"/>
    <xf numFmtId="177" fontId="34" fillId="0" borderId="0" xfId="44" applyNumberFormat="1" applyFont="1"/>
    <xf numFmtId="171" fontId="34" fillId="0" borderId="0" xfId="44" applyNumberFormat="1" applyFont="1"/>
    <xf numFmtId="182" fontId="34" fillId="5" borderId="1" xfId="37" applyNumberFormat="1" applyFont="1" applyFill="1" applyBorder="1"/>
    <xf numFmtId="183" fontId="32" fillId="0" borderId="0" xfId="44" applyFont="1"/>
    <xf numFmtId="183" fontId="32" fillId="0" borderId="15" xfId="44" applyFont="1" applyBorder="1" applyAlignment="1">
      <alignment horizontal="center"/>
    </xf>
    <xf numFmtId="183" fontId="32" fillId="0" borderId="15" xfId="44" applyFont="1" applyBorder="1"/>
    <xf numFmtId="182" fontId="32" fillId="0" borderId="15" xfId="37" applyNumberFormat="1" applyFont="1" applyBorder="1" applyAlignment="1">
      <alignment horizontal="right"/>
    </xf>
    <xf numFmtId="182" fontId="32" fillId="5" borderId="15" xfId="37" applyNumberFormat="1" applyFont="1" applyFill="1" applyBorder="1" applyAlignment="1">
      <alignment horizontal="right"/>
    </xf>
    <xf numFmtId="188" fontId="34" fillId="0" borderId="0" xfId="44" applyNumberFormat="1" applyFont="1"/>
    <xf numFmtId="183" fontId="34" fillId="0" borderId="0" xfId="44" applyFont="1" applyAlignment="1">
      <alignment horizontal="left"/>
    </xf>
    <xf numFmtId="182" fontId="32" fillId="0" borderId="0" xfId="37" applyNumberFormat="1" applyFont="1" applyAlignment="1">
      <alignment horizontal="right"/>
    </xf>
    <xf numFmtId="183" fontId="35" fillId="0" borderId="0" xfId="44" applyFont="1" applyAlignment="1">
      <alignment horizontal="center"/>
    </xf>
    <xf numFmtId="166" fontId="34" fillId="2" borderId="1" xfId="8" applyNumberFormat="1" applyFont="1" applyFill="1" applyBorder="1"/>
    <xf numFmtId="171" fontId="34" fillId="0" borderId="1" xfId="44" applyNumberFormat="1" applyFont="1" applyBorder="1"/>
    <xf numFmtId="187" fontId="32" fillId="5" borderId="15" xfId="37" applyNumberFormat="1" applyFont="1" applyFill="1" applyBorder="1" applyAlignment="1">
      <alignment horizontal="right"/>
    </xf>
    <xf numFmtId="173" fontId="32" fillId="5" borderId="15" xfId="22" applyNumberFormat="1" applyFont="1" applyFill="1" applyBorder="1"/>
    <xf numFmtId="182" fontId="32" fillId="0" borderId="0" xfId="44" applyNumberFormat="1" applyFont="1" applyAlignment="1">
      <alignment horizontal="right" vertical="top"/>
    </xf>
    <xf numFmtId="166" fontId="34" fillId="0" borderId="0" xfId="44" applyNumberFormat="1" applyFont="1"/>
    <xf numFmtId="166" fontId="34" fillId="0" borderId="0" xfId="8" applyNumberFormat="1" applyFont="1"/>
    <xf numFmtId="187" fontId="34" fillId="5" borderId="1" xfId="44" applyNumberFormat="1" applyFont="1" applyFill="1" applyBorder="1"/>
    <xf numFmtId="182" fontId="34" fillId="5" borderId="1" xfId="44" applyNumberFormat="1" applyFont="1" applyFill="1" applyBorder="1"/>
    <xf numFmtId="177" fontId="34" fillId="5" borderId="1" xfId="44" applyNumberFormat="1" applyFont="1" applyFill="1" applyBorder="1"/>
    <xf numFmtId="170" fontId="34" fillId="5" borderId="1" xfId="44" applyNumberFormat="1" applyFont="1" applyFill="1" applyBorder="1"/>
    <xf numFmtId="173" fontId="32" fillId="5" borderId="15" xfId="22" applyNumberFormat="1" applyFont="1" applyFill="1" applyBorder="1" applyAlignment="1">
      <alignment horizontal="right"/>
    </xf>
    <xf numFmtId="182" fontId="34" fillId="6" borderId="1" xfId="37" applyNumberFormat="1" applyFont="1" applyFill="1" applyBorder="1"/>
    <xf numFmtId="175" fontId="34" fillId="0" borderId="0" xfId="44" applyNumberFormat="1" applyFont="1" applyAlignment="1">
      <alignment horizontal="center"/>
    </xf>
    <xf numFmtId="0" fontId="34" fillId="0" borderId="0" xfId="0" applyFont="1"/>
    <xf numFmtId="182" fontId="34" fillId="5" borderId="1" xfId="37" applyNumberFormat="1" applyFont="1" applyFill="1" applyBorder="1" applyAlignment="1">
      <alignment horizontal="right"/>
    </xf>
    <xf numFmtId="166" fontId="34" fillId="0" borderId="0" xfId="8" applyNumberFormat="1" applyFont="1" applyAlignment="1">
      <alignment horizontal="center" wrapText="1"/>
    </xf>
    <xf numFmtId="187" fontId="32" fillId="6" borderId="15" xfId="37" applyNumberFormat="1" applyFont="1" applyFill="1" applyBorder="1" applyAlignment="1">
      <alignment horizontal="right"/>
    </xf>
    <xf numFmtId="173" fontId="32" fillId="6" borderId="15" xfId="22" applyNumberFormat="1" applyFont="1" applyFill="1" applyBorder="1" applyAlignment="1">
      <alignment horizontal="right"/>
    </xf>
    <xf numFmtId="183" fontId="32" fillId="0" borderId="0" xfId="44" applyFont="1" applyAlignment="1">
      <alignment horizontal="left" vertical="center"/>
    </xf>
    <xf numFmtId="183" fontId="34" fillId="0" borderId="0" xfId="44" applyFont="1" applyAlignment="1">
      <alignment horizontal="left" vertical="center"/>
    </xf>
    <xf numFmtId="183" fontId="35" fillId="0" borderId="0" xfId="44" applyFont="1" applyAlignment="1">
      <alignment vertical="center"/>
    </xf>
    <xf numFmtId="0" fontId="47" fillId="0" borderId="0" xfId="0" applyFont="1" applyAlignment="1">
      <alignment vertical="center"/>
    </xf>
    <xf numFmtId="183" fontId="34" fillId="0" borderId="0" xfId="44" applyFont="1" applyAlignment="1">
      <alignment vertical="center"/>
    </xf>
    <xf numFmtId="175" fontId="34" fillId="0" borderId="0" xfId="44" applyNumberFormat="1" applyFont="1" applyAlignment="1">
      <alignment vertical="center"/>
    </xf>
    <xf numFmtId="166" fontId="32" fillId="0" borderId="0" xfId="8" applyNumberFormat="1" applyFont="1" applyAlignment="1">
      <alignment horizontal="left" vertical="center"/>
    </xf>
    <xf numFmtId="168" fontId="34" fillId="0" borderId="0" xfId="22" applyFont="1" applyAlignment="1">
      <alignment vertical="center"/>
    </xf>
    <xf numFmtId="182" fontId="32" fillId="0" borderId="14" xfId="37" applyNumberFormat="1" applyFont="1" applyBorder="1" applyAlignment="1">
      <alignment horizontal="right" vertical="center"/>
    </xf>
    <xf numFmtId="182" fontId="34" fillId="0" borderId="0" xfId="44" applyNumberFormat="1" applyFont="1" applyAlignment="1">
      <alignment vertical="center"/>
    </xf>
    <xf numFmtId="193" fontId="34" fillId="0" borderId="0" xfId="37" applyNumberFormat="1" applyFont="1" applyAlignment="1">
      <alignment vertical="center"/>
    </xf>
    <xf numFmtId="182" fontId="32" fillId="0" borderId="0" xfId="44" applyNumberFormat="1" applyFont="1" applyAlignment="1">
      <alignment horizontal="right" vertical="center"/>
    </xf>
    <xf numFmtId="182" fontId="32" fillId="0" borderId="0" xfId="37" applyNumberFormat="1" applyFont="1" applyAlignment="1">
      <alignment horizontal="right" vertical="center"/>
    </xf>
    <xf numFmtId="183" fontId="32" fillId="0" borderId="0" xfId="44" applyFont="1" applyAlignment="1">
      <alignment horizontal="center" vertical="center"/>
    </xf>
    <xf numFmtId="183" fontId="34" fillId="0" borderId="0" xfId="44" applyFont="1" applyAlignment="1">
      <alignment horizontal="center" vertical="center"/>
    </xf>
    <xf numFmtId="182" fontId="34" fillId="0" borderId="0" xfId="44" applyNumberFormat="1" applyFont="1" applyAlignment="1">
      <alignment horizontal="center" vertical="center"/>
    </xf>
    <xf numFmtId="183" fontId="34" fillId="0" borderId="0" xfId="44" applyFont="1" applyAlignment="1">
      <alignment horizontal="justify" vertical="center"/>
    </xf>
    <xf numFmtId="168" fontId="34" fillId="0" borderId="0" xfId="8" applyFont="1" applyAlignment="1">
      <alignment vertical="center"/>
    </xf>
    <xf numFmtId="193" fontId="34" fillId="0" borderId="8" xfId="37" applyNumberFormat="1" applyFont="1" applyBorder="1" applyAlignment="1">
      <alignment horizontal="center" vertical="center"/>
    </xf>
    <xf numFmtId="177" fontId="34" fillId="0" borderId="0" xfId="44" applyNumberFormat="1" applyFont="1" applyAlignment="1">
      <alignment horizontal="right" vertical="center"/>
    </xf>
    <xf numFmtId="195" fontId="34" fillId="0" borderId="0" xfId="8" applyNumberFormat="1" applyFont="1" applyAlignment="1">
      <alignment horizontal="right" vertical="center"/>
    </xf>
    <xf numFmtId="196" fontId="34" fillId="0" borderId="0" xfId="8" applyNumberFormat="1" applyFont="1" applyAlignment="1">
      <alignment horizontal="right" vertical="center"/>
    </xf>
    <xf numFmtId="172" fontId="34" fillId="0" borderId="0" xfId="8" applyNumberFormat="1" applyFont="1" applyAlignment="1">
      <alignment horizontal="right" vertical="center"/>
    </xf>
    <xf numFmtId="183" fontId="34" fillId="0" borderId="1" xfId="44" applyFont="1" applyBorder="1" applyAlignment="1">
      <alignment vertical="center"/>
    </xf>
    <xf numFmtId="187" fontId="34" fillId="0" borderId="1" xfId="44" applyNumberFormat="1" applyFont="1" applyBorder="1" applyAlignment="1">
      <alignment vertical="center"/>
    </xf>
    <xf numFmtId="182" fontId="34" fillId="0" borderId="1" xfId="44" applyNumberFormat="1" applyFont="1" applyBorder="1" applyAlignment="1">
      <alignment vertical="center"/>
    </xf>
    <xf numFmtId="177" fontId="34" fillId="0" borderId="1" xfId="44" applyNumberFormat="1" applyFont="1" applyBorder="1" applyAlignment="1">
      <alignment vertical="center"/>
    </xf>
    <xf numFmtId="170" fontId="34" fillId="0" borderId="1" xfId="44" applyNumberFormat="1" applyFont="1" applyBorder="1" applyAlignment="1">
      <alignment vertical="center"/>
    </xf>
    <xf numFmtId="171" fontId="34" fillId="5" borderId="1" xfId="44" applyNumberFormat="1" applyFont="1" applyFill="1" applyBorder="1" applyAlignment="1">
      <alignment vertical="center"/>
    </xf>
    <xf numFmtId="182" fontId="34" fillId="0" borderId="1" xfId="37" applyNumberFormat="1" applyFont="1" applyBorder="1" applyAlignment="1">
      <alignment horizontal="right" vertical="center"/>
    </xf>
    <xf numFmtId="182" fontId="34" fillId="0" borderId="1" xfId="37" applyNumberFormat="1" applyFont="1" applyBorder="1" applyAlignment="1">
      <alignment vertical="center"/>
    </xf>
    <xf numFmtId="187" fontId="34" fillId="0" borderId="0" xfId="44" applyNumberFormat="1" applyFont="1" applyAlignment="1">
      <alignment vertical="center"/>
    </xf>
    <xf numFmtId="177" fontId="34" fillId="0" borderId="0" xfId="44" applyNumberFormat="1" applyFont="1" applyAlignment="1">
      <alignment vertical="center"/>
    </xf>
    <xf numFmtId="171" fontId="34" fillId="0" borderId="0" xfId="44" applyNumberFormat="1" applyFont="1" applyAlignment="1">
      <alignment vertical="center"/>
    </xf>
    <xf numFmtId="166" fontId="34" fillId="2" borderId="1" xfId="8" applyNumberFormat="1" applyFont="1" applyFill="1" applyBorder="1" applyAlignment="1">
      <alignment vertical="center"/>
    </xf>
    <xf numFmtId="183" fontId="32" fillId="0" borderId="0" xfId="44" applyFont="1" applyAlignment="1">
      <alignment vertical="center"/>
    </xf>
    <xf numFmtId="187" fontId="32" fillId="0" borderId="15" xfId="37" applyNumberFormat="1" applyFont="1" applyBorder="1" applyAlignment="1">
      <alignment horizontal="right" vertical="center"/>
    </xf>
    <xf numFmtId="182" fontId="32" fillId="0" borderId="1" xfId="37" applyNumberFormat="1" applyFont="1" applyBorder="1" applyAlignment="1">
      <alignment horizontal="right" vertical="center"/>
    </xf>
    <xf numFmtId="187" fontId="32" fillId="5" borderId="1" xfId="37" applyNumberFormat="1" applyFont="1" applyFill="1" applyBorder="1" applyAlignment="1">
      <alignment horizontal="right" vertical="center"/>
    </xf>
    <xf numFmtId="173" fontId="32" fillId="5" borderId="1" xfId="22" applyNumberFormat="1" applyFont="1" applyFill="1" applyBorder="1" applyAlignment="1">
      <alignment horizontal="right" vertical="center"/>
    </xf>
    <xf numFmtId="188" fontId="34" fillId="0" borderId="0" xfId="44" applyNumberFormat="1" applyFont="1" applyAlignment="1">
      <alignment vertical="center"/>
    </xf>
    <xf numFmtId="164" fontId="34" fillId="0" borderId="0" xfId="0" applyNumberFormat="1" applyFont="1" applyAlignment="1">
      <alignment vertical="center"/>
    </xf>
    <xf numFmtId="164" fontId="34" fillId="8" borderId="0" xfId="0" applyNumberFormat="1" applyFont="1" applyFill="1" applyAlignment="1">
      <alignment vertical="center"/>
    </xf>
    <xf numFmtId="195" fontId="34" fillId="0" borderId="0" xfId="44" applyNumberFormat="1" applyFont="1" applyAlignment="1">
      <alignment vertical="center"/>
    </xf>
    <xf numFmtId="182" fontId="32" fillId="5" borderId="0" xfId="44" applyNumberFormat="1" applyFont="1" applyFill="1" applyAlignment="1">
      <alignment horizontal="right" vertical="center"/>
    </xf>
    <xf numFmtId="182" fontId="34" fillId="5" borderId="1" xfId="37" applyNumberFormat="1" applyFont="1" applyFill="1" applyBorder="1" applyAlignment="1">
      <alignment vertical="center"/>
    </xf>
    <xf numFmtId="183" fontId="32" fillId="0" borderId="15" xfId="44" applyFont="1" applyBorder="1" applyAlignment="1">
      <alignment horizontal="center" vertical="center"/>
    </xf>
    <xf numFmtId="183" fontId="32" fillId="0" borderId="15" xfId="44" applyFont="1" applyBorder="1" applyAlignment="1">
      <alignment vertical="center"/>
    </xf>
    <xf numFmtId="194" fontId="32" fillId="5" borderId="15" xfId="37" applyNumberFormat="1" applyFont="1" applyFill="1" applyBorder="1" applyAlignment="1">
      <alignment horizontal="right" vertical="center"/>
    </xf>
    <xf numFmtId="182" fontId="32" fillId="0" borderId="15" xfId="37" applyNumberFormat="1" applyFont="1" applyBorder="1" applyAlignment="1">
      <alignment horizontal="right" vertical="center"/>
    </xf>
    <xf numFmtId="182" fontId="32" fillId="5" borderId="15" xfId="37" applyNumberFormat="1" applyFont="1" applyFill="1" applyBorder="1" applyAlignment="1">
      <alignment horizontal="right" vertical="center"/>
    </xf>
    <xf numFmtId="183" fontId="32" fillId="0" borderId="19" xfId="44" applyFont="1" applyBorder="1" applyAlignment="1">
      <alignment horizontal="center" vertical="center" wrapText="1"/>
    </xf>
    <xf numFmtId="164" fontId="52" fillId="0" borderId="19" xfId="0" applyNumberFormat="1" applyFont="1" applyBorder="1" applyAlignment="1">
      <alignment vertical="center"/>
    </xf>
    <xf numFmtId="177" fontId="52" fillId="0" borderId="19" xfId="0" applyNumberFormat="1" applyFont="1" applyBorder="1" applyAlignment="1">
      <alignment vertical="center"/>
    </xf>
    <xf numFmtId="3" fontId="52" fillId="0" borderId="19" xfId="0" applyNumberFormat="1" applyFont="1" applyBorder="1" applyAlignment="1">
      <alignment vertical="center"/>
    </xf>
    <xf numFmtId="0" fontId="52" fillId="0" borderId="19" xfId="0" applyFont="1" applyBorder="1" applyAlignment="1">
      <alignment vertical="center"/>
    </xf>
    <xf numFmtId="2" fontId="52" fillId="0" borderId="19" xfId="0" applyNumberFormat="1" applyFont="1" applyBorder="1" applyAlignment="1">
      <alignment vertical="center"/>
    </xf>
    <xf numFmtId="166" fontId="34" fillId="0" borderId="1" xfId="8" applyNumberFormat="1" applyFont="1" applyBorder="1"/>
    <xf numFmtId="171" fontId="34" fillId="0" borderId="1" xfId="44" applyNumberFormat="1" applyFont="1" applyBorder="1" applyAlignment="1">
      <alignment vertical="center"/>
    </xf>
    <xf numFmtId="187" fontId="34" fillId="5" borderId="1" xfId="44" applyNumberFormat="1" applyFont="1" applyFill="1" applyBorder="1" applyAlignment="1">
      <alignment vertical="center"/>
    </xf>
    <xf numFmtId="182" fontId="34" fillId="5" borderId="1" xfId="44" applyNumberFormat="1" applyFont="1" applyFill="1" applyBorder="1" applyAlignment="1">
      <alignment vertical="center"/>
    </xf>
    <xf numFmtId="177" fontId="34" fillId="5" borderId="1" xfId="44" applyNumberFormat="1" applyFont="1" applyFill="1" applyBorder="1" applyAlignment="1">
      <alignment vertical="center"/>
    </xf>
    <xf numFmtId="170" fontId="34" fillId="5" borderId="1" xfId="44" applyNumberFormat="1" applyFont="1" applyFill="1" applyBorder="1" applyAlignment="1">
      <alignment vertical="center"/>
    </xf>
    <xf numFmtId="187" fontId="32" fillId="5" borderId="15" xfId="37" applyNumberFormat="1" applyFont="1" applyFill="1" applyBorder="1" applyAlignment="1">
      <alignment horizontal="right" vertical="center"/>
    </xf>
    <xf numFmtId="173" fontId="32" fillId="5" borderId="15" xfId="22" applyNumberFormat="1" applyFont="1" applyFill="1" applyBorder="1" applyAlignment="1">
      <alignment horizontal="right" vertical="center"/>
    </xf>
    <xf numFmtId="166" fontId="34" fillId="0" borderId="0" xfId="44" applyNumberFormat="1" applyFont="1" applyAlignment="1">
      <alignment vertical="center"/>
    </xf>
    <xf numFmtId="223" fontId="34" fillId="0" borderId="19" xfId="64" applyNumberFormat="1" applyFont="1" applyBorder="1" applyAlignment="1">
      <alignment vertical="center"/>
    </xf>
    <xf numFmtId="224" fontId="37" fillId="0" borderId="12" xfId="8" applyNumberFormat="1" applyFont="1" applyBorder="1" applyAlignment="1">
      <alignment vertical="center"/>
    </xf>
    <xf numFmtId="225" fontId="20" fillId="0" borderId="1" xfId="8" applyNumberFormat="1" applyFont="1" applyBorder="1"/>
    <xf numFmtId="223" fontId="34" fillId="0" borderId="19" xfId="0" applyNumberFormat="1" applyFont="1" applyBorder="1" applyAlignment="1">
      <alignment vertical="center"/>
    </xf>
    <xf numFmtId="0" fontId="16" fillId="0" borderId="1" xfId="0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0" fontId="36" fillId="0" borderId="19" xfId="0" applyFont="1" applyBorder="1" applyAlignment="1">
      <alignment horizontal="center" vertical="center" wrapText="1"/>
    </xf>
    <xf numFmtId="0" fontId="53" fillId="0" borderId="20" xfId="0" applyFont="1" applyBorder="1" applyAlignment="1">
      <alignment horizontal="center" vertical="center"/>
    </xf>
    <xf numFmtId="0" fontId="52" fillId="0" borderId="18" xfId="0" applyFont="1" applyBorder="1" applyAlignment="1">
      <alignment horizontal="center" vertical="top" wrapText="1"/>
    </xf>
    <xf numFmtId="0" fontId="52" fillId="0" borderId="21" xfId="0" applyFont="1" applyBorder="1" applyAlignment="1">
      <alignment horizontal="center" vertical="top" wrapText="1"/>
    </xf>
    <xf numFmtId="0" fontId="52" fillId="0" borderId="22" xfId="0" applyFont="1" applyBorder="1" applyAlignment="1">
      <alignment horizontal="center" vertical="top" wrapText="1"/>
    </xf>
    <xf numFmtId="166" fontId="24" fillId="2" borderId="0" xfId="8" applyNumberFormat="1" applyFont="1" applyFill="1" applyAlignment="1">
      <alignment horizontal="center"/>
    </xf>
    <xf numFmtId="166" fontId="28" fillId="2" borderId="0" xfId="8" applyNumberFormat="1" applyFont="1" applyFill="1" applyAlignment="1">
      <alignment horizontal="center" vertical="center"/>
    </xf>
    <xf numFmtId="181" fontId="29" fillId="0" borderId="11" xfId="20" applyNumberFormat="1" applyFont="1" applyBorder="1" applyAlignment="1">
      <alignment horizontal="center" vertical="center"/>
    </xf>
    <xf numFmtId="181" fontId="29" fillId="0" borderId="12" xfId="20" applyNumberFormat="1" applyFont="1" applyBorder="1" applyAlignment="1">
      <alignment horizontal="center" vertical="center"/>
    </xf>
    <xf numFmtId="183" fontId="22" fillId="0" borderId="2" xfId="44" applyFont="1" applyBorder="1" applyAlignment="1">
      <alignment horizontal="center" vertical="center" wrapText="1"/>
    </xf>
    <xf numFmtId="183" fontId="22" fillId="0" borderId="5" xfId="44" applyFont="1" applyBorder="1" applyAlignment="1">
      <alignment horizontal="center" vertical="center" wrapText="1"/>
    </xf>
    <xf numFmtId="183" fontId="22" fillId="0" borderId="2" xfId="44" applyFont="1" applyBorder="1" applyAlignment="1">
      <alignment horizontal="center" vertical="center"/>
    </xf>
    <xf numFmtId="183" fontId="22" fillId="0" borderId="5" xfId="44" applyFont="1" applyBorder="1" applyAlignment="1">
      <alignment horizontal="center" vertical="center"/>
    </xf>
    <xf numFmtId="183" fontId="22" fillId="0" borderId="8" xfId="44" applyFont="1" applyBorder="1" applyAlignment="1">
      <alignment horizontal="center" vertical="center" wrapText="1"/>
    </xf>
    <xf numFmtId="175" fontId="22" fillId="0" borderId="0" xfId="44" applyNumberFormat="1" applyFont="1" applyAlignment="1">
      <alignment horizontal="center"/>
    </xf>
    <xf numFmtId="175" fontId="22" fillId="0" borderId="14" xfId="44" applyNumberFormat="1" applyFont="1" applyBorder="1" applyAlignment="1">
      <alignment horizontal="left"/>
    </xf>
    <xf numFmtId="175" fontId="32" fillId="0" borderId="0" xfId="44" applyNumberFormat="1" applyFont="1" applyAlignment="1">
      <alignment horizontal="center" vertical="center"/>
    </xf>
    <xf numFmtId="0" fontId="47" fillId="0" borderId="0" xfId="0" applyFont="1" applyAlignment="1">
      <alignment vertical="center"/>
    </xf>
    <xf numFmtId="175" fontId="32" fillId="0" borderId="14" xfId="44" applyNumberFormat="1" applyFont="1" applyBorder="1" applyAlignment="1">
      <alignment horizontal="left" vertical="center"/>
    </xf>
    <xf numFmtId="175" fontId="32" fillId="0" borderId="0" xfId="44" applyNumberFormat="1" applyFont="1" applyAlignment="1">
      <alignment horizontal="center"/>
    </xf>
    <xf numFmtId="0" fontId="47" fillId="0" borderId="0" xfId="0" applyFont="1"/>
    <xf numFmtId="175" fontId="32" fillId="0" borderId="0" xfId="44" applyNumberFormat="1" applyFont="1" applyAlignment="1">
      <alignment horizontal="left"/>
    </xf>
    <xf numFmtId="175" fontId="32" fillId="0" borderId="14" xfId="44" applyNumberFormat="1" applyFont="1" applyBorder="1" applyAlignment="1">
      <alignment horizontal="left"/>
    </xf>
    <xf numFmtId="183" fontId="29" fillId="0" borderId="2" xfId="44" applyFont="1" applyBorder="1" applyAlignment="1">
      <alignment horizontal="center"/>
    </xf>
    <xf numFmtId="183" fontId="29" fillId="0" borderId="2" xfId="44" applyFont="1" applyBorder="1" applyAlignment="1">
      <alignment horizontal="center" vertical="center"/>
    </xf>
    <xf numFmtId="183" fontId="29" fillId="0" borderId="5" xfId="44" applyFont="1" applyBorder="1" applyAlignment="1">
      <alignment horizontal="center" vertical="center"/>
    </xf>
    <xf numFmtId="183" fontId="29" fillId="0" borderId="8" xfId="44" applyFont="1" applyBorder="1" applyAlignment="1">
      <alignment horizontal="center" vertical="center"/>
    </xf>
    <xf numFmtId="183" fontId="42" fillId="0" borderId="1" xfId="51" applyFont="1" applyBorder="1" applyAlignment="1">
      <alignment horizontal="center" vertical="center" wrapText="1"/>
    </xf>
    <xf numFmtId="183" fontId="41" fillId="0" borderId="1" xfId="51" applyFont="1" applyBorder="1" applyAlignment="1">
      <alignment horizontal="center" vertical="center" wrapText="1"/>
    </xf>
    <xf numFmtId="175" fontId="23" fillId="0" borderId="0" xfId="44" applyNumberFormat="1" applyFont="1" applyAlignment="1">
      <alignment horizontal="left"/>
    </xf>
    <xf numFmtId="183" fontId="28" fillId="0" borderId="1" xfId="51" applyFont="1" applyBorder="1" applyAlignment="1">
      <alignment horizontal="left"/>
    </xf>
    <xf numFmtId="183" fontId="45" fillId="0" borderId="2" xfId="51" applyFont="1" applyBorder="1" applyAlignment="1">
      <alignment horizontal="center" vertical="center"/>
    </xf>
    <xf numFmtId="187" fontId="34" fillId="0" borderId="19" xfId="64" applyNumberFormat="1" applyFont="1" applyBorder="1" applyAlignment="1">
      <alignment vertical="center"/>
    </xf>
  </cellXfs>
  <cellStyles count="65">
    <cellStyle name="=C:\WINNT\SYSTEM32\COMMAND.COM" xfId="1"/>
    <cellStyle name="Body" xfId="2"/>
    <cellStyle name="Comma [0]_1995" xfId="3"/>
    <cellStyle name="Comma_1995" xfId="4"/>
    <cellStyle name="Currency [0]_1995" xfId="5"/>
    <cellStyle name="Currency_1995" xfId="6"/>
    <cellStyle name="Euro" xfId="7"/>
    <cellStyle name="Excel Built-in Comma" xfId="8"/>
    <cellStyle name="Excel Built-in Normal 1" xfId="9"/>
    <cellStyle name="Excel Built-in Normal 2" xfId="10"/>
    <cellStyle name="Excel Built-in Percent" xfId="11"/>
    <cellStyle name="Heading" xfId="12"/>
    <cellStyle name="Heading 1" xfId="13"/>
    <cellStyle name="Heading1" xfId="14"/>
    <cellStyle name="Heading1 1" xfId="15"/>
    <cellStyle name="Hipervínculo 2" xfId="16"/>
    <cellStyle name="Hipervínculo 3" xfId="17"/>
    <cellStyle name="Millares 10" xfId="18"/>
    <cellStyle name="Millares 11" xfId="19"/>
    <cellStyle name="Millares 12" xfId="20"/>
    <cellStyle name="Millares 13" xfId="21"/>
    <cellStyle name="Millares 2" xfId="22"/>
    <cellStyle name="Millares 2 2" xfId="23"/>
    <cellStyle name="Millares 2 3" xfId="24"/>
    <cellStyle name="Millares 2 3 2" xfId="25"/>
    <cellStyle name="Millares 2 4" xfId="26"/>
    <cellStyle name="Millares 2 5" xfId="27"/>
    <cellStyle name="Millares 2 6" xfId="28"/>
    <cellStyle name="Millares 3" xfId="29"/>
    <cellStyle name="Millares 4" xfId="30"/>
    <cellStyle name="Millares 5" xfId="31"/>
    <cellStyle name="Millares 6" xfId="32"/>
    <cellStyle name="Millares 7" xfId="33"/>
    <cellStyle name="Millares 8" xfId="34"/>
    <cellStyle name="Millares 8 2" xfId="35"/>
    <cellStyle name="Millares 9" xfId="36"/>
    <cellStyle name="Millares_PART. ESTIMADAS A MPIOS PARA 2005 DANIEL 2" xfId="37"/>
    <cellStyle name="no dec" xfId="38"/>
    <cellStyle name="Normal" xfId="0" builtinId="0" customBuiltin="1"/>
    <cellStyle name="Normal - Style1" xfId="39"/>
    <cellStyle name="Normal 10" xfId="40"/>
    <cellStyle name="Normal 11" xfId="41"/>
    <cellStyle name="Normal 12" xfId="42"/>
    <cellStyle name="Normal 13" xfId="43"/>
    <cellStyle name="Normal 2" xfId="44"/>
    <cellStyle name="Normal 2 2" xfId="45"/>
    <cellStyle name="Normal 2 2 2" xfId="46"/>
    <cellStyle name="Normal 2 3" xfId="47"/>
    <cellStyle name="Normal 3" xfId="48"/>
    <cellStyle name="Normal 3 2" xfId="49"/>
    <cellStyle name="Normal 3 3" xfId="50"/>
    <cellStyle name="Normal 4" xfId="51"/>
    <cellStyle name="Normal 5" xfId="52"/>
    <cellStyle name="Normal 6" xfId="53"/>
    <cellStyle name="Normal 7" xfId="54"/>
    <cellStyle name="Normal 8" xfId="55"/>
    <cellStyle name="Normal 9" xfId="56"/>
    <cellStyle name="Porcentaje" xfId="64" builtinId="5"/>
    <cellStyle name="Porcentaje 2" xfId="57"/>
    <cellStyle name="Porcentaje 2 2" xfId="58"/>
    <cellStyle name="Porcentual 2" xfId="59"/>
    <cellStyle name="Result" xfId="60"/>
    <cellStyle name="Result 1" xfId="61"/>
    <cellStyle name="Result2" xfId="62"/>
    <cellStyle name="Result2 1" xfId="6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8" name="Lin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9" name="Lin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10" name="Line 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12" name="Line 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13" name="Line 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14" name="Line 1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15" name="Line 1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16" name="Line 1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17" name="Line 1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18" name="Line 1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19" name="Line 1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20" name="Line 1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21" name="Line 17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22" name="Line 18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23" name="Line 19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24" name="Line 2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25" name="Line 2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26" name="Line 2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27" name="Line 2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28" name="Line 24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29" name="Line 2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30" name="Line 26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31" name="Line 2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32" name="Line 28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33" name="Line 29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34" name="Line 3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35" name="Line 3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36" name="Line 3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37" name="Line 33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38" name="Line 34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39" name="Line 35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40" name="Line 3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41" name="Line 37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42" name="Line 38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43" name="Line 39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44" name="Line 4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45" name="Line 4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46" name="Line 4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47" name="Line 43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48" name="Line 44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49" name="Line 45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130</xdr:row>
      <xdr:rowOff>107640</xdr:rowOff>
    </xdr:from>
    <xdr:ext cx="0" cy="0"/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11304600" y="2340579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7</xdr:col>
      <xdr:colOff>27360</xdr:colOff>
      <xdr:row>6</xdr:row>
      <xdr:rowOff>101160</xdr:rowOff>
    </xdr:from>
    <xdr:ext cx="758160" cy="85320"/>
    <xdr:sp macro="" textlink="">
      <xdr:nvSpPr>
        <xdr:cNvPr id="3" name="Text Box 48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066085" y="1187010"/>
          <a:ext cx="758160" cy="8532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14</xdr:col>
      <xdr:colOff>293760</xdr:colOff>
      <xdr:row>6</xdr:row>
      <xdr:rowOff>86760</xdr:rowOff>
    </xdr:from>
    <xdr:ext cx="1362240" cy="243720"/>
    <xdr:sp macro="" textlink="">
      <xdr:nvSpPr>
        <xdr:cNvPr id="4" name="Text Box 5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933060" y="1172610"/>
          <a:ext cx="1362240" cy="24372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2736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endParaRPr lang="es-MX" sz="1000" b="1" i="0" u="none" strike="noStrike" kern="1200" spc="0">
            <a:solidFill>
              <a:srgbClr val="000000"/>
            </a:solidFill>
            <a:latin typeface="Arial" pitchFamily="18"/>
            <a:cs typeface="Arial"/>
          </a:endParaRPr>
        </a:p>
        <a:p>
          <a:pPr lvl="0" algn="ctr" rtl="0" hangingPunct="0">
            <a:buNone/>
            <a:tabLst/>
            <a:defRPr sz="1800"/>
          </a:pPr>
          <a:endParaRPr lang="es-MX" sz="1000" b="1" i="0" u="none" strike="noStrike" kern="1200" spc="0">
            <a:solidFill>
              <a:srgbClr val="000000"/>
            </a:solidFill>
            <a:latin typeface="Arial" pitchFamily="18"/>
            <a:cs typeface="Arial"/>
          </a:endParaRPr>
        </a:p>
      </xdr:txBody>
    </xdr:sp>
    <xdr:clientData/>
  </xdr:oneCellAnchor>
  <xdr:oneCellAnchor>
    <xdr:from>
      <xdr:col>0</xdr:col>
      <xdr:colOff>27000</xdr:colOff>
      <xdr:row>0</xdr:row>
      <xdr:rowOff>0</xdr:rowOff>
    </xdr:from>
    <xdr:ext cx="1641599" cy="468360"/>
    <xdr:pic>
      <xdr:nvPicPr>
        <xdr:cNvPr id="2" name="50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27000" y="0"/>
          <a:ext cx="1641599" cy="4683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2" name="Text Box 46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4198950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198950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8" name="Line 1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9" name="Line 2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0" name="Line 3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1" name="Line 4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2" name="Line 5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3" name="Line 6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4" name="Line 7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5" name="Line 8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6" name="Line 9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7" name="Line 10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8" name="Line 11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9" name="Line 12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0" name="Line 13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1" name="Line 14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2" name="Line 15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3" name="Line 16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4" name="Line 17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5" name="Line 18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6" name="Line 19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7" name="Line 20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8" name="Line 21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9" name="Line 22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0" name="Line 23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1" name="Line 24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2" name="Line 25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3" name="Line 26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4" name="Line 27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5" name="Line 28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6" name="Line 29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7" name="Line 30">
          <a:extLst>
            <a:ext uri="{FF2B5EF4-FFF2-40B4-BE49-F238E27FC236}">
              <a16:creationId xmlns:a16="http://schemas.microsoft.com/office/drawing/2014/main" id="{00000000-0008-0000-0D00-00006B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8" name="Line 31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9" name="Line 32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0" name="Line 33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1" name="Line 34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2" name="Line 35">
          <a:extLst>
            <a:ext uri="{FF2B5EF4-FFF2-40B4-BE49-F238E27FC236}">
              <a16:creationId xmlns:a16="http://schemas.microsoft.com/office/drawing/2014/main" id="{00000000-0008-0000-0D00-000070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3" name="Line 36">
          <a:extLst>
            <a:ext uri="{FF2B5EF4-FFF2-40B4-BE49-F238E27FC236}">
              <a16:creationId xmlns:a16="http://schemas.microsoft.com/office/drawing/2014/main" id="{00000000-0008-0000-0D00-000071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4" name="Line 37">
          <a:extLst>
            <a:ext uri="{FF2B5EF4-FFF2-40B4-BE49-F238E27FC236}">
              <a16:creationId xmlns:a16="http://schemas.microsoft.com/office/drawing/2014/main" id="{00000000-0008-0000-0D00-000072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5" name="Line 38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6" name="Line 39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7" name="Line 40">
          <a:extLst>
            <a:ext uri="{FF2B5EF4-FFF2-40B4-BE49-F238E27FC236}">
              <a16:creationId xmlns:a16="http://schemas.microsoft.com/office/drawing/2014/main" id="{00000000-0008-0000-0D00-000075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8" name="Line 41">
          <a:extLst>
            <a:ext uri="{FF2B5EF4-FFF2-40B4-BE49-F238E27FC236}">
              <a16:creationId xmlns:a16="http://schemas.microsoft.com/office/drawing/2014/main" id="{00000000-0008-0000-0D00-000076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9" name="Line 42">
          <a:extLst>
            <a:ext uri="{FF2B5EF4-FFF2-40B4-BE49-F238E27FC236}">
              <a16:creationId xmlns:a16="http://schemas.microsoft.com/office/drawing/2014/main" id="{00000000-0008-0000-0D00-000077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0" name="Line 43">
          <a:extLst>
            <a:ext uri="{FF2B5EF4-FFF2-40B4-BE49-F238E27FC236}">
              <a16:creationId xmlns:a16="http://schemas.microsoft.com/office/drawing/2014/main" id="{00000000-0008-0000-0D00-000078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2" name="Text Box 46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394177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4" name="Line 6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5" name="Line 6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6" name="Line 6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7" name="Line 66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8" name="Line 6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9" name="Line 68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0" name="Line 69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1" name="Line 7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2" name="Line 7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3" name="Line 72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4" name="Line 73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5" name="Line 74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6" name="Line 7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7" name="Line 76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8" name="Line 77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9" name="Line 78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0" name="Line 79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1" name="Line 80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2" name="Line 8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3" name="Line 82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4" name="Line 83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5" name="Line 84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6" name="Line 85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7" name="Line 86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94177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" name="Text Box 90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5" name="Text Box 91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6" name="Text Box 9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7" name="Text Box 93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8" name="Text Box 9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9" name="Text Box 95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0" name="Text Box 90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1" name="Text Box 91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" name="Text Box 92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" name="Text Box 93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" name="Text Box 94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" name="Text Box 95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" name="Text Box 90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" name="Text Box 91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" name="Text Box 92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" name="Text Box 93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" name="Text Box 94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" name="Text Box 95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" name="Text Box 90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" name="Text Box 91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" name="Text Box 92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" name="Text Box 93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" name="Text Box 94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" name="Text Box 95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" name="Text Box 90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" name="Text Box 91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0" name="Text Box 92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1" name="Text Box 93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2" name="Text Box 94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3" name="Text Box 95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4" name="Text Box 90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5" name="Text Box 91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6" name="Text Box 92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7" name="Text Box 93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8" name="Text Box 94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9" name="Text Box 95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1" name="Text Box 90">
          <a:extLst>
            <a:ext uri="{FF2B5EF4-FFF2-40B4-BE49-F238E27FC236}">
              <a16:creationId xmlns:a16="http://schemas.microsoft.com/office/drawing/2014/main" id="{49CCED4D-1B46-4D4D-823B-4C280B65E7F1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2" name="Text Box 91">
          <a:extLst>
            <a:ext uri="{FF2B5EF4-FFF2-40B4-BE49-F238E27FC236}">
              <a16:creationId xmlns:a16="http://schemas.microsoft.com/office/drawing/2014/main" id="{1D954A0C-2CCF-41A3-8053-A45A78BC3D43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3" name="Text Box 92">
          <a:extLst>
            <a:ext uri="{FF2B5EF4-FFF2-40B4-BE49-F238E27FC236}">
              <a16:creationId xmlns:a16="http://schemas.microsoft.com/office/drawing/2014/main" id="{26F6EE1A-9B50-443D-866F-17DC0B50022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4" name="Text Box 93">
          <a:extLst>
            <a:ext uri="{FF2B5EF4-FFF2-40B4-BE49-F238E27FC236}">
              <a16:creationId xmlns:a16="http://schemas.microsoft.com/office/drawing/2014/main" id="{51AE7080-572F-4422-8109-682ADDAFBE8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5" name="Text Box 94">
          <a:extLst>
            <a:ext uri="{FF2B5EF4-FFF2-40B4-BE49-F238E27FC236}">
              <a16:creationId xmlns:a16="http://schemas.microsoft.com/office/drawing/2014/main" id="{9045F2F7-3974-43E3-AC18-CF65745F8E1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6" name="Text Box 95">
          <a:extLst>
            <a:ext uri="{FF2B5EF4-FFF2-40B4-BE49-F238E27FC236}">
              <a16:creationId xmlns:a16="http://schemas.microsoft.com/office/drawing/2014/main" id="{A7ACED72-EA35-4A17-B366-04E7919B6C4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7" name="Text Box 90">
          <a:extLst>
            <a:ext uri="{FF2B5EF4-FFF2-40B4-BE49-F238E27FC236}">
              <a16:creationId xmlns:a16="http://schemas.microsoft.com/office/drawing/2014/main" id="{F2F15FFE-B94D-4EF5-8BA0-FBCA03499763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8" name="Text Box 91">
          <a:extLst>
            <a:ext uri="{FF2B5EF4-FFF2-40B4-BE49-F238E27FC236}">
              <a16:creationId xmlns:a16="http://schemas.microsoft.com/office/drawing/2014/main" id="{4E3945BD-45F3-423C-B7C5-D548AC985A4C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9" name="Text Box 92">
          <a:extLst>
            <a:ext uri="{FF2B5EF4-FFF2-40B4-BE49-F238E27FC236}">
              <a16:creationId xmlns:a16="http://schemas.microsoft.com/office/drawing/2014/main" id="{9D9B578E-02C0-4EE5-9FA1-2FB705697BE6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0" name="Text Box 93">
          <a:extLst>
            <a:ext uri="{FF2B5EF4-FFF2-40B4-BE49-F238E27FC236}">
              <a16:creationId xmlns:a16="http://schemas.microsoft.com/office/drawing/2014/main" id="{19A957F4-B9AA-41F9-898C-777296F35BEF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1" name="Text Box 94">
          <a:extLst>
            <a:ext uri="{FF2B5EF4-FFF2-40B4-BE49-F238E27FC236}">
              <a16:creationId xmlns:a16="http://schemas.microsoft.com/office/drawing/2014/main" id="{AB5316C9-8787-43A1-AC41-A140D1602E8A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2" name="Text Box 95">
          <a:extLst>
            <a:ext uri="{FF2B5EF4-FFF2-40B4-BE49-F238E27FC236}">
              <a16:creationId xmlns:a16="http://schemas.microsoft.com/office/drawing/2014/main" id="{C7CCA340-5633-4578-86E4-49009A846F42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3" name="Text Box 90">
          <a:extLst>
            <a:ext uri="{FF2B5EF4-FFF2-40B4-BE49-F238E27FC236}">
              <a16:creationId xmlns:a16="http://schemas.microsoft.com/office/drawing/2014/main" id="{E58EB69C-CBA2-4E83-8B8F-311F80B9F58D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4" name="Text Box 91">
          <a:extLst>
            <a:ext uri="{FF2B5EF4-FFF2-40B4-BE49-F238E27FC236}">
              <a16:creationId xmlns:a16="http://schemas.microsoft.com/office/drawing/2014/main" id="{BFDC3339-DFA8-43C6-9C64-6F72171D60C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5" name="Text Box 92">
          <a:extLst>
            <a:ext uri="{FF2B5EF4-FFF2-40B4-BE49-F238E27FC236}">
              <a16:creationId xmlns:a16="http://schemas.microsoft.com/office/drawing/2014/main" id="{B2E05F45-C061-48C3-AFD0-F6DF9BF4CFD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6" name="Text Box 93">
          <a:extLst>
            <a:ext uri="{FF2B5EF4-FFF2-40B4-BE49-F238E27FC236}">
              <a16:creationId xmlns:a16="http://schemas.microsoft.com/office/drawing/2014/main" id="{AF3FCFAB-6C00-4682-81BD-2F88A766286C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7" name="Text Box 94">
          <a:extLst>
            <a:ext uri="{FF2B5EF4-FFF2-40B4-BE49-F238E27FC236}">
              <a16:creationId xmlns:a16="http://schemas.microsoft.com/office/drawing/2014/main" id="{0EE87BA2-BCEF-4219-A858-D5A7BDBBCE7A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8" name="Text Box 95">
          <a:extLst>
            <a:ext uri="{FF2B5EF4-FFF2-40B4-BE49-F238E27FC236}">
              <a16:creationId xmlns:a16="http://schemas.microsoft.com/office/drawing/2014/main" id="{45713EDD-E181-40C8-9B8B-1A6F862AA21F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9" name="Text Box 90">
          <a:extLst>
            <a:ext uri="{FF2B5EF4-FFF2-40B4-BE49-F238E27FC236}">
              <a16:creationId xmlns:a16="http://schemas.microsoft.com/office/drawing/2014/main" id="{3BB0FC4C-C89E-40A2-AB82-31D6C2CC705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0" name="Text Box 91">
          <a:extLst>
            <a:ext uri="{FF2B5EF4-FFF2-40B4-BE49-F238E27FC236}">
              <a16:creationId xmlns:a16="http://schemas.microsoft.com/office/drawing/2014/main" id="{A758D127-E019-41A8-A46A-E3C95D1EE3C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1" name="Text Box 92">
          <a:extLst>
            <a:ext uri="{FF2B5EF4-FFF2-40B4-BE49-F238E27FC236}">
              <a16:creationId xmlns:a16="http://schemas.microsoft.com/office/drawing/2014/main" id="{E662AB69-027B-42BD-B57E-D90E07C9F0DC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2" name="Text Box 93">
          <a:extLst>
            <a:ext uri="{FF2B5EF4-FFF2-40B4-BE49-F238E27FC236}">
              <a16:creationId xmlns:a16="http://schemas.microsoft.com/office/drawing/2014/main" id="{94CAD239-B296-4A14-B791-75057ABD8FB5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3" name="Text Box 94">
          <a:extLst>
            <a:ext uri="{FF2B5EF4-FFF2-40B4-BE49-F238E27FC236}">
              <a16:creationId xmlns:a16="http://schemas.microsoft.com/office/drawing/2014/main" id="{CAC01DA4-DC14-46BA-9426-AAC24B16348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4" name="Text Box 95">
          <a:extLst>
            <a:ext uri="{FF2B5EF4-FFF2-40B4-BE49-F238E27FC236}">
              <a16:creationId xmlns:a16="http://schemas.microsoft.com/office/drawing/2014/main" id="{1C6275EB-CE4D-4C80-9BDC-EF281C22FB06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5" name="Text Box 90">
          <a:extLst>
            <a:ext uri="{FF2B5EF4-FFF2-40B4-BE49-F238E27FC236}">
              <a16:creationId xmlns:a16="http://schemas.microsoft.com/office/drawing/2014/main" id="{6F48C1AB-8D42-4968-9B4B-7E184E6C87F1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6" name="Text Box 91">
          <a:extLst>
            <a:ext uri="{FF2B5EF4-FFF2-40B4-BE49-F238E27FC236}">
              <a16:creationId xmlns:a16="http://schemas.microsoft.com/office/drawing/2014/main" id="{A1ACABA9-8687-4C85-835D-6918BBE30B0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7" name="Text Box 92">
          <a:extLst>
            <a:ext uri="{FF2B5EF4-FFF2-40B4-BE49-F238E27FC236}">
              <a16:creationId xmlns:a16="http://schemas.microsoft.com/office/drawing/2014/main" id="{72B4CB63-68BB-422A-8C61-666CCD3B613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8" name="Text Box 93">
          <a:extLst>
            <a:ext uri="{FF2B5EF4-FFF2-40B4-BE49-F238E27FC236}">
              <a16:creationId xmlns:a16="http://schemas.microsoft.com/office/drawing/2014/main" id="{FC67C7BC-605E-4C15-AEB9-C6DD4D56801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9" name="Text Box 94">
          <a:extLst>
            <a:ext uri="{FF2B5EF4-FFF2-40B4-BE49-F238E27FC236}">
              <a16:creationId xmlns:a16="http://schemas.microsoft.com/office/drawing/2014/main" id="{A19C2E99-7EC5-44E4-8697-23D0B4E46F15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0" name="Text Box 95">
          <a:extLst>
            <a:ext uri="{FF2B5EF4-FFF2-40B4-BE49-F238E27FC236}">
              <a16:creationId xmlns:a16="http://schemas.microsoft.com/office/drawing/2014/main" id="{ABBC70B8-6EE0-488A-9165-B1B99D5C9134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1" name="Text Box 90">
          <a:extLst>
            <a:ext uri="{FF2B5EF4-FFF2-40B4-BE49-F238E27FC236}">
              <a16:creationId xmlns:a16="http://schemas.microsoft.com/office/drawing/2014/main" id="{179105FB-1228-4CEE-9B61-236691886C0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2" name="Text Box 91">
          <a:extLst>
            <a:ext uri="{FF2B5EF4-FFF2-40B4-BE49-F238E27FC236}">
              <a16:creationId xmlns:a16="http://schemas.microsoft.com/office/drawing/2014/main" id="{199613B6-4953-439C-B677-731D583FEAA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3" name="Text Box 92">
          <a:extLst>
            <a:ext uri="{FF2B5EF4-FFF2-40B4-BE49-F238E27FC236}">
              <a16:creationId xmlns:a16="http://schemas.microsoft.com/office/drawing/2014/main" id="{E7FFB49E-A27E-427A-BDDB-5613AD55758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4" name="Text Box 93">
          <a:extLst>
            <a:ext uri="{FF2B5EF4-FFF2-40B4-BE49-F238E27FC236}">
              <a16:creationId xmlns:a16="http://schemas.microsoft.com/office/drawing/2014/main" id="{EF7A5494-7913-4B49-80F9-733D58F9206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5" name="Text Box 94">
          <a:extLst>
            <a:ext uri="{FF2B5EF4-FFF2-40B4-BE49-F238E27FC236}">
              <a16:creationId xmlns:a16="http://schemas.microsoft.com/office/drawing/2014/main" id="{71415DE4-AE34-4B66-AD5C-9BF925445273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6" name="Text Box 95">
          <a:extLst>
            <a:ext uri="{FF2B5EF4-FFF2-40B4-BE49-F238E27FC236}">
              <a16:creationId xmlns:a16="http://schemas.microsoft.com/office/drawing/2014/main" id="{8AB73582-13AE-44C7-A507-166026A3EC6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7" name="Text Box 90">
          <a:extLst>
            <a:ext uri="{FF2B5EF4-FFF2-40B4-BE49-F238E27FC236}">
              <a16:creationId xmlns:a16="http://schemas.microsoft.com/office/drawing/2014/main" id="{58798C5F-724B-4BAA-BC0D-7DF63EB758B7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8" name="Text Box 91">
          <a:extLst>
            <a:ext uri="{FF2B5EF4-FFF2-40B4-BE49-F238E27FC236}">
              <a16:creationId xmlns:a16="http://schemas.microsoft.com/office/drawing/2014/main" id="{D948D4CC-95BC-4E5F-A46F-7D14F00664C6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9" name="Text Box 92">
          <a:extLst>
            <a:ext uri="{FF2B5EF4-FFF2-40B4-BE49-F238E27FC236}">
              <a16:creationId xmlns:a16="http://schemas.microsoft.com/office/drawing/2014/main" id="{0251ABB3-6182-487E-B434-6FEDC22A9E2D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0" name="Text Box 93">
          <a:extLst>
            <a:ext uri="{FF2B5EF4-FFF2-40B4-BE49-F238E27FC236}">
              <a16:creationId xmlns:a16="http://schemas.microsoft.com/office/drawing/2014/main" id="{72A668B0-A718-4FAF-9FB8-EFB881771E7D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1" name="Text Box 94">
          <a:extLst>
            <a:ext uri="{FF2B5EF4-FFF2-40B4-BE49-F238E27FC236}">
              <a16:creationId xmlns:a16="http://schemas.microsoft.com/office/drawing/2014/main" id="{3B65A5D8-E77F-4273-A498-FAB0FA4616B4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2" name="Text Box 95">
          <a:extLst>
            <a:ext uri="{FF2B5EF4-FFF2-40B4-BE49-F238E27FC236}">
              <a16:creationId xmlns:a16="http://schemas.microsoft.com/office/drawing/2014/main" id="{5303BE04-259E-43FE-B4D5-51BC35DAE0D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3" name="Text Box 90">
          <a:extLst>
            <a:ext uri="{FF2B5EF4-FFF2-40B4-BE49-F238E27FC236}">
              <a16:creationId xmlns:a16="http://schemas.microsoft.com/office/drawing/2014/main" id="{9AB60FDA-BB26-4500-A6A2-AF2A39B533A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4" name="Text Box 91">
          <a:extLst>
            <a:ext uri="{FF2B5EF4-FFF2-40B4-BE49-F238E27FC236}">
              <a16:creationId xmlns:a16="http://schemas.microsoft.com/office/drawing/2014/main" id="{5B726820-EBB6-4A9A-9766-BF0381CE32C9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5" name="Text Box 92">
          <a:extLst>
            <a:ext uri="{FF2B5EF4-FFF2-40B4-BE49-F238E27FC236}">
              <a16:creationId xmlns:a16="http://schemas.microsoft.com/office/drawing/2014/main" id="{85CCBFB4-65CE-481A-90DB-DE15C2F01804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6" name="Text Box 93">
          <a:extLst>
            <a:ext uri="{FF2B5EF4-FFF2-40B4-BE49-F238E27FC236}">
              <a16:creationId xmlns:a16="http://schemas.microsoft.com/office/drawing/2014/main" id="{51653296-7741-45F7-B941-EC0E1AA99EF7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7" name="Text Box 94">
          <a:extLst>
            <a:ext uri="{FF2B5EF4-FFF2-40B4-BE49-F238E27FC236}">
              <a16:creationId xmlns:a16="http://schemas.microsoft.com/office/drawing/2014/main" id="{92A4525D-3E30-4ED4-9DD8-34F1CBC0D25C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8" name="Text Box 95">
          <a:extLst>
            <a:ext uri="{FF2B5EF4-FFF2-40B4-BE49-F238E27FC236}">
              <a16:creationId xmlns:a16="http://schemas.microsoft.com/office/drawing/2014/main" id="{1153CB79-776D-4E88-85E5-7B2F7B5A17DA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9" name="Text Box 90">
          <a:extLst>
            <a:ext uri="{FF2B5EF4-FFF2-40B4-BE49-F238E27FC236}">
              <a16:creationId xmlns:a16="http://schemas.microsoft.com/office/drawing/2014/main" id="{CCD7633E-3B04-4DC0-8E32-7C2D10BB18D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0" name="Text Box 91">
          <a:extLst>
            <a:ext uri="{FF2B5EF4-FFF2-40B4-BE49-F238E27FC236}">
              <a16:creationId xmlns:a16="http://schemas.microsoft.com/office/drawing/2014/main" id="{27E14CD1-EDB3-4487-B85E-6E12403917AA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1" name="Text Box 92">
          <a:extLst>
            <a:ext uri="{FF2B5EF4-FFF2-40B4-BE49-F238E27FC236}">
              <a16:creationId xmlns:a16="http://schemas.microsoft.com/office/drawing/2014/main" id="{87EEEE12-D7B6-4019-BA42-103002F2DF3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2" name="Text Box 93">
          <a:extLst>
            <a:ext uri="{FF2B5EF4-FFF2-40B4-BE49-F238E27FC236}">
              <a16:creationId xmlns:a16="http://schemas.microsoft.com/office/drawing/2014/main" id="{95B5B32F-06EC-4FE0-9AA9-3050D9298FED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3" name="Text Box 94">
          <a:extLst>
            <a:ext uri="{FF2B5EF4-FFF2-40B4-BE49-F238E27FC236}">
              <a16:creationId xmlns:a16="http://schemas.microsoft.com/office/drawing/2014/main" id="{03C370C5-C089-4A03-9CFC-EA1726EB7924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4" name="Text Box 95">
          <a:extLst>
            <a:ext uri="{FF2B5EF4-FFF2-40B4-BE49-F238E27FC236}">
              <a16:creationId xmlns:a16="http://schemas.microsoft.com/office/drawing/2014/main" id="{53678283-DF43-4512-AE54-F96B318E0521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75" name="Text Box 90">
          <a:extLst>
            <a:ext uri="{FF2B5EF4-FFF2-40B4-BE49-F238E27FC236}">
              <a16:creationId xmlns:a16="http://schemas.microsoft.com/office/drawing/2014/main" id="{30CA07C3-632B-460A-A814-7391071A26A5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76" name="Text Box 91">
          <a:extLst>
            <a:ext uri="{FF2B5EF4-FFF2-40B4-BE49-F238E27FC236}">
              <a16:creationId xmlns:a16="http://schemas.microsoft.com/office/drawing/2014/main" id="{16A34C38-61DB-45CD-AE28-1D965BC14D14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77" name="Text Box 92">
          <a:extLst>
            <a:ext uri="{FF2B5EF4-FFF2-40B4-BE49-F238E27FC236}">
              <a16:creationId xmlns:a16="http://schemas.microsoft.com/office/drawing/2014/main" id="{C372CC6B-AF37-4919-9CDF-DD1CADB00DA0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78" name="Text Box 93">
          <a:extLst>
            <a:ext uri="{FF2B5EF4-FFF2-40B4-BE49-F238E27FC236}">
              <a16:creationId xmlns:a16="http://schemas.microsoft.com/office/drawing/2014/main" id="{0B2A33F9-4508-4ADF-B79D-1385EDBCEA1C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79" name="Text Box 94">
          <a:extLst>
            <a:ext uri="{FF2B5EF4-FFF2-40B4-BE49-F238E27FC236}">
              <a16:creationId xmlns:a16="http://schemas.microsoft.com/office/drawing/2014/main" id="{8E8C1895-A3A3-42CC-96CA-D3F9831D79D4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80" name="Text Box 95">
          <a:extLst>
            <a:ext uri="{FF2B5EF4-FFF2-40B4-BE49-F238E27FC236}">
              <a16:creationId xmlns:a16="http://schemas.microsoft.com/office/drawing/2014/main" id="{C9903C74-5C0A-4F68-A16A-15B2AEB4B9C4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81" name="Text Box 90">
          <a:extLst>
            <a:ext uri="{FF2B5EF4-FFF2-40B4-BE49-F238E27FC236}">
              <a16:creationId xmlns:a16="http://schemas.microsoft.com/office/drawing/2014/main" id="{D4293BA3-7815-4C2C-99FE-52AF21818772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82" name="Text Box 91">
          <a:extLst>
            <a:ext uri="{FF2B5EF4-FFF2-40B4-BE49-F238E27FC236}">
              <a16:creationId xmlns:a16="http://schemas.microsoft.com/office/drawing/2014/main" id="{FF56416A-859C-4B32-868C-AA87B65A4353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83" name="Text Box 92">
          <a:extLst>
            <a:ext uri="{FF2B5EF4-FFF2-40B4-BE49-F238E27FC236}">
              <a16:creationId xmlns:a16="http://schemas.microsoft.com/office/drawing/2014/main" id="{E3D28041-B9E8-405E-8D51-8FA3F889F808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84" name="Text Box 93">
          <a:extLst>
            <a:ext uri="{FF2B5EF4-FFF2-40B4-BE49-F238E27FC236}">
              <a16:creationId xmlns:a16="http://schemas.microsoft.com/office/drawing/2014/main" id="{63DF5A6A-AFBA-4006-93C0-19335B04C8DA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85" name="Text Box 94">
          <a:extLst>
            <a:ext uri="{FF2B5EF4-FFF2-40B4-BE49-F238E27FC236}">
              <a16:creationId xmlns:a16="http://schemas.microsoft.com/office/drawing/2014/main" id="{48071FDF-3949-4AC2-BDAE-3CCBDDE2DF16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86" name="Text Box 95">
          <a:extLst>
            <a:ext uri="{FF2B5EF4-FFF2-40B4-BE49-F238E27FC236}">
              <a16:creationId xmlns:a16="http://schemas.microsoft.com/office/drawing/2014/main" id="{A776DF8B-967A-4D36-9405-A87FC3FDC5D5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87" name="Text Box 90">
          <a:extLst>
            <a:ext uri="{FF2B5EF4-FFF2-40B4-BE49-F238E27FC236}">
              <a16:creationId xmlns:a16="http://schemas.microsoft.com/office/drawing/2014/main" id="{D0356CC1-34A4-471F-BD63-FD8ABA86691F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88" name="Text Box 91">
          <a:extLst>
            <a:ext uri="{FF2B5EF4-FFF2-40B4-BE49-F238E27FC236}">
              <a16:creationId xmlns:a16="http://schemas.microsoft.com/office/drawing/2014/main" id="{73B5AB97-9815-452B-A697-33F77B134D04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89" name="Text Box 92">
          <a:extLst>
            <a:ext uri="{FF2B5EF4-FFF2-40B4-BE49-F238E27FC236}">
              <a16:creationId xmlns:a16="http://schemas.microsoft.com/office/drawing/2014/main" id="{4A778093-C8E9-4FC9-BF49-E52F3A910A6C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90" name="Text Box 93">
          <a:extLst>
            <a:ext uri="{FF2B5EF4-FFF2-40B4-BE49-F238E27FC236}">
              <a16:creationId xmlns:a16="http://schemas.microsoft.com/office/drawing/2014/main" id="{5ACA48A0-6E47-4893-8648-89797BFD4E41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91" name="Text Box 94">
          <a:extLst>
            <a:ext uri="{FF2B5EF4-FFF2-40B4-BE49-F238E27FC236}">
              <a16:creationId xmlns:a16="http://schemas.microsoft.com/office/drawing/2014/main" id="{A880C32D-BDA3-45B3-BBC2-626C240D17FD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92" name="Text Box 95">
          <a:extLst>
            <a:ext uri="{FF2B5EF4-FFF2-40B4-BE49-F238E27FC236}">
              <a16:creationId xmlns:a16="http://schemas.microsoft.com/office/drawing/2014/main" id="{BA188621-DDD7-485B-98E6-226E27929642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84" name="Line 1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85" name="Line 2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86" name="Line 3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87" name="Line 4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88" name="Line 5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89" name="Line 6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90" name="Line 7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91" name="Line 8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92" name="Line 9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93" name="Line 10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94" name="Line 11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95" name="Line 12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96" name="Line 13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97" name="Line 14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98" name="Line 15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99" name="Line 16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00" name="Line 17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01" name="Line 18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02" name="Line 19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03" name="Line 20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04" name="Line 21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05" name="Line 22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06" name="Line 23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07" name="Line 24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08" name="Line 25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09" name="Line 26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10" name="Line 27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11" name="Line 28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12" name="Line 29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13" name="Line 30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14" name="Line 31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15" name="Line 32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16" name="Line 33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17" name="Line 34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18" name="Line 35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19" name="Line 36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20" name="Line 37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21" name="Line 38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22" name="Line 39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23" name="Line 40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24" name="Line 41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25" name="Line 42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153720</xdr:rowOff>
    </xdr:from>
    <xdr:ext cx="0" cy="0"/>
    <xdr:sp macro="" textlink="">
      <xdr:nvSpPr>
        <xdr:cNvPr id="126" name="Line 43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SpPr/>
      </xdr:nvSpPr>
      <xdr:spPr>
        <a:xfrm>
          <a:off x="3941775" y="2254699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2" name="Text Box 4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394177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47" name="Line 50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48" name="Line 51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49" name="Line 52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50" name="Line 53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51" name="Line 54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52" name="Line 55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53" name="Line 56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54" name="Line 57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55" name="Line 58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56" name="Line 59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57" name="Line 60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58" name="Line 61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59" name="Line 62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60" name="Line 63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61" name="Line 64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62" name="Line 65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63" name="Line 66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64" name="Line 67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65" name="Line 68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66" name="Line 69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67" name="Line 70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68" name="Line 71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69" name="Line 72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70" name="Line 73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71" name="Line 74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72" name="Line 75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73" name="Line 76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74" name="Line 77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75" name="Line 78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76" name="Line 79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77" name="Line 80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78" name="Line 81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79" name="Line 82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80" name="Line 83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81" name="Line 84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82" name="Line 85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153720</xdr:rowOff>
    </xdr:from>
    <xdr:ext cx="0" cy="0"/>
    <xdr:sp macro="" textlink="">
      <xdr:nvSpPr>
        <xdr:cNvPr id="83" name="Line 86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SpPr/>
      </xdr:nvSpPr>
      <xdr:spPr>
        <a:xfrm>
          <a:off x="3941775" y="2173737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394177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4" name="Text Box 90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5" name="Text Box 91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6" name="Text Box 92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7" name="Text Box 93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8" name="Text Box 9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9" name="Text Box 95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0" name="Text Box 90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1" name="Text Box 91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2" name="Text Box 92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3" name="Text Box 93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4" name="Text Box 94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5" name="Text Box 95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6" name="Text Box 90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7" name="Text Box 91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8" name="Text Box 92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9" name="Text Box 93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0" name="Text Box 94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1" name="Text Box 95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2" name="Text Box 90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3" name="Text Box 91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4" name="Text Box 92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5" name="Text Box 93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6" name="Text Box 94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7" name="Text Box 95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8" name="Text Box 90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9" name="Text Box 9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30" name="Text Box 92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31" name="Text Box 93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32" name="Text Box 94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33" name="Text Box 95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34" name="Text Box 90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35" name="Text Box 91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36" name="Text Box 92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37" name="Text Box 93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38" name="Text Box 94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39" name="Text Box 95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40" name="Text Box 90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41" name="Text Box 91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42" name="Text Box 92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43" name="Text Box 93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44" name="Text Box 94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45" name="Text Box 95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7" name="Text Box 90">
          <a:extLst>
            <a:ext uri="{FF2B5EF4-FFF2-40B4-BE49-F238E27FC236}">
              <a16:creationId xmlns:a16="http://schemas.microsoft.com/office/drawing/2014/main" id="{84C2F72E-C78F-484E-A6C1-0CAAD618E00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8" name="Text Box 91">
          <a:extLst>
            <a:ext uri="{FF2B5EF4-FFF2-40B4-BE49-F238E27FC236}">
              <a16:creationId xmlns:a16="http://schemas.microsoft.com/office/drawing/2014/main" id="{B9F0DC30-49C5-47B8-A172-DD4206AA48E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9" name="Text Box 92">
          <a:extLst>
            <a:ext uri="{FF2B5EF4-FFF2-40B4-BE49-F238E27FC236}">
              <a16:creationId xmlns:a16="http://schemas.microsoft.com/office/drawing/2014/main" id="{E951852B-B65A-43EE-89B5-D4C91919CB5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0" name="Text Box 93">
          <a:extLst>
            <a:ext uri="{FF2B5EF4-FFF2-40B4-BE49-F238E27FC236}">
              <a16:creationId xmlns:a16="http://schemas.microsoft.com/office/drawing/2014/main" id="{4A606556-D324-4FA7-83D3-CDDCA259813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1" name="Text Box 94">
          <a:extLst>
            <a:ext uri="{FF2B5EF4-FFF2-40B4-BE49-F238E27FC236}">
              <a16:creationId xmlns:a16="http://schemas.microsoft.com/office/drawing/2014/main" id="{7E0297E1-0DAE-484D-AE5C-52CB0073B7B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2" name="Text Box 95">
          <a:extLst>
            <a:ext uri="{FF2B5EF4-FFF2-40B4-BE49-F238E27FC236}">
              <a16:creationId xmlns:a16="http://schemas.microsoft.com/office/drawing/2014/main" id="{5C8EA04F-C304-4436-933C-51F1441E5C4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3" name="Text Box 90">
          <a:extLst>
            <a:ext uri="{FF2B5EF4-FFF2-40B4-BE49-F238E27FC236}">
              <a16:creationId xmlns:a16="http://schemas.microsoft.com/office/drawing/2014/main" id="{516E65E2-B4CD-47C9-9520-68F5258FA18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4" name="Text Box 91">
          <a:extLst>
            <a:ext uri="{FF2B5EF4-FFF2-40B4-BE49-F238E27FC236}">
              <a16:creationId xmlns:a16="http://schemas.microsoft.com/office/drawing/2014/main" id="{C8269AAD-0C7B-41DE-BB53-7236DFE62CC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5" name="Text Box 92">
          <a:extLst>
            <a:ext uri="{FF2B5EF4-FFF2-40B4-BE49-F238E27FC236}">
              <a16:creationId xmlns:a16="http://schemas.microsoft.com/office/drawing/2014/main" id="{2D45F7A4-7762-4F81-A844-C01404DA71C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6" name="Text Box 93">
          <a:extLst>
            <a:ext uri="{FF2B5EF4-FFF2-40B4-BE49-F238E27FC236}">
              <a16:creationId xmlns:a16="http://schemas.microsoft.com/office/drawing/2014/main" id="{9315889B-9204-4FDD-8BBC-3B24B9C805D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7" name="Text Box 94">
          <a:extLst>
            <a:ext uri="{FF2B5EF4-FFF2-40B4-BE49-F238E27FC236}">
              <a16:creationId xmlns:a16="http://schemas.microsoft.com/office/drawing/2014/main" id="{F10BCCF8-776C-41F0-B7E4-D352D860794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8" name="Text Box 95">
          <a:extLst>
            <a:ext uri="{FF2B5EF4-FFF2-40B4-BE49-F238E27FC236}">
              <a16:creationId xmlns:a16="http://schemas.microsoft.com/office/drawing/2014/main" id="{02F5B7F2-B682-4C2B-A955-BE50423714F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9" name="Text Box 90">
          <a:extLst>
            <a:ext uri="{FF2B5EF4-FFF2-40B4-BE49-F238E27FC236}">
              <a16:creationId xmlns:a16="http://schemas.microsoft.com/office/drawing/2014/main" id="{C2038A9D-2EE7-4D23-97C9-4EA76190720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0" name="Text Box 91">
          <a:extLst>
            <a:ext uri="{FF2B5EF4-FFF2-40B4-BE49-F238E27FC236}">
              <a16:creationId xmlns:a16="http://schemas.microsoft.com/office/drawing/2014/main" id="{CE27E707-6611-4079-9F3D-4AADB727B591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1" name="Text Box 92">
          <a:extLst>
            <a:ext uri="{FF2B5EF4-FFF2-40B4-BE49-F238E27FC236}">
              <a16:creationId xmlns:a16="http://schemas.microsoft.com/office/drawing/2014/main" id="{793A72B7-E57F-4AB7-B19C-C53405DF0EF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2" name="Text Box 93">
          <a:extLst>
            <a:ext uri="{FF2B5EF4-FFF2-40B4-BE49-F238E27FC236}">
              <a16:creationId xmlns:a16="http://schemas.microsoft.com/office/drawing/2014/main" id="{46169CF2-C049-47F6-A9A8-EA0068BBCF4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3" name="Text Box 94">
          <a:extLst>
            <a:ext uri="{FF2B5EF4-FFF2-40B4-BE49-F238E27FC236}">
              <a16:creationId xmlns:a16="http://schemas.microsoft.com/office/drawing/2014/main" id="{80427FFF-1F9A-4177-8A9E-B73EDA43FF2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4" name="Text Box 95">
          <a:extLst>
            <a:ext uri="{FF2B5EF4-FFF2-40B4-BE49-F238E27FC236}">
              <a16:creationId xmlns:a16="http://schemas.microsoft.com/office/drawing/2014/main" id="{3C71E415-A8D6-465C-8270-A5AAA71AE87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5" name="Text Box 90">
          <a:extLst>
            <a:ext uri="{FF2B5EF4-FFF2-40B4-BE49-F238E27FC236}">
              <a16:creationId xmlns:a16="http://schemas.microsoft.com/office/drawing/2014/main" id="{92213695-554B-4794-8758-F3475BC559D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6" name="Text Box 91">
          <a:extLst>
            <a:ext uri="{FF2B5EF4-FFF2-40B4-BE49-F238E27FC236}">
              <a16:creationId xmlns:a16="http://schemas.microsoft.com/office/drawing/2014/main" id="{6349851D-7FE0-463F-A043-F279E19AAD2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7" name="Text Box 92">
          <a:extLst>
            <a:ext uri="{FF2B5EF4-FFF2-40B4-BE49-F238E27FC236}">
              <a16:creationId xmlns:a16="http://schemas.microsoft.com/office/drawing/2014/main" id="{37489C72-0F81-4D4A-93A3-DDC431F2F73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8" name="Text Box 93">
          <a:extLst>
            <a:ext uri="{FF2B5EF4-FFF2-40B4-BE49-F238E27FC236}">
              <a16:creationId xmlns:a16="http://schemas.microsoft.com/office/drawing/2014/main" id="{2179371E-CF5D-4C67-92FF-2E61C03DD90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9" name="Text Box 94">
          <a:extLst>
            <a:ext uri="{FF2B5EF4-FFF2-40B4-BE49-F238E27FC236}">
              <a16:creationId xmlns:a16="http://schemas.microsoft.com/office/drawing/2014/main" id="{172E4F54-BD64-40E5-A07D-349612E1DCB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0" name="Text Box 95">
          <a:extLst>
            <a:ext uri="{FF2B5EF4-FFF2-40B4-BE49-F238E27FC236}">
              <a16:creationId xmlns:a16="http://schemas.microsoft.com/office/drawing/2014/main" id="{2F7854AB-7BA6-4873-88EF-E48CF1E38AE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1" name="Text Box 90">
          <a:extLst>
            <a:ext uri="{FF2B5EF4-FFF2-40B4-BE49-F238E27FC236}">
              <a16:creationId xmlns:a16="http://schemas.microsoft.com/office/drawing/2014/main" id="{CF672894-108D-4D78-8794-0A726F41E37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2" name="Text Box 91">
          <a:extLst>
            <a:ext uri="{FF2B5EF4-FFF2-40B4-BE49-F238E27FC236}">
              <a16:creationId xmlns:a16="http://schemas.microsoft.com/office/drawing/2014/main" id="{28169C5F-B4C2-4BBC-9605-85E5C1D9A5D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3" name="Text Box 92">
          <a:extLst>
            <a:ext uri="{FF2B5EF4-FFF2-40B4-BE49-F238E27FC236}">
              <a16:creationId xmlns:a16="http://schemas.microsoft.com/office/drawing/2014/main" id="{E835C162-A41C-4035-BD58-59BFF3E5CFC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4" name="Text Box 93">
          <a:extLst>
            <a:ext uri="{FF2B5EF4-FFF2-40B4-BE49-F238E27FC236}">
              <a16:creationId xmlns:a16="http://schemas.microsoft.com/office/drawing/2014/main" id="{AC5228A7-69D2-4A78-A1C3-79CE62DBA44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5" name="Text Box 94">
          <a:extLst>
            <a:ext uri="{FF2B5EF4-FFF2-40B4-BE49-F238E27FC236}">
              <a16:creationId xmlns:a16="http://schemas.microsoft.com/office/drawing/2014/main" id="{5AE406FB-A8AA-4CDD-9EC4-6DED23D5A87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6" name="Text Box 95">
          <a:extLst>
            <a:ext uri="{FF2B5EF4-FFF2-40B4-BE49-F238E27FC236}">
              <a16:creationId xmlns:a16="http://schemas.microsoft.com/office/drawing/2014/main" id="{9EAE9254-DC52-4400-AFF0-E2731C934EF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7" name="Text Box 90">
          <a:extLst>
            <a:ext uri="{FF2B5EF4-FFF2-40B4-BE49-F238E27FC236}">
              <a16:creationId xmlns:a16="http://schemas.microsoft.com/office/drawing/2014/main" id="{29B05C13-EC56-4957-85FF-E34465B5D35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8" name="Text Box 91">
          <a:extLst>
            <a:ext uri="{FF2B5EF4-FFF2-40B4-BE49-F238E27FC236}">
              <a16:creationId xmlns:a16="http://schemas.microsoft.com/office/drawing/2014/main" id="{A645296B-5A17-4389-A6D6-F2911992863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9" name="Text Box 92">
          <a:extLst>
            <a:ext uri="{FF2B5EF4-FFF2-40B4-BE49-F238E27FC236}">
              <a16:creationId xmlns:a16="http://schemas.microsoft.com/office/drawing/2014/main" id="{80E4B91C-7C14-4F1A-9AC2-420DEB90406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0" name="Text Box 93">
          <a:extLst>
            <a:ext uri="{FF2B5EF4-FFF2-40B4-BE49-F238E27FC236}">
              <a16:creationId xmlns:a16="http://schemas.microsoft.com/office/drawing/2014/main" id="{E91115B9-B96E-4946-8293-DF1BF14DAA2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1" name="Text Box 94">
          <a:extLst>
            <a:ext uri="{FF2B5EF4-FFF2-40B4-BE49-F238E27FC236}">
              <a16:creationId xmlns:a16="http://schemas.microsoft.com/office/drawing/2014/main" id="{7B8EF8D1-C457-4320-91C8-109B92289B7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2" name="Text Box 95">
          <a:extLst>
            <a:ext uri="{FF2B5EF4-FFF2-40B4-BE49-F238E27FC236}">
              <a16:creationId xmlns:a16="http://schemas.microsoft.com/office/drawing/2014/main" id="{729434B6-D2FB-49C2-AFAE-D416E3120F3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3" name="Text Box 90">
          <a:extLst>
            <a:ext uri="{FF2B5EF4-FFF2-40B4-BE49-F238E27FC236}">
              <a16:creationId xmlns:a16="http://schemas.microsoft.com/office/drawing/2014/main" id="{F858F494-84D7-48B0-AE3C-527BB6C6001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4" name="Text Box 91">
          <a:extLst>
            <a:ext uri="{FF2B5EF4-FFF2-40B4-BE49-F238E27FC236}">
              <a16:creationId xmlns:a16="http://schemas.microsoft.com/office/drawing/2014/main" id="{8D869702-E92A-48F2-A214-DD585D63A73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5" name="Text Box 92">
          <a:extLst>
            <a:ext uri="{FF2B5EF4-FFF2-40B4-BE49-F238E27FC236}">
              <a16:creationId xmlns:a16="http://schemas.microsoft.com/office/drawing/2014/main" id="{29596FDF-C306-41DD-828C-FF88C0655F4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6" name="Text Box 93">
          <a:extLst>
            <a:ext uri="{FF2B5EF4-FFF2-40B4-BE49-F238E27FC236}">
              <a16:creationId xmlns:a16="http://schemas.microsoft.com/office/drawing/2014/main" id="{D0EAC1AF-4A3A-4F82-8D49-1474326E354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7" name="Text Box 94">
          <a:extLst>
            <a:ext uri="{FF2B5EF4-FFF2-40B4-BE49-F238E27FC236}">
              <a16:creationId xmlns:a16="http://schemas.microsoft.com/office/drawing/2014/main" id="{5BF65F90-D2AE-4E4E-9D60-44531B17292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8" name="Text Box 95">
          <a:extLst>
            <a:ext uri="{FF2B5EF4-FFF2-40B4-BE49-F238E27FC236}">
              <a16:creationId xmlns:a16="http://schemas.microsoft.com/office/drawing/2014/main" id="{4F932C94-DB42-487C-9D3E-918FC61ACF7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9" name="Text Box 90">
          <a:extLst>
            <a:ext uri="{FF2B5EF4-FFF2-40B4-BE49-F238E27FC236}">
              <a16:creationId xmlns:a16="http://schemas.microsoft.com/office/drawing/2014/main" id="{ABFF9062-97F6-4F4C-B1AD-D38E034EE2F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0" name="Text Box 91">
          <a:extLst>
            <a:ext uri="{FF2B5EF4-FFF2-40B4-BE49-F238E27FC236}">
              <a16:creationId xmlns:a16="http://schemas.microsoft.com/office/drawing/2014/main" id="{0892D5B2-9553-4037-A9D2-B1FD5C6B47E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1" name="Text Box 92">
          <a:extLst>
            <a:ext uri="{FF2B5EF4-FFF2-40B4-BE49-F238E27FC236}">
              <a16:creationId xmlns:a16="http://schemas.microsoft.com/office/drawing/2014/main" id="{4715E4DD-64A9-4D26-BA0D-41E6793A00B1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2" name="Text Box 93">
          <a:extLst>
            <a:ext uri="{FF2B5EF4-FFF2-40B4-BE49-F238E27FC236}">
              <a16:creationId xmlns:a16="http://schemas.microsoft.com/office/drawing/2014/main" id="{6BC12392-BE90-42FC-92FA-219AF30AC4D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3" name="Text Box 94">
          <a:extLst>
            <a:ext uri="{FF2B5EF4-FFF2-40B4-BE49-F238E27FC236}">
              <a16:creationId xmlns:a16="http://schemas.microsoft.com/office/drawing/2014/main" id="{2F13EEFB-56A3-40B1-9C3A-1CC7842F1C5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4" name="Text Box 95">
          <a:extLst>
            <a:ext uri="{FF2B5EF4-FFF2-40B4-BE49-F238E27FC236}">
              <a16:creationId xmlns:a16="http://schemas.microsoft.com/office/drawing/2014/main" id="{83710D04-1D13-4DB3-AF81-FD452E7FD12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5" name="Text Box 90">
          <a:extLst>
            <a:ext uri="{FF2B5EF4-FFF2-40B4-BE49-F238E27FC236}">
              <a16:creationId xmlns:a16="http://schemas.microsoft.com/office/drawing/2014/main" id="{F4FA358E-0ECF-46E6-A466-E6B1E43FFC0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6" name="Text Box 91">
          <a:extLst>
            <a:ext uri="{FF2B5EF4-FFF2-40B4-BE49-F238E27FC236}">
              <a16:creationId xmlns:a16="http://schemas.microsoft.com/office/drawing/2014/main" id="{66D65840-2548-42E0-9868-26A72BF9F7A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7" name="Text Box 92">
          <a:extLst>
            <a:ext uri="{FF2B5EF4-FFF2-40B4-BE49-F238E27FC236}">
              <a16:creationId xmlns:a16="http://schemas.microsoft.com/office/drawing/2014/main" id="{19F73F5F-6BC8-438D-BD3E-B90530ADA5A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8" name="Text Box 93">
          <a:extLst>
            <a:ext uri="{FF2B5EF4-FFF2-40B4-BE49-F238E27FC236}">
              <a16:creationId xmlns:a16="http://schemas.microsoft.com/office/drawing/2014/main" id="{5135E2B2-F48A-4130-9ED5-ED8240E77D0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9" name="Text Box 94">
          <a:extLst>
            <a:ext uri="{FF2B5EF4-FFF2-40B4-BE49-F238E27FC236}">
              <a16:creationId xmlns:a16="http://schemas.microsoft.com/office/drawing/2014/main" id="{AEA271D2-D517-4062-BA9D-CF087C30FE8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0" name="Text Box 95">
          <a:extLst>
            <a:ext uri="{FF2B5EF4-FFF2-40B4-BE49-F238E27FC236}">
              <a16:creationId xmlns:a16="http://schemas.microsoft.com/office/drawing/2014/main" id="{D44B9435-C978-43BE-B954-AF0A37CB0EF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1" name="Text Box 90">
          <a:extLst>
            <a:ext uri="{FF2B5EF4-FFF2-40B4-BE49-F238E27FC236}">
              <a16:creationId xmlns:a16="http://schemas.microsoft.com/office/drawing/2014/main" id="{4B1E4837-8FA2-492E-9781-9A3F920D1E3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2" name="Text Box 91">
          <a:extLst>
            <a:ext uri="{FF2B5EF4-FFF2-40B4-BE49-F238E27FC236}">
              <a16:creationId xmlns:a16="http://schemas.microsoft.com/office/drawing/2014/main" id="{7DE45133-9A01-4B36-9C18-3EC9E155F7D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3" name="Text Box 92">
          <a:extLst>
            <a:ext uri="{FF2B5EF4-FFF2-40B4-BE49-F238E27FC236}">
              <a16:creationId xmlns:a16="http://schemas.microsoft.com/office/drawing/2014/main" id="{6EC45B53-EBF1-4F8B-9957-C6655752AB2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4" name="Text Box 93">
          <a:extLst>
            <a:ext uri="{FF2B5EF4-FFF2-40B4-BE49-F238E27FC236}">
              <a16:creationId xmlns:a16="http://schemas.microsoft.com/office/drawing/2014/main" id="{2F4D1B29-894B-46C3-9787-1369DC20FB51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5" name="Text Box 94">
          <a:extLst>
            <a:ext uri="{FF2B5EF4-FFF2-40B4-BE49-F238E27FC236}">
              <a16:creationId xmlns:a16="http://schemas.microsoft.com/office/drawing/2014/main" id="{B0A0D2B8-2C6A-46E1-8C5B-24DD20DFFCC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6" name="Text Box 95">
          <a:extLst>
            <a:ext uri="{FF2B5EF4-FFF2-40B4-BE49-F238E27FC236}">
              <a16:creationId xmlns:a16="http://schemas.microsoft.com/office/drawing/2014/main" id="{7CBFB1A7-FDA8-4903-ABB2-CE84330CD5E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7" name="Text Box 90">
          <a:extLst>
            <a:ext uri="{FF2B5EF4-FFF2-40B4-BE49-F238E27FC236}">
              <a16:creationId xmlns:a16="http://schemas.microsoft.com/office/drawing/2014/main" id="{969510E2-1752-45D2-9774-659D4363FA4A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8" name="Text Box 91">
          <a:extLst>
            <a:ext uri="{FF2B5EF4-FFF2-40B4-BE49-F238E27FC236}">
              <a16:creationId xmlns:a16="http://schemas.microsoft.com/office/drawing/2014/main" id="{2DBDC1FA-D903-486C-8AD4-C7665781F9E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9" name="Text Box 92">
          <a:extLst>
            <a:ext uri="{FF2B5EF4-FFF2-40B4-BE49-F238E27FC236}">
              <a16:creationId xmlns:a16="http://schemas.microsoft.com/office/drawing/2014/main" id="{1FBB2927-2AE5-4670-A7E2-A70DDD288A8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0" name="Text Box 93">
          <a:extLst>
            <a:ext uri="{FF2B5EF4-FFF2-40B4-BE49-F238E27FC236}">
              <a16:creationId xmlns:a16="http://schemas.microsoft.com/office/drawing/2014/main" id="{ABCB01C0-009F-40A9-9A91-DB9ADA32F3D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1" name="Text Box 94">
          <a:extLst>
            <a:ext uri="{FF2B5EF4-FFF2-40B4-BE49-F238E27FC236}">
              <a16:creationId xmlns:a16="http://schemas.microsoft.com/office/drawing/2014/main" id="{522C6386-F1A6-408E-A345-1506759A8C1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2" name="Text Box 95">
          <a:extLst>
            <a:ext uri="{FF2B5EF4-FFF2-40B4-BE49-F238E27FC236}">
              <a16:creationId xmlns:a16="http://schemas.microsoft.com/office/drawing/2014/main" id="{8ABC63F0-7481-4B97-9256-4565167444E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3" name="Text Box 90">
          <a:extLst>
            <a:ext uri="{FF2B5EF4-FFF2-40B4-BE49-F238E27FC236}">
              <a16:creationId xmlns:a16="http://schemas.microsoft.com/office/drawing/2014/main" id="{56D88AD0-4765-426E-8BB9-C6CA489CFDD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4" name="Text Box 91">
          <a:extLst>
            <a:ext uri="{FF2B5EF4-FFF2-40B4-BE49-F238E27FC236}">
              <a16:creationId xmlns:a16="http://schemas.microsoft.com/office/drawing/2014/main" id="{DD06A994-01F6-4BB3-8945-07AB3813117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5" name="Text Box 92">
          <a:extLst>
            <a:ext uri="{FF2B5EF4-FFF2-40B4-BE49-F238E27FC236}">
              <a16:creationId xmlns:a16="http://schemas.microsoft.com/office/drawing/2014/main" id="{7396FBB7-87BC-4DB9-AF98-D89F2DCA110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6" name="Text Box 93">
          <a:extLst>
            <a:ext uri="{FF2B5EF4-FFF2-40B4-BE49-F238E27FC236}">
              <a16:creationId xmlns:a16="http://schemas.microsoft.com/office/drawing/2014/main" id="{C242D70B-2819-48BD-B396-6610EE91EC1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7" name="Text Box 94">
          <a:extLst>
            <a:ext uri="{FF2B5EF4-FFF2-40B4-BE49-F238E27FC236}">
              <a16:creationId xmlns:a16="http://schemas.microsoft.com/office/drawing/2014/main" id="{751AA4CC-57E8-46D4-ABF6-20D1D72F7DC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8" name="Text Box 95">
          <a:extLst>
            <a:ext uri="{FF2B5EF4-FFF2-40B4-BE49-F238E27FC236}">
              <a16:creationId xmlns:a16="http://schemas.microsoft.com/office/drawing/2014/main" id="{BA712C92-DBD3-4D83-A6C8-5B533DDFD6B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9" name="Text Box 90">
          <a:extLst>
            <a:ext uri="{FF2B5EF4-FFF2-40B4-BE49-F238E27FC236}">
              <a16:creationId xmlns:a16="http://schemas.microsoft.com/office/drawing/2014/main" id="{3C6D7A1C-BB44-448B-A413-A1C8DFED8AA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0" name="Text Box 91">
          <a:extLst>
            <a:ext uri="{FF2B5EF4-FFF2-40B4-BE49-F238E27FC236}">
              <a16:creationId xmlns:a16="http://schemas.microsoft.com/office/drawing/2014/main" id="{7DE9CC72-E7C2-4FDF-B1F3-9ED94B1DA3A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1" name="Text Box 92">
          <a:extLst>
            <a:ext uri="{FF2B5EF4-FFF2-40B4-BE49-F238E27FC236}">
              <a16:creationId xmlns:a16="http://schemas.microsoft.com/office/drawing/2014/main" id="{52FB93D4-1A05-4889-8FE1-EDB0373565B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2" name="Text Box 93">
          <a:extLst>
            <a:ext uri="{FF2B5EF4-FFF2-40B4-BE49-F238E27FC236}">
              <a16:creationId xmlns:a16="http://schemas.microsoft.com/office/drawing/2014/main" id="{F1AFA9DB-5A1C-4EA3-9A86-931D70929E8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3" name="Text Box 94">
          <a:extLst>
            <a:ext uri="{FF2B5EF4-FFF2-40B4-BE49-F238E27FC236}">
              <a16:creationId xmlns:a16="http://schemas.microsoft.com/office/drawing/2014/main" id="{F3108EF9-F0BF-4541-BCD7-4F932210585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4" name="Text Box 95">
          <a:extLst>
            <a:ext uri="{FF2B5EF4-FFF2-40B4-BE49-F238E27FC236}">
              <a16:creationId xmlns:a16="http://schemas.microsoft.com/office/drawing/2014/main" id="{200E1246-1C7F-4C00-B759-FB505A423AD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5" name="Text Box 90">
          <a:extLst>
            <a:ext uri="{FF2B5EF4-FFF2-40B4-BE49-F238E27FC236}">
              <a16:creationId xmlns:a16="http://schemas.microsoft.com/office/drawing/2014/main" id="{CA8AD52B-2923-4C46-A615-58FF95572AB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6" name="Text Box 91">
          <a:extLst>
            <a:ext uri="{FF2B5EF4-FFF2-40B4-BE49-F238E27FC236}">
              <a16:creationId xmlns:a16="http://schemas.microsoft.com/office/drawing/2014/main" id="{C2D416ED-06D2-47C8-ACC5-DEAEC9A3307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7" name="Text Box 92">
          <a:extLst>
            <a:ext uri="{FF2B5EF4-FFF2-40B4-BE49-F238E27FC236}">
              <a16:creationId xmlns:a16="http://schemas.microsoft.com/office/drawing/2014/main" id="{6733D774-EEFD-4228-9433-F550E8CAABC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8" name="Text Box 93">
          <a:extLst>
            <a:ext uri="{FF2B5EF4-FFF2-40B4-BE49-F238E27FC236}">
              <a16:creationId xmlns:a16="http://schemas.microsoft.com/office/drawing/2014/main" id="{83C8E702-A6E1-4294-9ED0-34EC138F19A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9" name="Text Box 94">
          <a:extLst>
            <a:ext uri="{FF2B5EF4-FFF2-40B4-BE49-F238E27FC236}">
              <a16:creationId xmlns:a16="http://schemas.microsoft.com/office/drawing/2014/main" id="{94B49BA8-D22F-4989-BC63-2CA8CB6E6E4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0" name="Text Box 95">
          <a:extLst>
            <a:ext uri="{FF2B5EF4-FFF2-40B4-BE49-F238E27FC236}">
              <a16:creationId xmlns:a16="http://schemas.microsoft.com/office/drawing/2014/main" id="{AAE99A2B-63B0-4ADA-9D22-EB0957EA494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1" name="Text Box 90">
          <a:extLst>
            <a:ext uri="{FF2B5EF4-FFF2-40B4-BE49-F238E27FC236}">
              <a16:creationId xmlns:a16="http://schemas.microsoft.com/office/drawing/2014/main" id="{CAF110A7-28E6-4E1E-9C3B-BDD1DDCAD22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2" name="Text Box 91">
          <a:extLst>
            <a:ext uri="{FF2B5EF4-FFF2-40B4-BE49-F238E27FC236}">
              <a16:creationId xmlns:a16="http://schemas.microsoft.com/office/drawing/2014/main" id="{CB9C8362-DE4D-4B00-B9AB-D1876455DD0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3" name="Text Box 92">
          <a:extLst>
            <a:ext uri="{FF2B5EF4-FFF2-40B4-BE49-F238E27FC236}">
              <a16:creationId xmlns:a16="http://schemas.microsoft.com/office/drawing/2014/main" id="{A74C7D88-8521-4C52-AB26-C24B240C466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4" name="Text Box 93">
          <a:extLst>
            <a:ext uri="{FF2B5EF4-FFF2-40B4-BE49-F238E27FC236}">
              <a16:creationId xmlns:a16="http://schemas.microsoft.com/office/drawing/2014/main" id="{0E65D885-5FA0-458C-9D29-36F329960DB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5" name="Text Box 94">
          <a:extLst>
            <a:ext uri="{FF2B5EF4-FFF2-40B4-BE49-F238E27FC236}">
              <a16:creationId xmlns:a16="http://schemas.microsoft.com/office/drawing/2014/main" id="{73CD63CB-25D6-434F-841C-BD868268C64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6" name="Text Box 95">
          <a:extLst>
            <a:ext uri="{FF2B5EF4-FFF2-40B4-BE49-F238E27FC236}">
              <a16:creationId xmlns:a16="http://schemas.microsoft.com/office/drawing/2014/main" id="{2556DBD7-E5EA-4B93-8B62-DDAC214C082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17" name="Text Box 90">
          <a:extLst>
            <a:ext uri="{FF2B5EF4-FFF2-40B4-BE49-F238E27FC236}">
              <a16:creationId xmlns:a16="http://schemas.microsoft.com/office/drawing/2014/main" id="{C579DFE8-ED96-415A-958E-A15C5B67EFB3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18" name="Text Box 91">
          <a:extLst>
            <a:ext uri="{FF2B5EF4-FFF2-40B4-BE49-F238E27FC236}">
              <a16:creationId xmlns:a16="http://schemas.microsoft.com/office/drawing/2014/main" id="{409A62E2-908A-498F-88CC-3C157F4DC2B8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19" name="Text Box 92">
          <a:extLst>
            <a:ext uri="{FF2B5EF4-FFF2-40B4-BE49-F238E27FC236}">
              <a16:creationId xmlns:a16="http://schemas.microsoft.com/office/drawing/2014/main" id="{7C6A9856-4643-4C23-B6E6-B73F94A85964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20" name="Text Box 93">
          <a:extLst>
            <a:ext uri="{FF2B5EF4-FFF2-40B4-BE49-F238E27FC236}">
              <a16:creationId xmlns:a16="http://schemas.microsoft.com/office/drawing/2014/main" id="{69034FAE-65A9-4972-8B47-8A12D3573799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21" name="Text Box 94">
          <a:extLst>
            <a:ext uri="{FF2B5EF4-FFF2-40B4-BE49-F238E27FC236}">
              <a16:creationId xmlns:a16="http://schemas.microsoft.com/office/drawing/2014/main" id="{7F6BC5A7-2275-47F6-A34F-1934D76C7EEE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22" name="Text Box 95">
          <a:extLst>
            <a:ext uri="{FF2B5EF4-FFF2-40B4-BE49-F238E27FC236}">
              <a16:creationId xmlns:a16="http://schemas.microsoft.com/office/drawing/2014/main" id="{5C91A2C6-517F-46FC-92C5-655C67ADCE46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23" name="Text Box 90">
          <a:extLst>
            <a:ext uri="{FF2B5EF4-FFF2-40B4-BE49-F238E27FC236}">
              <a16:creationId xmlns:a16="http://schemas.microsoft.com/office/drawing/2014/main" id="{D262A40A-2B06-4984-9F83-2C55EFE06F2A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24" name="Text Box 91">
          <a:extLst>
            <a:ext uri="{FF2B5EF4-FFF2-40B4-BE49-F238E27FC236}">
              <a16:creationId xmlns:a16="http://schemas.microsoft.com/office/drawing/2014/main" id="{272CDC8D-8A6A-425C-BF68-62733989575B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25" name="Text Box 92">
          <a:extLst>
            <a:ext uri="{FF2B5EF4-FFF2-40B4-BE49-F238E27FC236}">
              <a16:creationId xmlns:a16="http://schemas.microsoft.com/office/drawing/2014/main" id="{6153575E-C131-4B31-B896-7C25C7A6F178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26" name="Text Box 93">
          <a:extLst>
            <a:ext uri="{FF2B5EF4-FFF2-40B4-BE49-F238E27FC236}">
              <a16:creationId xmlns:a16="http://schemas.microsoft.com/office/drawing/2014/main" id="{7EEF2D8F-D15C-42E3-9819-0EAB238D451E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27" name="Text Box 94">
          <a:extLst>
            <a:ext uri="{FF2B5EF4-FFF2-40B4-BE49-F238E27FC236}">
              <a16:creationId xmlns:a16="http://schemas.microsoft.com/office/drawing/2014/main" id="{83C7B771-D82C-4CC3-A6D5-DFC29F119B10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28" name="Text Box 95">
          <a:extLst>
            <a:ext uri="{FF2B5EF4-FFF2-40B4-BE49-F238E27FC236}">
              <a16:creationId xmlns:a16="http://schemas.microsoft.com/office/drawing/2014/main" id="{B4209A63-E309-43C7-83F5-C2017CB33577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29" name="Text Box 90">
          <a:extLst>
            <a:ext uri="{FF2B5EF4-FFF2-40B4-BE49-F238E27FC236}">
              <a16:creationId xmlns:a16="http://schemas.microsoft.com/office/drawing/2014/main" id="{A2E304E3-6F98-4572-9666-B1E5269A39D4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30" name="Text Box 91">
          <a:extLst>
            <a:ext uri="{FF2B5EF4-FFF2-40B4-BE49-F238E27FC236}">
              <a16:creationId xmlns:a16="http://schemas.microsoft.com/office/drawing/2014/main" id="{7EF625FA-AF27-4CF8-B48B-DD23A0BCC3AB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31" name="Text Box 92">
          <a:extLst>
            <a:ext uri="{FF2B5EF4-FFF2-40B4-BE49-F238E27FC236}">
              <a16:creationId xmlns:a16="http://schemas.microsoft.com/office/drawing/2014/main" id="{9225B4A3-F41D-4829-A2BB-8D7B38062944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32" name="Text Box 93">
          <a:extLst>
            <a:ext uri="{FF2B5EF4-FFF2-40B4-BE49-F238E27FC236}">
              <a16:creationId xmlns:a16="http://schemas.microsoft.com/office/drawing/2014/main" id="{E5B1BFF3-B5DB-4429-8D7A-84BA4DD5B7D0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33" name="Text Box 94">
          <a:extLst>
            <a:ext uri="{FF2B5EF4-FFF2-40B4-BE49-F238E27FC236}">
              <a16:creationId xmlns:a16="http://schemas.microsoft.com/office/drawing/2014/main" id="{975C520A-4EDD-4778-A8B0-9B69341DE2F1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34" name="Text Box 95">
          <a:extLst>
            <a:ext uri="{FF2B5EF4-FFF2-40B4-BE49-F238E27FC236}">
              <a16:creationId xmlns:a16="http://schemas.microsoft.com/office/drawing/2014/main" id="{BA80D2B5-BF19-4344-8E60-D8659AACEF6D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4" name="Line 1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5" name="Line 2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6" name="Line 3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7" name="Line 4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8" name="Line 5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9" name="Line 6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0" name="Line 7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1" name="Line 8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2" name="Line 9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3" name="Line 10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4" name="Line 11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5" name="Line 12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6" name="Line 13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7" name="Line 14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8" name="Line 15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9" name="Line 16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0" name="Line 17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1" name="Line 18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2" name="Line 19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3" name="Line 20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4" name="Line 21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5" name="Line 22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6" name="Line 23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7" name="Line 24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8" name="Line 25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9" name="Line 26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0" name="Line 27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1" name="Line 28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2" name="Line 29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3" name="Line 30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4" name="Line 31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5" name="Line 32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6" name="Line 33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7" name="Line 34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8" name="Line 35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9" name="Line 36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0" name="Line 37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1" name="Line 38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2" name="Line 39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3" name="Line 40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4" name="Line 41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5" name="Line 42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6" name="Line 43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2" name="Text Box 4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394177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7" name="Line 50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8" name="Line 51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9" name="Line 52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0" name="Line 53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1" name="Line 54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2" name="Line 55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3" name="Line 56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4" name="Line 57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5" name="Line 58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6" name="Line 59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7" name="Line 60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8" name="Line 61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9" name="Line 62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0" name="Line 63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1" name="Line 64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2" name="Line 65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3" name="Line 66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4" name="Line 6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5" name="Line 6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6" name="Line 6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7" name="Line 7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8" name="Line 71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9" name="Line 72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0" name="Line 73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1" name="Line 74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2" name="Line 75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3" name="Line 76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4" name="Line 77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5" name="Line 78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6" name="Line 79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7" name="Line 80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8" name="Line 81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9" name="Line 82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0" name="Line 83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1" name="Line 84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2" name="Line 85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3" name="Line 86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394177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" name="Text Box 90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5" name="Text Box 9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6" name="Text Box 9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7" name="Text Box 93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8" name="Text Box 9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9" name="Text Box 95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0" name="Text Box 90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1" name="Text Box 91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" name="Text Box 92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" name="Text Box 93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" name="Text Box 94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" name="Text Box 95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" name="Text Box 90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" name="Text Box 91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" name="Text Box 9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" name="Text Box 93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" name="Text Box 94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" name="Text Box 95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" name="Text Box 90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" name="Text Box 91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" name="Text Box 92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" name="Text Box 93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" name="Text Box 94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" name="Text Box 95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" name="Text Box 90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" name="Text Box 91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0" name="Text Box 92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1" name="Text Box 93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2" name="Text Box 94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3" name="Text Box 95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4" name="Text Box 90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5" name="Text Box 91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6" name="Text Box 92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7" name="Text Box 9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8" name="Text Box 94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9" name="Text Box 95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0" name="Text Box 90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1" name="Text Box 91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2" name="Text Box 92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3" name="Text Box 93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4" name="Text Box 94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5" name="Text Box 95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27" name="Text Box 90">
          <a:extLst>
            <a:ext uri="{FF2B5EF4-FFF2-40B4-BE49-F238E27FC236}">
              <a16:creationId xmlns:a16="http://schemas.microsoft.com/office/drawing/2014/main" id="{9859932F-3CD6-4B0C-BFB9-501B059459EE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28" name="Text Box 91">
          <a:extLst>
            <a:ext uri="{FF2B5EF4-FFF2-40B4-BE49-F238E27FC236}">
              <a16:creationId xmlns:a16="http://schemas.microsoft.com/office/drawing/2014/main" id="{520B5BEC-5E06-4EF8-86EB-0DDA97EF4605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29" name="Text Box 92">
          <a:extLst>
            <a:ext uri="{FF2B5EF4-FFF2-40B4-BE49-F238E27FC236}">
              <a16:creationId xmlns:a16="http://schemas.microsoft.com/office/drawing/2014/main" id="{3619A797-7752-4B02-A25E-A440F5902C8C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30" name="Text Box 93">
          <a:extLst>
            <a:ext uri="{FF2B5EF4-FFF2-40B4-BE49-F238E27FC236}">
              <a16:creationId xmlns:a16="http://schemas.microsoft.com/office/drawing/2014/main" id="{0B719EB1-7A67-4E98-ADC4-006115C222A8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31" name="Text Box 94">
          <a:extLst>
            <a:ext uri="{FF2B5EF4-FFF2-40B4-BE49-F238E27FC236}">
              <a16:creationId xmlns:a16="http://schemas.microsoft.com/office/drawing/2014/main" id="{CEA362EA-93A1-4A1F-9728-1869BFFFC26F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32" name="Text Box 95">
          <a:extLst>
            <a:ext uri="{FF2B5EF4-FFF2-40B4-BE49-F238E27FC236}">
              <a16:creationId xmlns:a16="http://schemas.microsoft.com/office/drawing/2014/main" id="{15B6A730-609A-40CB-9A64-29CFBE91C87E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33" name="Text Box 90">
          <a:extLst>
            <a:ext uri="{FF2B5EF4-FFF2-40B4-BE49-F238E27FC236}">
              <a16:creationId xmlns:a16="http://schemas.microsoft.com/office/drawing/2014/main" id="{DD86DBAF-5BDD-44A8-A720-14C7BBCED131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34" name="Text Box 91">
          <a:extLst>
            <a:ext uri="{FF2B5EF4-FFF2-40B4-BE49-F238E27FC236}">
              <a16:creationId xmlns:a16="http://schemas.microsoft.com/office/drawing/2014/main" id="{374FCEAA-0037-4ABA-8448-50659898D2D5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35" name="Text Box 92">
          <a:extLst>
            <a:ext uri="{FF2B5EF4-FFF2-40B4-BE49-F238E27FC236}">
              <a16:creationId xmlns:a16="http://schemas.microsoft.com/office/drawing/2014/main" id="{F9FF961E-E75C-4480-983C-B7E78BCB442A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36" name="Text Box 93">
          <a:extLst>
            <a:ext uri="{FF2B5EF4-FFF2-40B4-BE49-F238E27FC236}">
              <a16:creationId xmlns:a16="http://schemas.microsoft.com/office/drawing/2014/main" id="{29CA1214-00BE-463A-9172-00967AE56F84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37" name="Text Box 94">
          <a:extLst>
            <a:ext uri="{FF2B5EF4-FFF2-40B4-BE49-F238E27FC236}">
              <a16:creationId xmlns:a16="http://schemas.microsoft.com/office/drawing/2014/main" id="{380989DB-C513-4C94-A89B-254E83274008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38" name="Text Box 95">
          <a:extLst>
            <a:ext uri="{FF2B5EF4-FFF2-40B4-BE49-F238E27FC236}">
              <a16:creationId xmlns:a16="http://schemas.microsoft.com/office/drawing/2014/main" id="{ED40BA2F-C858-4C99-A481-755D055D0BA4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39" name="Text Box 90">
          <a:extLst>
            <a:ext uri="{FF2B5EF4-FFF2-40B4-BE49-F238E27FC236}">
              <a16:creationId xmlns:a16="http://schemas.microsoft.com/office/drawing/2014/main" id="{17F0A388-33C0-4509-AA91-9BB69F790D0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40" name="Text Box 91">
          <a:extLst>
            <a:ext uri="{FF2B5EF4-FFF2-40B4-BE49-F238E27FC236}">
              <a16:creationId xmlns:a16="http://schemas.microsoft.com/office/drawing/2014/main" id="{EC636412-E7D4-4919-A26F-8D63C481F731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41" name="Text Box 92">
          <a:extLst>
            <a:ext uri="{FF2B5EF4-FFF2-40B4-BE49-F238E27FC236}">
              <a16:creationId xmlns:a16="http://schemas.microsoft.com/office/drawing/2014/main" id="{C948507A-9534-47A3-B636-671F129E2247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42" name="Text Box 93">
          <a:extLst>
            <a:ext uri="{FF2B5EF4-FFF2-40B4-BE49-F238E27FC236}">
              <a16:creationId xmlns:a16="http://schemas.microsoft.com/office/drawing/2014/main" id="{1B013736-B253-42A2-A8C7-4FE759E82639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43" name="Text Box 94">
          <a:extLst>
            <a:ext uri="{FF2B5EF4-FFF2-40B4-BE49-F238E27FC236}">
              <a16:creationId xmlns:a16="http://schemas.microsoft.com/office/drawing/2014/main" id="{2B0560F6-DBAC-41B6-A4BE-A70ED3E924BE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44" name="Text Box 95">
          <a:extLst>
            <a:ext uri="{FF2B5EF4-FFF2-40B4-BE49-F238E27FC236}">
              <a16:creationId xmlns:a16="http://schemas.microsoft.com/office/drawing/2014/main" id="{20C80748-0B50-4F90-A586-3B677122EBC7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45" name="Text Box 90">
          <a:extLst>
            <a:ext uri="{FF2B5EF4-FFF2-40B4-BE49-F238E27FC236}">
              <a16:creationId xmlns:a16="http://schemas.microsoft.com/office/drawing/2014/main" id="{61B296AA-820A-4A2F-AF19-C0BBD4FD9E4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46" name="Text Box 91">
          <a:extLst>
            <a:ext uri="{FF2B5EF4-FFF2-40B4-BE49-F238E27FC236}">
              <a16:creationId xmlns:a16="http://schemas.microsoft.com/office/drawing/2014/main" id="{7856BEF4-00CC-4FDC-BA32-02E9BE88737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47" name="Text Box 92">
          <a:extLst>
            <a:ext uri="{FF2B5EF4-FFF2-40B4-BE49-F238E27FC236}">
              <a16:creationId xmlns:a16="http://schemas.microsoft.com/office/drawing/2014/main" id="{81F0EB4B-C9C1-4EBF-8ABF-6E2EC4D7AA25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48" name="Text Box 93">
          <a:extLst>
            <a:ext uri="{FF2B5EF4-FFF2-40B4-BE49-F238E27FC236}">
              <a16:creationId xmlns:a16="http://schemas.microsoft.com/office/drawing/2014/main" id="{D597A57E-EE10-453A-9280-05BD2086F6D3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49" name="Text Box 94">
          <a:extLst>
            <a:ext uri="{FF2B5EF4-FFF2-40B4-BE49-F238E27FC236}">
              <a16:creationId xmlns:a16="http://schemas.microsoft.com/office/drawing/2014/main" id="{D833EE28-CEA1-46C3-9DBD-CEAE39557439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50" name="Text Box 95">
          <a:extLst>
            <a:ext uri="{FF2B5EF4-FFF2-40B4-BE49-F238E27FC236}">
              <a16:creationId xmlns:a16="http://schemas.microsoft.com/office/drawing/2014/main" id="{EDB021A6-1FBC-48D5-B200-FF069F712236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51" name="Text Box 90">
          <a:extLst>
            <a:ext uri="{FF2B5EF4-FFF2-40B4-BE49-F238E27FC236}">
              <a16:creationId xmlns:a16="http://schemas.microsoft.com/office/drawing/2014/main" id="{9226991B-B7F1-4D49-B644-FAA52A4D3AE6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52" name="Text Box 91">
          <a:extLst>
            <a:ext uri="{FF2B5EF4-FFF2-40B4-BE49-F238E27FC236}">
              <a16:creationId xmlns:a16="http://schemas.microsoft.com/office/drawing/2014/main" id="{9AF5A615-20A1-474D-BCF8-262DC0E070F8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53" name="Text Box 92">
          <a:extLst>
            <a:ext uri="{FF2B5EF4-FFF2-40B4-BE49-F238E27FC236}">
              <a16:creationId xmlns:a16="http://schemas.microsoft.com/office/drawing/2014/main" id="{4F694C22-8E70-42AE-B3A2-83BB0EC4A964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54" name="Text Box 93">
          <a:extLst>
            <a:ext uri="{FF2B5EF4-FFF2-40B4-BE49-F238E27FC236}">
              <a16:creationId xmlns:a16="http://schemas.microsoft.com/office/drawing/2014/main" id="{68801007-5EB2-458D-9380-B663DC956016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55" name="Text Box 94">
          <a:extLst>
            <a:ext uri="{FF2B5EF4-FFF2-40B4-BE49-F238E27FC236}">
              <a16:creationId xmlns:a16="http://schemas.microsoft.com/office/drawing/2014/main" id="{D1A4F440-F4D7-4166-93DC-86718986D21E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56" name="Text Box 95">
          <a:extLst>
            <a:ext uri="{FF2B5EF4-FFF2-40B4-BE49-F238E27FC236}">
              <a16:creationId xmlns:a16="http://schemas.microsoft.com/office/drawing/2014/main" id="{9042C054-8399-4726-A726-0C402BF61FFD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57" name="Text Box 90">
          <a:extLst>
            <a:ext uri="{FF2B5EF4-FFF2-40B4-BE49-F238E27FC236}">
              <a16:creationId xmlns:a16="http://schemas.microsoft.com/office/drawing/2014/main" id="{341EDFE7-D620-4F17-9672-AB6905795281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58" name="Text Box 91">
          <a:extLst>
            <a:ext uri="{FF2B5EF4-FFF2-40B4-BE49-F238E27FC236}">
              <a16:creationId xmlns:a16="http://schemas.microsoft.com/office/drawing/2014/main" id="{50BA88FD-D7E0-43D7-92A1-A08159DB83A8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59" name="Text Box 92">
          <a:extLst>
            <a:ext uri="{FF2B5EF4-FFF2-40B4-BE49-F238E27FC236}">
              <a16:creationId xmlns:a16="http://schemas.microsoft.com/office/drawing/2014/main" id="{59DCB6B6-FA25-4C45-805C-99C4EB568310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60" name="Text Box 93">
          <a:extLst>
            <a:ext uri="{FF2B5EF4-FFF2-40B4-BE49-F238E27FC236}">
              <a16:creationId xmlns:a16="http://schemas.microsoft.com/office/drawing/2014/main" id="{E1291F29-E760-4E9F-B0FD-941FC9894B23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61" name="Text Box 94">
          <a:extLst>
            <a:ext uri="{FF2B5EF4-FFF2-40B4-BE49-F238E27FC236}">
              <a16:creationId xmlns:a16="http://schemas.microsoft.com/office/drawing/2014/main" id="{1EE9088C-A824-4CAA-B0F0-9E2E784F9BC2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62" name="Text Box 95">
          <a:extLst>
            <a:ext uri="{FF2B5EF4-FFF2-40B4-BE49-F238E27FC236}">
              <a16:creationId xmlns:a16="http://schemas.microsoft.com/office/drawing/2014/main" id="{0ED1B00D-7797-4ED8-AC51-607776AB51A4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63" name="Text Box 90">
          <a:extLst>
            <a:ext uri="{FF2B5EF4-FFF2-40B4-BE49-F238E27FC236}">
              <a16:creationId xmlns:a16="http://schemas.microsoft.com/office/drawing/2014/main" id="{9ED87752-7CDE-417E-B94C-E0F94FFB0478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64" name="Text Box 91">
          <a:extLst>
            <a:ext uri="{FF2B5EF4-FFF2-40B4-BE49-F238E27FC236}">
              <a16:creationId xmlns:a16="http://schemas.microsoft.com/office/drawing/2014/main" id="{E26F1FDB-262D-4F8C-B4C6-E15C56C86219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65" name="Text Box 92">
          <a:extLst>
            <a:ext uri="{FF2B5EF4-FFF2-40B4-BE49-F238E27FC236}">
              <a16:creationId xmlns:a16="http://schemas.microsoft.com/office/drawing/2014/main" id="{BA3DAB79-40AA-4ECA-8337-99F259565B71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66" name="Text Box 93">
          <a:extLst>
            <a:ext uri="{FF2B5EF4-FFF2-40B4-BE49-F238E27FC236}">
              <a16:creationId xmlns:a16="http://schemas.microsoft.com/office/drawing/2014/main" id="{4C3ED084-8563-494B-BB8A-5D35C41F0AAF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67" name="Text Box 94">
          <a:extLst>
            <a:ext uri="{FF2B5EF4-FFF2-40B4-BE49-F238E27FC236}">
              <a16:creationId xmlns:a16="http://schemas.microsoft.com/office/drawing/2014/main" id="{14DD951E-D3AD-4E30-A386-37F6B32C3824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68" name="Text Box 95">
          <a:extLst>
            <a:ext uri="{FF2B5EF4-FFF2-40B4-BE49-F238E27FC236}">
              <a16:creationId xmlns:a16="http://schemas.microsoft.com/office/drawing/2014/main" id="{7F52379D-7EAF-4287-AEC0-5B52D2C697D5}"/>
            </a:ext>
          </a:extLst>
        </xdr:cNvPr>
        <xdr:cNvSpPr/>
      </xdr:nvSpPr>
      <xdr:spPr>
        <a:xfrm>
          <a:off x="3941775" y="183874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9" name="Text Box 90">
          <a:extLst>
            <a:ext uri="{FF2B5EF4-FFF2-40B4-BE49-F238E27FC236}">
              <a16:creationId xmlns:a16="http://schemas.microsoft.com/office/drawing/2014/main" id="{5CF96505-3212-4E13-99FD-E101DD5390A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0" name="Text Box 91">
          <a:extLst>
            <a:ext uri="{FF2B5EF4-FFF2-40B4-BE49-F238E27FC236}">
              <a16:creationId xmlns:a16="http://schemas.microsoft.com/office/drawing/2014/main" id="{DDC94331-C979-471F-8B83-14673F90A6A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1" name="Text Box 92">
          <a:extLst>
            <a:ext uri="{FF2B5EF4-FFF2-40B4-BE49-F238E27FC236}">
              <a16:creationId xmlns:a16="http://schemas.microsoft.com/office/drawing/2014/main" id="{D87289CA-16D7-47D3-B5FD-513C2C036634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2" name="Text Box 93">
          <a:extLst>
            <a:ext uri="{FF2B5EF4-FFF2-40B4-BE49-F238E27FC236}">
              <a16:creationId xmlns:a16="http://schemas.microsoft.com/office/drawing/2014/main" id="{3D38B9CC-CE87-4317-9C80-CC451EB95A0A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3" name="Text Box 94">
          <a:extLst>
            <a:ext uri="{FF2B5EF4-FFF2-40B4-BE49-F238E27FC236}">
              <a16:creationId xmlns:a16="http://schemas.microsoft.com/office/drawing/2014/main" id="{F713C30D-FF0A-44F8-8AA0-D25FA61BAA7F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4" name="Text Box 95">
          <a:extLst>
            <a:ext uri="{FF2B5EF4-FFF2-40B4-BE49-F238E27FC236}">
              <a16:creationId xmlns:a16="http://schemas.microsoft.com/office/drawing/2014/main" id="{55275906-3D6C-4A45-AB49-3EDF53A839A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5" name="Text Box 90">
          <a:extLst>
            <a:ext uri="{FF2B5EF4-FFF2-40B4-BE49-F238E27FC236}">
              <a16:creationId xmlns:a16="http://schemas.microsoft.com/office/drawing/2014/main" id="{979C17F9-51C8-4CDE-B804-111DA8CF9F1C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6" name="Text Box 91">
          <a:extLst>
            <a:ext uri="{FF2B5EF4-FFF2-40B4-BE49-F238E27FC236}">
              <a16:creationId xmlns:a16="http://schemas.microsoft.com/office/drawing/2014/main" id="{88605301-CF44-4BC2-8904-7E41FE91332F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7" name="Text Box 92">
          <a:extLst>
            <a:ext uri="{FF2B5EF4-FFF2-40B4-BE49-F238E27FC236}">
              <a16:creationId xmlns:a16="http://schemas.microsoft.com/office/drawing/2014/main" id="{51B1AFE2-BF18-411F-AC83-5E2785392A3D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8" name="Text Box 93">
          <a:extLst>
            <a:ext uri="{FF2B5EF4-FFF2-40B4-BE49-F238E27FC236}">
              <a16:creationId xmlns:a16="http://schemas.microsoft.com/office/drawing/2014/main" id="{0FB43CFD-4953-4D3A-BEA3-298B3A54387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9" name="Text Box 94">
          <a:extLst>
            <a:ext uri="{FF2B5EF4-FFF2-40B4-BE49-F238E27FC236}">
              <a16:creationId xmlns:a16="http://schemas.microsoft.com/office/drawing/2014/main" id="{844FECE2-A32E-49A7-BE4F-FC7021BEB1F1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0" name="Text Box 95">
          <a:extLst>
            <a:ext uri="{FF2B5EF4-FFF2-40B4-BE49-F238E27FC236}">
              <a16:creationId xmlns:a16="http://schemas.microsoft.com/office/drawing/2014/main" id="{8BC28AF8-F5BA-4A24-BC25-9F9663BAA106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1" name="Text Box 90">
          <a:extLst>
            <a:ext uri="{FF2B5EF4-FFF2-40B4-BE49-F238E27FC236}">
              <a16:creationId xmlns:a16="http://schemas.microsoft.com/office/drawing/2014/main" id="{044721C7-DC51-4A9B-9994-A99AC305D744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2" name="Text Box 91">
          <a:extLst>
            <a:ext uri="{FF2B5EF4-FFF2-40B4-BE49-F238E27FC236}">
              <a16:creationId xmlns:a16="http://schemas.microsoft.com/office/drawing/2014/main" id="{D65F0649-12BE-4D28-896B-F3E08C7160E6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3" name="Text Box 92">
          <a:extLst>
            <a:ext uri="{FF2B5EF4-FFF2-40B4-BE49-F238E27FC236}">
              <a16:creationId xmlns:a16="http://schemas.microsoft.com/office/drawing/2014/main" id="{91CCA7DC-AB64-48AC-AAD7-E0544AFBA0D3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4" name="Text Box 93">
          <a:extLst>
            <a:ext uri="{FF2B5EF4-FFF2-40B4-BE49-F238E27FC236}">
              <a16:creationId xmlns:a16="http://schemas.microsoft.com/office/drawing/2014/main" id="{E0EE413C-4D4B-4423-B83C-4E3C60DD5AE9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5" name="Text Box 94">
          <a:extLst>
            <a:ext uri="{FF2B5EF4-FFF2-40B4-BE49-F238E27FC236}">
              <a16:creationId xmlns:a16="http://schemas.microsoft.com/office/drawing/2014/main" id="{73C6D52E-E538-49FB-B18E-C7281E29F676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6" name="Text Box 95">
          <a:extLst>
            <a:ext uri="{FF2B5EF4-FFF2-40B4-BE49-F238E27FC236}">
              <a16:creationId xmlns:a16="http://schemas.microsoft.com/office/drawing/2014/main" id="{9B49F865-0B43-428B-86D1-22DA429FEB05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7" name="Text Box 90">
          <a:extLst>
            <a:ext uri="{FF2B5EF4-FFF2-40B4-BE49-F238E27FC236}">
              <a16:creationId xmlns:a16="http://schemas.microsoft.com/office/drawing/2014/main" id="{FC4AFF98-6CBB-49BE-8C21-EF9AABFF529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8" name="Text Box 91">
          <a:extLst>
            <a:ext uri="{FF2B5EF4-FFF2-40B4-BE49-F238E27FC236}">
              <a16:creationId xmlns:a16="http://schemas.microsoft.com/office/drawing/2014/main" id="{3ACD0256-6206-4C6F-9FDC-E898AA4950A7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9" name="Text Box 92">
          <a:extLst>
            <a:ext uri="{FF2B5EF4-FFF2-40B4-BE49-F238E27FC236}">
              <a16:creationId xmlns:a16="http://schemas.microsoft.com/office/drawing/2014/main" id="{B2501A73-7FE7-459D-8146-28A4DC6CEC25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0" name="Text Box 93">
          <a:extLst>
            <a:ext uri="{FF2B5EF4-FFF2-40B4-BE49-F238E27FC236}">
              <a16:creationId xmlns:a16="http://schemas.microsoft.com/office/drawing/2014/main" id="{D2C9287D-5CB9-4473-80D2-39EEC623C1F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1" name="Text Box 94">
          <a:extLst>
            <a:ext uri="{FF2B5EF4-FFF2-40B4-BE49-F238E27FC236}">
              <a16:creationId xmlns:a16="http://schemas.microsoft.com/office/drawing/2014/main" id="{1D8EEFCF-E61F-43DA-BB8B-EEC80CF826D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2" name="Text Box 95">
          <a:extLst>
            <a:ext uri="{FF2B5EF4-FFF2-40B4-BE49-F238E27FC236}">
              <a16:creationId xmlns:a16="http://schemas.microsoft.com/office/drawing/2014/main" id="{213BD312-0323-4CFD-AE23-1F5A4078ABBD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3" name="Text Box 90">
          <a:extLst>
            <a:ext uri="{FF2B5EF4-FFF2-40B4-BE49-F238E27FC236}">
              <a16:creationId xmlns:a16="http://schemas.microsoft.com/office/drawing/2014/main" id="{A8E134BF-1A18-46D6-9DF2-9A72A2507647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4" name="Text Box 91">
          <a:extLst>
            <a:ext uri="{FF2B5EF4-FFF2-40B4-BE49-F238E27FC236}">
              <a16:creationId xmlns:a16="http://schemas.microsoft.com/office/drawing/2014/main" id="{BF0B2409-26FF-49A2-8D66-EAA51565CB42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5" name="Text Box 92">
          <a:extLst>
            <a:ext uri="{FF2B5EF4-FFF2-40B4-BE49-F238E27FC236}">
              <a16:creationId xmlns:a16="http://schemas.microsoft.com/office/drawing/2014/main" id="{433AB8DA-0058-41E1-900C-1658B57BB2D4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6" name="Text Box 93">
          <a:extLst>
            <a:ext uri="{FF2B5EF4-FFF2-40B4-BE49-F238E27FC236}">
              <a16:creationId xmlns:a16="http://schemas.microsoft.com/office/drawing/2014/main" id="{61C002BC-5A05-43BC-BD90-AA17C08A041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7" name="Text Box 94">
          <a:extLst>
            <a:ext uri="{FF2B5EF4-FFF2-40B4-BE49-F238E27FC236}">
              <a16:creationId xmlns:a16="http://schemas.microsoft.com/office/drawing/2014/main" id="{FFA5D8B7-2EAD-45A9-9982-DD957BFC49EF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8" name="Text Box 95">
          <a:extLst>
            <a:ext uri="{FF2B5EF4-FFF2-40B4-BE49-F238E27FC236}">
              <a16:creationId xmlns:a16="http://schemas.microsoft.com/office/drawing/2014/main" id="{448FB7F3-8183-40E4-B8CB-98694B1CA51D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9" name="Text Box 90">
          <a:extLst>
            <a:ext uri="{FF2B5EF4-FFF2-40B4-BE49-F238E27FC236}">
              <a16:creationId xmlns:a16="http://schemas.microsoft.com/office/drawing/2014/main" id="{EB173AAE-2C86-4C5B-9640-95FD4C3F3A35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0" name="Text Box 91">
          <a:extLst>
            <a:ext uri="{FF2B5EF4-FFF2-40B4-BE49-F238E27FC236}">
              <a16:creationId xmlns:a16="http://schemas.microsoft.com/office/drawing/2014/main" id="{A975A169-DD92-463F-8F8B-FB6F79A055A2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1" name="Text Box 92">
          <a:extLst>
            <a:ext uri="{FF2B5EF4-FFF2-40B4-BE49-F238E27FC236}">
              <a16:creationId xmlns:a16="http://schemas.microsoft.com/office/drawing/2014/main" id="{270E21FD-826B-4BAA-951A-3239EA662211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2" name="Text Box 93">
          <a:extLst>
            <a:ext uri="{FF2B5EF4-FFF2-40B4-BE49-F238E27FC236}">
              <a16:creationId xmlns:a16="http://schemas.microsoft.com/office/drawing/2014/main" id="{CEA04A7C-EA72-461A-9DBC-3E84ED5FAF2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3" name="Text Box 94">
          <a:extLst>
            <a:ext uri="{FF2B5EF4-FFF2-40B4-BE49-F238E27FC236}">
              <a16:creationId xmlns:a16="http://schemas.microsoft.com/office/drawing/2014/main" id="{BD04C190-A58B-48EA-BF33-BE844FCECB5A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4" name="Text Box 95">
          <a:extLst>
            <a:ext uri="{FF2B5EF4-FFF2-40B4-BE49-F238E27FC236}">
              <a16:creationId xmlns:a16="http://schemas.microsoft.com/office/drawing/2014/main" id="{0E318C65-7FF7-4F5D-A604-D4FE77C0C3E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5" name="Text Box 90">
          <a:extLst>
            <a:ext uri="{FF2B5EF4-FFF2-40B4-BE49-F238E27FC236}">
              <a16:creationId xmlns:a16="http://schemas.microsoft.com/office/drawing/2014/main" id="{1F3A8848-8CCE-4544-B3F1-4169A68A339A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6" name="Text Box 91">
          <a:extLst>
            <a:ext uri="{FF2B5EF4-FFF2-40B4-BE49-F238E27FC236}">
              <a16:creationId xmlns:a16="http://schemas.microsoft.com/office/drawing/2014/main" id="{0E753455-8CCA-47C3-98CD-ED4159CB326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7" name="Text Box 92">
          <a:extLst>
            <a:ext uri="{FF2B5EF4-FFF2-40B4-BE49-F238E27FC236}">
              <a16:creationId xmlns:a16="http://schemas.microsoft.com/office/drawing/2014/main" id="{E01AF58D-7AEB-47BD-8FC8-AD4C32F125CC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8" name="Text Box 93">
          <a:extLst>
            <a:ext uri="{FF2B5EF4-FFF2-40B4-BE49-F238E27FC236}">
              <a16:creationId xmlns:a16="http://schemas.microsoft.com/office/drawing/2014/main" id="{A1F2A266-26A4-4E3C-814E-15538B0F9B54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9" name="Text Box 94">
          <a:extLst>
            <a:ext uri="{FF2B5EF4-FFF2-40B4-BE49-F238E27FC236}">
              <a16:creationId xmlns:a16="http://schemas.microsoft.com/office/drawing/2014/main" id="{19162EFD-E7CE-4AD0-BDE1-9D49057E3E6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0" name="Text Box 95">
          <a:extLst>
            <a:ext uri="{FF2B5EF4-FFF2-40B4-BE49-F238E27FC236}">
              <a16:creationId xmlns:a16="http://schemas.microsoft.com/office/drawing/2014/main" id="{CC89C626-2D8F-4CB7-9C0A-8D2C439B6EA6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1" name="Text Box 90">
          <a:extLst>
            <a:ext uri="{FF2B5EF4-FFF2-40B4-BE49-F238E27FC236}">
              <a16:creationId xmlns:a16="http://schemas.microsoft.com/office/drawing/2014/main" id="{0B05C7CF-7B4E-4D69-BE1B-B25324A48E31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2" name="Text Box 91">
          <a:extLst>
            <a:ext uri="{FF2B5EF4-FFF2-40B4-BE49-F238E27FC236}">
              <a16:creationId xmlns:a16="http://schemas.microsoft.com/office/drawing/2014/main" id="{5F0957F9-D2AD-4D7F-9A18-785056C1EE1A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3" name="Text Box 92">
          <a:extLst>
            <a:ext uri="{FF2B5EF4-FFF2-40B4-BE49-F238E27FC236}">
              <a16:creationId xmlns:a16="http://schemas.microsoft.com/office/drawing/2014/main" id="{E0339537-9E48-408B-8504-218A87DF8D3F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4" name="Text Box 93">
          <a:extLst>
            <a:ext uri="{FF2B5EF4-FFF2-40B4-BE49-F238E27FC236}">
              <a16:creationId xmlns:a16="http://schemas.microsoft.com/office/drawing/2014/main" id="{780D1D0D-BC9A-4451-9F15-11E15502D6A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5" name="Text Box 94">
          <a:extLst>
            <a:ext uri="{FF2B5EF4-FFF2-40B4-BE49-F238E27FC236}">
              <a16:creationId xmlns:a16="http://schemas.microsoft.com/office/drawing/2014/main" id="{FE9009CF-4801-41B4-B523-E06186997355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6" name="Text Box 95">
          <a:extLst>
            <a:ext uri="{FF2B5EF4-FFF2-40B4-BE49-F238E27FC236}">
              <a16:creationId xmlns:a16="http://schemas.microsoft.com/office/drawing/2014/main" id="{2C7AAF2B-DEC5-4FFA-9729-CDFDCFE32FDB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7" name="Text Box 90">
          <a:extLst>
            <a:ext uri="{FF2B5EF4-FFF2-40B4-BE49-F238E27FC236}">
              <a16:creationId xmlns:a16="http://schemas.microsoft.com/office/drawing/2014/main" id="{737E6767-D914-468B-B76C-F3ED5E692974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8" name="Text Box 91">
          <a:extLst>
            <a:ext uri="{FF2B5EF4-FFF2-40B4-BE49-F238E27FC236}">
              <a16:creationId xmlns:a16="http://schemas.microsoft.com/office/drawing/2014/main" id="{FEFF66CA-5545-443B-93AE-F5BEE28391BD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9" name="Text Box 92">
          <a:extLst>
            <a:ext uri="{FF2B5EF4-FFF2-40B4-BE49-F238E27FC236}">
              <a16:creationId xmlns:a16="http://schemas.microsoft.com/office/drawing/2014/main" id="{AF1C2940-E3ED-4DF9-9D07-F7AF0BF02AC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0" name="Text Box 93">
          <a:extLst>
            <a:ext uri="{FF2B5EF4-FFF2-40B4-BE49-F238E27FC236}">
              <a16:creationId xmlns:a16="http://schemas.microsoft.com/office/drawing/2014/main" id="{15157D69-B80F-4081-BB02-E34ECD00FEC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1" name="Text Box 94">
          <a:extLst>
            <a:ext uri="{FF2B5EF4-FFF2-40B4-BE49-F238E27FC236}">
              <a16:creationId xmlns:a16="http://schemas.microsoft.com/office/drawing/2014/main" id="{55616B9B-C201-477A-9DA5-1A329314A603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2" name="Text Box 95">
          <a:extLst>
            <a:ext uri="{FF2B5EF4-FFF2-40B4-BE49-F238E27FC236}">
              <a16:creationId xmlns:a16="http://schemas.microsoft.com/office/drawing/2014/main" id="{7A903642-0CB4-4B0C-81EE-A85062741EB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3" name="Text Box 90">
          <a:extLst>
            <a:ext uri="{FF2B5EF4-FFF2-40B4-BE49-F238E27FC236}">
              <a16:creationId xmlns:a16="http://schemas.microsoft.com/office/drawing/2014/main" id="{5D64A2EB-15A5-4D54-9725-A4600262E3A6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4" name="Text Box 91">
          <a:extLst>
            <a:ext uri="{FF2B5EF4-FFF2-40B4-BE49-F238E27FC236}">
              <a16:creationId xmlns:a16="http://schemas.microsoft.com/office/drawing/2014/main" id="{C870E85D-1AB6-4AFE-B881-020AD9F00A87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5" name="Text Box 92">
          <a:extLst>
            <a:ext uri="{FF2B5EF4-FFF2-40B4-BE49-F238E27FC236}">
              <a16:creationId xmlns:a16="http://schemas.microsoft.com/office/drawing/2014/main" id="{2D969169-4F93-46C7-A175-F6DA11E0453E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6" name="Text Box 93">
          <a:extLst>
            <a:ext uri="{FF2B5EF4-FFF2-40B4-BE49-F238E27FC236}">
              <a16:creationId xmlns:a16="http://schemas.microsoft.com/office/drawing/2014/main" id="{F6A2DA33-264F-4329-92B2-2FA3F16A5C12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7" name="Text Box 94">
          <a:extLst>
            <a:ext uri="{FF2B5EF4-FFF2-40B4-BE49-F238E27FC236}">
              <a16:creationId xmlns:a16="http://schemas.microsoft.com/office/drawing/2014/main" id="{FC4D1EEB-E702-4054-8379-29986EAF95E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8" name="Text Box 95">
          <a:extLst>
            <a:ext uri="{FF2B5EF4-FFF2-40B4-BE49-F238E27FC236}">
              <a16:creationId xmlns:a16="http://schemas.microsoft.com/office/drawing/2014/main" id="{94737338-01AE-43CD-9DAF-2F654F5B5FBA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9" name="Text Box 90">
          <a:extLst>
            <a:ext uri="{FF2B5EF4-FFF2-40B4-BE49-F238E27FC236}">
              <a16:creationId xmlns:a16="http://schemas.microsoft.com/office/drawing/2014/main" id="{D6E47D85-6AFC-4FE5-A4B0-14FB0F79C88A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0" name="Text Box 91">
          <a:extLst>
            <a:ext uri="{FF2B5EF4-FFF2-40B4-BE49-F238E27FC236}">
              <a16:creationId xmlns:a16="http://schemas.microsoft.com/office/drawing/2014/main" id="{DC350DE6-D4F9-47DF-B9F6-B48841DBE065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1" name="Text Box 92">
          <a:extLst>
            <a:ext uri="{FF2B5EF4-FFF2-40B4-BE49-F238E27FC236}">
              <a16:creationId xmlns:a16="http://schemas.microsoft.com/office/drawing/2014/main" id="{3C8889CC-AC7E-4DCB-9DAF-834CFA153DB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2" name="Text Box 93">
          <a:extLst>
            <a:ext uri="{FF2B5EF4-FFF2-40B4-BE49-F238E27FC236}">
              <a16:creationId xmlns:a16="http://schemas.microsoft.com/office/drawing/2014/main" id="{9E6A2708-7E2D-4051-AC00-4078A1B5014C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3" name="Text Box 94">
          <a:extLst>
            <a:ext uri="{FF2B5EF4-FFF2-40B4-BE49-F238E27FC236}">
              <a16:creationId xmlns:a16="http://schemas.microsoft.com/office/drawing/2014/main" id="{FB3F71E3-116F-414D-923E-80C88805B937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4" name="Text Box 95">
          <a:extLst>
            <a:ext uri="{FF2B5EF4-FFF2-40B4-BE49-F238E27FC236}">
              <a16:creationId xmlns:a16="http://schemas.microsoft.com/office/drawing/2014/main" id="{DD51687A-0B73-48FA-B119-5B3A05DD49F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5" name="Text Box 90">
          <a:extLst>
            <a:ext uri="{FF2B5EF4-FFF2-40B4-BE49-F238E27FC236}">
              <a16:creationId xmlns:a16="http://schemas.microsoft.com/office/drawing/2014/main" id="{3ED7427E-0882-47B4-BD0C-9E6DCC1319D3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6" name="Text Box 91">
          <a:extLst>
            <a:ext uri="{FF2B5EF4-FFF2-40B4-BE49-F238E27FC236}">
              <a16:creationId xmlns:a16="http://schemas.microsoft.com/office/drawing/2014/main" id="{956A6E1B-0E18-4C8C-96A2-075AC9C4668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7" name="Text Box 92">
          <a:extLst>
            <a:ext uri="{FF2B5EF4-FFF2-40B4-BE49-F238E27FC236}">
              <a16:creationId xmlns:a16="http://schemas.microsoft.com/office/drawing/2014/main" id="{522415F9-11F3-46C3-B931-94999F7E3E2F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8" name="Text Box 93">
          <a:extLst>
            <a:ext uri="{FF2B5EF4-FFF2-40B4-BE49-F238E27FC236}">
              <a16:creationId xmlns:a16="http://schemas.microsoft.com/office/drawing/2014/main" id="{1136AAAC-446D-40EE-AEAB-AD6F03198B5F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9" name="Text Box 94">
          <a:extLst>
            <a:ext uri="{FF2B5EF4-FFF2-40B4-BE49-F238E27FC236}">
              <a16:creationId xmlns:a16="http://schemas.microsoft.com/office/drawing/2014/main" id="{772F0224-CE22-49F7-B69A-9D80077491EC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0" name="Text Box 95">
          <a:extLst>
            <a:ext uri="{FF2B5EF4-FFF2-40B4-BE49-F238E27FC236}">
              <a16:creationId xmlns:a16="http://schemas.microsoft.com/office/drawing/2014/main" id="{CC59B76B-0498-4137-B43D-C8C0F0EEFAE5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1" name="Text Box 90">
          <a:extLst>
            <a:ext uri="{FF2B5EF4-FFF2-40B4-BE49-F238E27FC236}">
              <a16:creationId xmlns:a16="http://schemas.microsoft.com/office/drawing/2014/main" id="{4B02DCE1-0FB3-43D7-8AA6-6673F5F62126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2" name="Text Box 91">
          <a:extLst>
            <a:ext uri="{FF2B5EF4-FFF2-40B4-BE49-F238E27FC236}">
              <a16:creationId xmlns:a16="http://schemas.microsoft.com/office/drawing/2014/main" id="{93A2A655-608D-44E6-B01D-21835F170126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3" name="Text Box 92">
          <a:extLst>
            <a:ext uri="{FF2B5EF4-FFF2-40B4-BE49-F238E27FC236}">
              <a16:creationId xmlns:a16="http://schemas.microsoft.com/office/drawing/2014/main" id="{6B66E4E6-3505-4549-804B-2A8022A1B14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4" name="Text Box 93">
          <a:extLst>
            <a:ext uri="{FF2B5EF4-FFF2-40B4-BE49-F238E27FC236}">
              <a16:creationId xmlns:a16="http://schemas.microsoft.com/office/drawing/2014/main" id="{DA4E769E-1A9D-4735-9605-2F51C9AC7F65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5" name="Text Box 94">
          <a:extLst>
            <a:ext uri="{FF2B5EF4-FFF2-40B4-BE49-F238E27FC236}">
              <a16:creationId xmlns:a16="http://schemas.microsoft.com/office/drawing/2014/main" id="{802EC304-7F78-40E3-AE04-660DB7AFE55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6" name="Text Box 95">
          <a:extLst>
            <a:ext uri="{FF2B5EF4-FFF2-40B4-BE49-F238E27FC236}">
              <a16:creationId xmlns:a16="http://schemas.microsoft.com/office/drawing/2014/main" id="{28E8B47B-EAFF-4C8D-BBD6-7349934B088F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7" name="Text Box 90">
          <a:extLst>
            <a:ext uri="{FF2B5EF4-FFF2-40B4-BE49-F238E27FC236}">
              <a16:creationId xmlns:a16="http://schemas.microsoft.com/office/drawing/2014/main" id="{B504A9CC-1D2E-4A7B-B8A7-FB571566FC52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8" name="Text Box 91">
          <a:extLst>
            <a:ext uri="{FF2B5EF4-FFF2-40B4-BE49-F238E27FC236}">
              <a16:creationId xmlns:a16="http://schemas.microsoft.com/office/drawing/2014/main" id="{20A6AFBC-DFBA-4266-B39E-3C1E999AE3BD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9" name="Text Box 92">
          <a:extLst>
            <a:ext uri="{FF2B5EF4-FFF2-40B4-BE49-F238E27FC236}">
              <a16:creationId xmlns:a16="http://schemas.microsoft.com/office/drawing/2014/main" id="{C7566936-AAB6-4418-A8DC-C1F1181EB1A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0" name="Text Box 93">
          <a:extLst>
            <a:ext uri="{FF2B5EF4-FFF2-40B4-BE49-F238E27FC236}">
              <a16:creationId xmlns:a16="http://schemas.microsoft.com/office/drawing/2014/main" id="{EE24D831-A6DB-48CC-8E5A-0B22DC0DA63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1" name="Text Box 94">
          <a:extLst>
            <a:ext uri="{FF2B5EF4-FFF2-40B4-BE49-F238E27FC236}">
              <a16:creationId xmlns:a16="http://schemas.microsoft.com/office/drawing/2014/main" id="{D1EE458A-BCFD-4A03-96BA-04F1C81AEA81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2" name="Text Box 95">
          <a:extLst>
            <a:ext uri="{FF2B5EF4-FFF2-40B4-BE49-F238E27FC236}">
              <a16:creationId xmlns:a16="http://schemas.microsoft.com/office/drawing/2014/main" id="{A678C100-F1A6-4C81-9BC0-1108F1A1827C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3" name="Text Box 90">
          <a:extLst>
            <a:ext uri="{FF2B5EF4-FFF2-40B4-BE49-F238E27FC236}">
              <a16:creationId xmlns:a16="http://schemas.microsoft.com/office/drawing/2014/main" id="{904105A7-36E5-4454-B8A0-3426D1582029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4" name="Text Box 91">
          <a:extLst>
            <a:ext uri="{FF2B5EF4-FFF2-40B4-BE49-F238E27FC236}">
              <a16:creationId xmlns:a16="http://schemas.microsoft.com/office/drawing/2014/main" id="{C9C4ED1D-925B-4F35-8BA8-56B9B6C1387D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5" name="Text Box 92">
          <a:extLst>
            <a:ext uri="{FF2B5EF4-FFF2-40B4-BE49-F238E27FC236}">
              <a16:creationId xmlns:a16="http://schemas.microsoft.com/office/drawing/2014/main" id="{BF217217-CE6C-49C3-9AB8-0A93A576EB6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6" name="Text Box 93">
          <a:extLst>
            <a:ext uri="{FF2B5EF4-FFF2-40B4-BE49-F238E27FC236}">
              <a16:creationId xmlns:a16="http://schemas.microsoft.com/office/drawing/2014/main" id="{2DB9E736-DDA6-46E3-82BB-0ED5124C36E8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7" name="Text Box 94">
          <a:extLst>
            <a:ext uri="{FF2B5EF4-FFF2-40B4-BE49-F238E27FC236}">
              <a16:creationId xmlns:a16="http://schemas.microsoft.com/office/drawing/2014/main" id="{A1AD5080-4A19-47C6-B6D6-37264601FE54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8" name="Text Box 95">
          <a:extLst>
            <a:ext uri="{FF2B5EF4-FFF2-40B4-BE49-F238E27FC236}">
              <a16:creationId xmlns:a16="http://schemas.microsoft.com/office/drawing/2014/main" id="{D2D5B38A-ADFB-4D8B-A32F-EDB2A98B7AB1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59" name="Text Box 90">
          <a:extLst>
            <a:ext uri="{FF2B5EF4-FFF2-40B4-BE49-F238E27FC236}">
              <a16:creationId xmlns:a16="http://schemas.microsoft.com/office/drawing/2014/main" id="{3B140FE5-C47D-4A19-8951-E0D4A18C104F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60" name="Text Box 91">
          <a:extLst>
            <a:ext uri="{FF2B5EF4-FFF2-40B4-BE49-F238E27FC236}">
              <a16:creationId xmlns:a16="http://schemas.microsoft.com/office/drawing/2014/main" id="{DF93E071-84FB-4AAF-835C-859869C7761C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61" name="Text Box 92">
          <a:extLst>
            <a:ext uri="{FF2B5EF4-FFF2-40B4-BE49-F238E27FC236}">
              <a16:creationId xmlns:a16="http://schemas.microsoft.com/office/drawing/2014/main" id="{1E5FE0F3-F6FF-4211-9E78-DD0BDE5B4919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62" name="Text Box 93">
          <a:extLst>
            <a:ext uri="{FF2B5EF4-FFF2-40B4-BE49-F238E27FC236}">
              <a16:creationId xmlns:a16="http://schemas.microsoft.com/office/drawing/2014/main" id="{97F086A9-0512-42CE-BC9A-22547783BF2D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63" name="Text Box 94">
          <a:extLst>
            <a:ext uri="{FF2B5EF4-FFF2-40B4-BE49-F238E27FC236}">
              <a16:creationId xmlns:a16="http://schemas.microsoft.com/office/drawing/2014/main" id="{ED99EB09-27F9-4397-9236-F3D102A761E9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64" name="Text Box 95">
          <a:extLst>
            <a:ext uri="{FF2B5EF4-FFF2-40B4-BE49-F238E27FC236}">
              <a16:creationId xmlns:a16="http://schemas.microsoft.com/office/drawing/2014/main" id="{917B6B43-D310-484C-AAA9-410E1E1174BE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65" name="Text Box 90">
          <a:extLst>
            <a:ext uri="{FF2B5EF4-FFF2-40B4-BE49-F238E27FC236}">
              <a16:creationId xmlns:a16="http://schemas.microsoft.com/office/drawing/2014/main" id="{70C5F9F5-41EF-4350-ADEB-39B33BCDC661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66" name="Text Box 91">
          <a:extLst>
            <a:ext uri="{FF2B5EF4-FFF2-40B4-BE49-F238E27FC236}">
              <a16:creationId xmlns:a16="http://schemas.microsoft.com/office/drawing/2014/main" id="{A6CDFE5A-4E15-41F8-B8BF-B90FC1D98498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67" name="Text Box 92">
          <a:extLst>
            <a:ext uri="{FF2B5EF4-FFF2-40B4-BE49-F238E27FC236}">
              <a16:creationId xmlns:a16="http://schemas.microsoft.com/office/drawing/2014/main" id="{EC8BB771-8DBF-4C02-BCFE-5966683858FD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68" name="Text Box 93">
          <a:extLst>
            <a:ext uri="{FF2B5EF4-FFF2-40B4-BE49-F238E27FC236}">
              <a16:creationId xmlns:a16="http://schemas.microsoft.com/office/drawing/2014/main" id="{A4EAAC4B-4DB6-4B11-9EB1-5F5C34563B9F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69" name="Text Box 94">
          <a:extLst>
            <a:ext uri="{FF2B5EF4-FFF2-40B4-BE49-F238E27FC236}">
              <a16:creationId xmlns:a16="http://schemas.microsoft.com/office/drawing/2014/main" id="{A429AD44-3F85-4512-830A-67BB3CC9745B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70" name="Text Box 95">
          <a:extLst>
            <a:ext uri="{FF2B5EF4-FFF2-40B4-BE49-F238E27FC236}">
              <a16:creationId xmlns:a16="http://schemas.microsoft.com/office/drawing/2014/main" id="{EA0DC600-3B50-4D1F-A5AE-A18227A51D04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71" name="Text Box 90">
          <a:extLst>
            <a:ext uri="{FF2B5EF4-FFF2-40B4-BE49-F238E27FC236}">
              <a16:creationId xmlns:a16="http://schemas.microsoft.com/office/drawing/2014/main" id="{025FC7B2-3A52-478F-B770-3C298E98B6F2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72" name="Text Box 91">
          <a:extLst>
            <a:ext uri="{FF2B5EF4-FFF2-40B4-BE49-F238E27FC236}">
              <a16:creationId xmlns:a16="http://schemas.microsoft.com/office/drawing/2014/main" id="{352F0541-3E85-4CE3-BB72-22FC87B8C345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73" name="Text Box 92">
          <a:extLst>
            <a:ext uri="{FF2B5EF4-FFF2-40B4-BE49-F238E27FC236}">
              <a16:creationId xmlns:a16="http://schemas.microsoft.com/office/drawing/2014/main" id="{591EF9B6-20A3-4D25-8082-6D8C1A4903B1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74" name="Text Box 93">
          <a:extLst>
            <a:ext uri="{FF2B5EF4-FFF2-40B4-BE49-F238E27FC236}">
              <a16:creationId xmlns:a16="http://schemas.microsoft.com/office/drawing/2014/main" id="{7782167E-DE32-4F87-AA42-1C279D442B1B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75" name="Text Box 94">
          <a:extLst>
            <a:ext uri="{FF2B5EF4-FFF2-40B4-BE49-F238E27FC236}">
              <a16:creationId xmlns:a16="http://schemas.microsoft.com/office/drawing/2014/main" id="{91CC7098-6954-4E3F-BBA0-D0B5C5E27060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76" name="Text Box 95">
          <a:extLst>
            <a:ext uri="{FF2B5EF4-FFF2-40B4-BE49-F238E27FC236}">
              <a16:creationId xmlns:a16="http://schemas.microsoft.com/office/drawing/2014/main" id="{29AFE9E4-7DDF-4C73-9E81-C8B7BE7C118D}"/>
            </a:ext>
          </a:extLst>
        </xdr:cNvPr>
        <xdr:cNvSpPr/>
      </xdr:nvSpPr>
      <xdr:spPr>
        <a:xfrm>
          <a:off x="394177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0" name="Line 1">
          <a:extLst>
            <a:ext uri="{FF2B5EF4-FFF2-40B4-BE49-F238E27FC236}">
              <a16:creationId xmlns:a16="http://schemas.microsoft.com/office/drawing/2014/main" id="{00000000-0008-0000-1000-00005A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1" name="Line 2">
          <a:extLst>
            <a:ext uri="{FF2B5EF4-FFF2-40B4-BE49-F238E27FC236}">
              <a16:creationId xmlns:a16="http://schemas.microsoft.com/office/drawing/2014/main" id="{00000000-0008-0000-1000-00005B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2" name="Line 3">
          <a:extLst>
            <a:ext uri="{FF2B5EF4-FFF2-40B4-BE49-F238E27FC236}">
              <a16:creationId xmlns:a16="http://schemas.microsoft.com/office/drawing/2014/main" id="{00000000-0008-0000-1000-00005C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3" name="Line 4">
          <a:extLst>
            <a:ext uri="{FF2B5EF4-FFF2-40B4-BE49-F238E27FC236}">
              <a16:creationId xmlns:a16="http://schemas.microsoft.com/office/drawing/2014/main" id="{00000000-0008-0000-1000-00005D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4" name="Line 5">
          <a:extLst>
            <a:ext uri="{FF2B5EF4-FFF2-40B4-BE49-F238E27FC236}">
              <a16:creationId xmlns:a16="http://schemas.microsoft.com/office/drawing/2014/main" id="{00000000-0008-0000-1000-00005E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5" name="Line 6">
          <a:extLst>
            <a:ext uri="{FF2B5EF4-FFF2-40B4-BE49-F238E27FC236}">
              <a16:creationId xmlns:a16="http://schemas.microsoft.com/office/drawing/2014/main" id="{00000000-0008-0000-1000-00005F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6" name="Line 7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7" name="Line 8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8" name="Line 9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9" name="Line 10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0" name="Line 11">
          <a:extLst>
            <a:ext uri="{FF2B5EF4-FFF2-40B4-BE49-F238E27FC236}">
              <a16:creationId xmlns:a16="http://schemas.microsoft.com/office/drawing/2014/main" id="{00000000-0008-0000-1000-000064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1" name="Line 12">
          <a:extLst>
            <a:ext uri="{FF2B5EF4-FFF2-40B4-BE49-F238E27FC236}">
              <a16:creationId xmlns:a16="http://schemas.microsoft.com/office/drawing/2014/main" id="{00000000-0008-0000-1000-000065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2" name="Line 13">
          <a:extLst>
            <a:ext uri="{FF2B5EF4-FFF2-40B4-BE49-F238E27FC236}">
              <a16:creationId xmlns:a16="http://schemas.microsoft.com/office/drawing/2014/main" id="{00000000-0008-0000-1000-000066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3" name="Line 14">
          <a:extLst>
            <a:ext uri="{FF2B5EF4-FFF2-40B4-BE49-F238E27FC236}">
              <a16:creationId xmlns:a16="http://schemas.microsoft.com/office/drawing/2014/main" id="{00000000-0008-0000-1000-000067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4" name="Line 15">
          <a:extLst>
            <a:ext uri="{FF2B5EF4-FFF2-40B4-BE49-F238E27FC236}">
              <a16:creationId xmlns:a16="http://schemas.microsoft.com/office/drawing/2014/main" id="{00000000-0008-0000-1000-000068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5" name="Line 16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6" name="Line 17">
          <a:extLst>
            <a:ext uri="{FF2B5EF4-FFF2-40B4-BE49-F238E27FC236}">
              <a16:creationId xmlns:a16="http://schemas.microsoft.com/office/drawing/2014/main" id="{00000000-0008-0000-1000-00006A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7" name="Line 18">
          <a:extLst>
            <a:ext uri="{FF2B5EF4-FFF2-40B4-BE49-F238E27FC236}">
              <a16:creationId xmlns:a16="http://schemas.microsoft.com/office/drawing/2014/main" id="{00000000-0008-0000-1000-00006B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8" name="Line 19">
          <a:extLst>
            <a:ext uri="{FF2B5EF4-FFF2-40B4-BE49-F238E27FC236}">
              <a16:creationId xmlns:a16="http://schemas.microsoft.com/office/drawing/2014/main" id="{00000000-0008-0000-1000-00006C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9" name="Line 20">
          <a:extLst>
            <a:ext uri="{FF2B5EF4-FFF2-40B4-BE49-F238E27FC236}">
              <a16:creationId xmlns:a16="http://schemas.microsoft.com/office/drawing/2014/main" id="{00000000-0008-0000-1000-00006D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0" name="Line 21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1" name="Line 22">
          <a:extLst>
            <a:ext uri="{FF2B5EF4-FFF2-40B4-BE49-F238E27FC236}">
              <a16:creationId xmlns:a16="http://schemas.microsoft.com/office/drawing/2014/main" id="{00000000-0008-0000-1000-00006F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2" name="Line 23">
          <a:extLst>
            <a:ext uri="{FF2B5EF4-FFF2-40B4-BE49-F238E27FC236}">
              <a16:creationId xmlns:a16="http://schemas.microsoft.com/office/drawing/2014/main" id="{00000000-0008-0000-1000-000070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3" name="Line 24">
          <a:extLst>
            <a:ext uri="{FF2B5EF4-FFF2-40B4-BE49-F238E27FC236}">
              <a16:creationId xmlns:a16="http://schemas.microsoft.com/office/drawing/2014/main" id="{00000000-0008-0000-1000-000071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4" name="Line 25">
          <a:extLst>
            <a:ext uri="{FF2B5EF4-FFF2-40B4-BE49-F238E27FC236}">
              <a16:creationId xmlns:a16="http://schemas.microsoft.com/office/drawing/2014/main" id="{00000000-0008-0000-1000-000072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5" name="Line 26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6" name="Line 27">
          <a:extLst>
            <a:ext uri="{FF2B5EF4-FFF2-40B4-BE49-F238E27FC236}">
              <a16:creationId xmlns:a16="http://schemas.microsoft.com/office/drawing/2014/main" id="{00000000-0008-0000-1000-000074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7" name="Line 28">
          <a:extLst>
            <a:ext uri="{FF2B5EF4-FFF2-40B4-BE49-F238E27FC236}">
              <a16:creationId xmlns:a16="http://schemas.microsoft.com/office/drawing/2014/main" id="{00000000-0008-0000-1000-000075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8" name="Line 29">
          <a:extLst>
            <a:ext uri="{FF2B5EF4-FFF2-40B4-BE49-F238E27FC236}">
              <a16:creationId xmlns:a16="http://schemas.microsoft.com/office/drawing/2014/main" id="{00000000-0008-0000-1000-000076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9" name="Line 30">
          <a:extLst>
            <a:ext uri="{FF2B5EF4-FFF2-40B4-BE49-F238E27FC236}">
              <a16:creationId xmlns:a16="http://schemas.microsoft.com/office/drawing/2014/main" id="{00000000-0008-0000-1000-000077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0" name="Line 31">
          <a:extLst>
            <a:ext uri="{FF2B5EF4-FFF2-40B4-BE49-F238E27FC236}">
              <a16:creationId xmlns:a16="http://schemas.microsoft.com/office/drawing/2014/main" id="{00000000-0008-0000-1000-000078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1" name="Line 32">
          <a:extLst>
            <a:ext uri="{FF2B5EF4-FFF2-40B4-BE49-F238E27FC236}">
              <a16:creationId xmlns:a16="http://schemas.microsoft.com/office/drawing/2014/main" id="{00000000-0008-0000-1000-000079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2" name="Line 33">
          <a:extLst>
            <a:ext uri="{FF2B5EF4-FFF2-40B4-BE49-F238E27FC236}">
              <a16:creationId xmlns:a16="http://schemas.microsoft.com/office/drawing/2014/main" id="{00000000-0008-0000-1000-00007A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3" name="Line 34">
          <a:extLst>
            <a:ext uri="{FF2B5EF4-FFF2-40B4-BE49-F238E27FC236}">
              <a16:creationId xmlns:a16="http://schemas.microsoft.com/office/drawing/2014/main" id="{00000000-0008-0000-1000-00007B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4" name="Line 35">
          <a:extLst>
            <a:ext uri="{FF2B5EF4-FFF2-40B4-BE49-F238E27FC236}">
              <a16:creationId xmlns:a16="http://schemas.microsoft.com/office/drawing/2014/main" id="{00000000-0008-0000-1000-00007C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5" name="Line 36">
          <a:extLst>
            <a:ext uri="{FF2B5EF4-FFF2-40B4-BE49-F238E27FC236}">
              <a16:creationId xmlns:a16="http://schemas.microsoft.com/office/drawing/2014/main" id="{00000000-0008-0000-1000-00007D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6" name="Line 37">
          <a:extLst>
            <a:ext uri="{FF2B5EF4-FFF2-40B4-BE49-F238E27FC236}">
              <a16:creationId xmlns:a16="http://schemas.microsoft.com/office/drawing/2014/main" id="{00000000-0008-0000-1000-00007E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7" name="Line 38">
          <a:extLst>
            <a:ext uri="{FF2B5EF4-FFF2-40B4-BE49-F238E27FC236}">
              <a16:creationId xmlns:a16="http://schemas.microsoft.com/office/drawing/2014/main" id="{00000000-0008-0000-1000-00007F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8" name="Line 39">
          <a:extLst>
            <a:ext uri="{FF2B5EF4-FFF2-40B4-BE49-F238E27FC236}">
              <a16:creationId xmlns:a16="http://schemas.microsoft.com/office/drawing/2014/main" id="{00000000-0008-0000-1000-000080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29" name="Line 40">
          <a:extLst>
            <a:ext uri="{FF2B5EF4-FFF2-40B4-BE49-F238E27FC236}">
              <a16:creationId xmlns:a16="http://schemas.microsoft.com/office/drawing/2014/main" id="{00000000-0008-0000-1000-000081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30" name="Line 41">
          <a:extLst>
            <a:ext uri="{FF2B5EF4-FFF2-40B4-BE49-F238E27FC236}">
              <a16:creationId xmlns:a16="http://schemas.microsoft.com/office/drawing/2014/main" id="{00000000-0008-0000-1000-000082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31" name="Line 42">
          <a:extLst>
            <a:ext uri="{FF2B5EF4-FFF2-40B4-BE49-F238E27FC236}">
              <a16:creationId xmlns:a16="http://schemas.microsoft.com/office/drawing/2014/main" id="{00000000-0008-0000-1000-000083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32" name="Line 43">
          <a:extLst>
            <a:ext uri="{FF2B5EF4-FFF2-40B4-BE49-F238E27FC236}">
              <a16:creationId xmlns:a16="http://schemas.microsoft.com/office/drawing/2014/main" id="{00000000-0008-0000-1000-000084000000}"/>
            </a:ext>
          </a:extLst>
        </xdr:cNvPr>
        <xdr:cNvSpPr/>
      </xdr:nvSpPr>
      <xdr:spPr>
        <a:xfrm>
          <a:off x="3941775" y="2249901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2" name="Text Box 4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394177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2" name="Line 49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3" name="Line 50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4" name="Line 51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5" name="Line 52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6" name="Line 53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7" name="Line 54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8" name="Line 55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9" name="Line 56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0" name="Line 57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1" name="Line 58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2" name="Line 59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3" name="Line 60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4" name="Line 61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5" name="Line 62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6" name="Line 63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7" name="Line 64">
          <a:extLst>
            <a:ext uri="{FF2B5EF4-FFF2-40B4-BE49-F238E27FC236}">
              <a16:creationId xmlns:a16="http://schemas.microsoft.com/office/drawing/2014/main" id="{00000000-0008-0000-1000-000043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8" name="Line 65">
          <a:extLst>
            <a:ext uri="{FF2B5EF4-FFF2-40B4-BE49-F238E27FC236}">
              <a16:creationId xmlns:a16="http://schemas.microsoft.com/office/drawing/2014/main" id="{00000000-0008-0000-1000-000044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9" name="Line 66">
          <a:extLst>
            <a:ext uri="{FF2B5EF4-FFF2-40B4-BE49-F238E27FC236}">
              <a16:creationId xmlns:a16="http://schemas.microsoft.com/office/drawing/2014/main" id="{00000000-0008-0000-1000-000045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0" name="Line 67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1" name="Line 68">
          <a:extLst>
            <a:ext uri="{FF2B5EF4-FFF2-40B4-BE49-F238E27FC236}">
              <a16:creationId xmlns:a16="http://schemas.microsoft.com/office/drawing/2014/main" id="{00000000-0008-0000-1000-000047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2" name="Line 69">
          <a:extLst>
            <a:ext uri="{FF2B5EF4-FFF2-40B4-BE49-F238E27FC236}">
              <a16:creationId xmlns:a16="http://schemas.microsoft.com/office/drawing/2014/main" id="{00000000-0008-0000-1000-000048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3" name="Line 70">
          <a:extLst>
            <a:ext uri="{FF2B5EF4-FFF2-40B4-BE49-F238E27FC236}">
              <a16:creationId xmlns:a16="http://schemas.microsoft.com/office/drawing/2014/main" id="{00000000-0008-0000-1000-000049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4" name="Line 71">
          <a:extLst>
            <a:ext uri="{FF2B5EF4-FFF2-40B4-BE49-F238E27FC236}">
              <a16:creationId xmlns:a16="http://schemas.microsoft.com/office/drawing/2014/main" id="{00000000-0008-0000-1000-00004A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5" name="Line 72">
          <a:extLst>
            <a:ext uri="{FF2B5EF4-FFF2-40B4-BE49-F238E27FC236}">
              <a16:creationId xmlns:a16="http://schemas.microsoft.com/office/drawing/2014/main" id="{00000000-0008-0000-1000-00004B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6" name="Line 73">
          <a:extLst>
            <a:ext uri="{FF2B5EF4-FFF2-40B4-BE49-F238E27FC236}">
              <a16:creationId xmlns:a16="http://schemas.microsoft.com/office/drawing/2014/main" id="{00000000-0008-0000-1000-00004C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7" name="Line 74">
          <a:extLst>
            <a:ext uri="{FF2B5EF4-FFF2-40B4-BE49-F238E27FC236}">
              <a16:creationId xmlns:a16="http://schemas.microsoft.com/office/drawing/2014/main" id="{00000000-0008-0000-1000-00004D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8" name="Line 75">
          <a:extLst>
            <a:ext uri="{FF2B5EF4-FFF2-40B4-BE49-F238E27FC236}">
              <a16:creationId xmlns:a16="http://schemas.microsoft.com/office/drawing/2014/main" id="{00000000-0008-0000-1000-00004E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9" name="Line 76">
          <a:extLst>
            <a:ext uri="{FF2B5EF4-FFF2-40B4-BE49-F238E27FC236}">
              <a16:creationId xmlns:a16="http://schemas.microsoft.com/office/drawing/2014/main" id="{00000000-0008-0000-1000-00004F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0" name="Line 77">
          <a:extLst>
            <a:ext uri="{FF2B5EF4-FFF2-40B4-BE49-F238E27FC236}">
              <a16:creationId xmlns:a16="http://schemas.microsoft.com/office/drawing/2014/main" id="{00000000-0008-0000-1000-000050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1" name="Line 78">
          <a:extLst>
            <a:ext uri="{FF2B5EF4-FFF2-40B4-BE49-F238E27FC236}">
              <a16:creationId xmlns:a16="http://schemas.microsoft.com/office/drawing/2014/main" id="{00000000-0008-0000-1000-000051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2" name="Line 79">
          <a:extLst>
            <a:ext uri="{FF2B5EF4-FFF2-40B4-BE49-F238E27FC236}">
              <a16:creationId xmlns:a16="http://schemas.microsoft.com/office/drawing/2014/main" id="{00000000-0008-0000-1000-000052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3" name="Line 80">
          <a:extLst>
            <a:ext uri="{FF2B5EF4-FFF2-40B4-BE49-F238E27FC236}">
              <a16:creationId xmlns:a16="http://schemas.microsoft.com/office/drawing/2014/main" id="{00000000-0008-0000-1000-000053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4" name="Line 81">
          <a:extLst>
            <a:ext uri="{FF2B5EF4-FFF2-40B4-BE49-F238E27FC236}">
              <a16:creationId xmlns:a16="http://schemas.microsoft.com/office/drawing/2014/main" id="{00000000-0008-0000-1000-000054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5" name="Line 82">
          <a:extLst>
            <a:ext uri="{FF2B5EF4-FFF2-40B4-BE49-F238E27FC236}">
              <a16:creationId xmlns:a16="http://schemas.microsoft.com/office/drawing/2014/main" id="{00000000-0008-0000-1000-000055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6" name="Line 83">
          <a:extLst>
            <a:ext uri="{FF2B5EF4-FFF2-40B4-BE49-F238E27FC236}">
              <a16:creationId xmlns:a16="http://schemas.microsoft.com/office/drawing/2014/main" id="{00000000-0008-0000-1000-000056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7" name="Line 84">
          <a:extLst>
            <a:ext uri="{FF2B5EF4-FFF2-40B4-BE49-F238E27FC236}">
              <a16:creationId xmlns:a16="http://schemas.microsoft.com/office/drawing/2014/main" id="{00000000-0008-0000-1000-000057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8" name="Line 85">
          <a:extLst>
            <a:ext uri="{FF2B5EF4-FFF2-40B4-BE49-F238E27FC236}">
              <a16:creationId xmlns:a16="http://schemas.microsoft.com/office/drawing/2014/main" id="{00000000-0008-0000-1000-000058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89" name="Line 86">
          <a:extLst>
            <a:ext uri="{FF2B5EF4-FFF2-40B4-BE49-F238E27FC236}">
              <a16:creationId xmlns:a16="http://schemas.microsoft.com/office/drawing/2014/main" id="{00000000-0008-0000-1000-000059000000}"/>
            </a:ext>
          </a:extLst>
        </xdr:cNvPr>
        <xdr:cNvSpPr/>
      </xdr:nvSpPr>
      <xdr:spPr>
        <a:xfrm>
          <a:off x="3941775" y="2168938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394177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" name="Text Box 90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5" name="Text Box 9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6" name="Text Box 92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7" name="Text Box 93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8" name="Text Box 9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9" name="Text Box 95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0" name="Text Box 90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1" name="Text Box 91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" name="Text Box 92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" name="Text Box 93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" name="Text Box 94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" name="Text Box 95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" name="Text Box 90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" name="Text Box 91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" name="Text Box 92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" name="Text Box 93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" name="Text Box 94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" name="Text Box 95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" name="Text Box 90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" name="Text Box 91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" name="Text Box 92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" name="Text Box 93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" name="Text Box 94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" name="Text Box 95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" name="Text Box 90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" name="Text Box 91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0" name="Text Box 92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1" name="Text Box 93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2" name="Text Box 94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3" name="Text Box 95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4" name="Text Box 90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5" name="Text Box 91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6" name="Text Box 92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7" name="Text Box 93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8" name="Text Box 94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9" name="Text Box 95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0" name="Text Box 90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1" name="Text Box 91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2" name="Text Box 92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3" name="Text Box 93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4" name="Text Box 94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5" name="Text Box 95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6" name="Text Box 90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7" name="Text Box 91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8" name="Text Box 92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9" name="Text Box 93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50" name="Text Box 94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51" name="Text Box 95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3" name="Text Box 90">
          <a:extLst>
            <a:ext uri="{FF2B5EF4-FFF2-40B4-BE49-F238E27FC236}">
              <a16:creationId xmlns:a16="http://schemas.microsoft.com/office/drawing/2014/main" id="{25FF0695-60E0-4C59-96D7-0E8F1E27ED3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4" name="Text Box 91">
          <a:extLst>
            <a:ext uri="{FF2B5EF4-FFF2-40B4-BE49-F238E27FC236}">
              <a16:creationId xmlns:a16="http://schemas.microsoft.com/office/drawing/2014/main" id="{D2823C97-A513-4EAE-99C7-38154C6C834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5" name="Text Box 92">
          <a:extLst>
            <a:ext uri="{FF2B5EF4-FFF2-40B4-BE49-F238E27FC236}">
              <a16:creationId xmlns:a16="http://schemas.microsoft.com/office/drawing/2014/main" id="{54CCDC8E-9B3D-40C1-9637-38AEFA3ADE6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6" name="Text Box 93">
          <a:extLst>
            <a:ext uri="{FF2B5EF4-FFF2-40B4-BE49-F238E27FC236}">
              <a16:creationId xmlns:a16="http://schemas.microsoft.com/office/drawing/2014/main" id="{EC893439-59FC-44D9-A152-0C10379D63D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7" name="Text Box 94">
          <a:extLst>
            <a:ext uri="{FF2B5EF4-FFF2-40B4-BE49-F238E27FC236}">
              <a16:creationId xmlns:a16="http://schemas.microsoft.com/office/drawing/2014/main" id="{7B518435-A52C-4036-942A-C4E433F2E10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8" name="Text Box 95">
          <a:extLst>
            <a:ext uri="{FF2B5EF4-FFF2-40B4-BE49-F238E27FC236}">
              <a16:creationId xmlns:a16="http://schemas.microsoft.com/office/drawing/2014/main" id="{F192198D-C713-464D-8876-140BF5278F3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9" name="Text Box 90">
          <a:extLst>
            <a:ext uri="{FF2B5EF4-FFF2-40B4-BE49-F238E27FC236}">
              <a16:creationId xmlns:a16="http://schemas.microsoft.com/office/drawing/2014/main" id="{9CF999CB-1519-4A97-A71D-E6AFCF74546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0" name="Text Box 91">
          <a:extLst>
            <a:ext uri="{FF2B5EF4-FFF2-40B4-BE49-F238E27FC236}">
              <a16:creationId xmlns:a16="http://schemas.microsoft.com/office/drawing/2014/main" id="{F5F92602-36DE-441A-BCBB-68568F12B29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1" name="Text Box 92">
          <a:extLst>
            <a:ext uri="{FF2B5EF4-FFF2-40B4-BE49-F238E27FC236}">
              <a16:creationId xmlns:a16="http://schemas.microsoft.com/office/drawing/2014/main" id="{62EAD25E-3111-4442-AF64-7B154FFD775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2" name="Text Box 93">
          <a:extLst>
            <a:ext uri="{FF2B5EF4-FFF2-40B4-BE49-F238E27FC236}">
              <a16:creationId xmlns:a16="http://schemas.microsoft.com/office/drawing/2014/main" id="{C250B515-623B-4153-BD32-13F52DDA685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3" name="Text Box 94">
          <a:extLst>
            <a:ext uri="{FF2B5EF4-FFF2-40B4-BE49-F238E27FC236}">
              <a16:creationId xmlns:a16="http://schemas.microsoft.com/office/drawing/2014/main" id="{9B3DAB42-2504-48BF-8C78-148A5A62612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4" name="Text Box 95">
          <a:extLst>
            <a:ext uri="{FF2B5EF4-FFF2-40B4-BE49-F238E27FC236}">
              <a16:creationId xmlns:a16="http://schemas.microsoft.com/office/drawing/2014/main" id="{E0337215-784C-422A-B646-4642F4A1C17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5" name="Text Box 90">
          <a:extLst>
            <a:ext uri="{FF2B5EF4-FFF2-40B4-BE49-F238E27FC236}">
              <a16:creationId xmlns:a16="http://schemas.microsoft.com/office/drawing/2014/main" id="{DAB82106-C126-4A31-9F92-00B9A7BD1F8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6" name="Text Box 91">
          <a:extLst>
            <a:ext uri="{FF2B5EF4-FFF2-40B4-BE49-F238E27FC236}">
              <a16:creationId xmlns:a16="http://schemas.microsoft.com/office/drawing/2014/main" id="{D23E0B31-AC49-4E69-93E8-37800C76816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7" name="Text Box 92">
          <a:extLst>
            <a:ext uri="{FF2B5EF4-FFF2-40B4-BE49-F238E27FC236}">
              <a16:creationId xmlns:a16="http://schemas.microsoft.com/office/drawing/2014/main" id="{7255CB94-AC4B-4D98-9C2F-8C824603E2C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8" name="Text Box 93">
          <a:extLst>
            <a:ext uri="{FF2B5EF4-FFF2-40B4-BE49-F238E27FC236}">
              <a16:creationId xmlns:a16="http://schemas.microsoft.com/office/drawing/2014/main" id="{B35E51C6-2B02-4688-BA19-415E99A8786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9" name="Text Box 94">
          <a:extLst>
            <a:ext uri="{FF2B5EF4-FFF2-40B4-BE49-F238E27FC236}">
              <a16:creationId xmlns:a16="http://schemas.microsoft.com/office/drawing/2014/main" id="{66B40819-8C0F-467E-9D2B-F172861076E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0" name="Text Box 95">
          <a:extLst>
            <a:ext uri="{FF2B5EF4-FFF2-40B4-BE49-F238E27FC236}">
              <a16:creationId xmlns:a16="http://schemas.microsoft.com/office/drawing/2014/main" id="{13D28A98-5EA1-4AF6-8A09-8844DE79D28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1" name="Text Box 90">
          <a:extLst>
            <a:ext uri="{FF2B5EF4-FFF2-40B4-BE49-F238E27FC236}">
              <a16:creationId xmlns:a16="http://schemas.microsoft.com/office/drawing/2014/main" id="{406B0277-C0A1-43E0-9FCB-9FABEA27E63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2" name="Text Box 91">
          <a:extLst>
            <a:ext uri="{FF2B5EF4-FFF2-40B4-BE49-F238E27FC236}">
              <a16:creationId xmlns:a16="http://schemas.microsoft.com/office/drawing/2014/main" id="{2987768A-129E-4B74-97C6-2620459BC72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3" name="Text Box 92">
          <a:extLst>
            <a:ext uri="{FF2B5EF4-FFF2-40B4-BE49-F238E27FC236}">
              <a16:creationId xmlns:a16="http://schemas.microsoft.com/office/drawing/2014/main" id="{163B7B86-1CBD-4D73-8F55-30B69953539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4" name="Text Box 93">
          <a:extLst>
            <a:ext uri="{FF2B5EF4-FFF2-40B4-BE49-F238E27FC236}">
              <a16:creationId xmlns:a16="http://schemas.microsoft.com/office/drawing/2014/main" id="{8466E858-DB9D-470D-911A-7BF375BE654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5" name="Text Box 94">
          <a:extLst>
            <a:ext uri="{FF2B5EF4-FFF2-40B4-BE49-F238E27FC236}">
              <a16:creationId xmlns:a16="http://schemas.microsoft.com/office/drawing/2014/main" id="{94E92D58-D870-482D-9B71-7D54552FE63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6" name="Text Box 95">
          <a:extLst>
            <a:ext uri="{FF2B5EF4-FFF2-40B4-BE49-F238E27FC236}">
              <a16:creationId xmlns:a16="http://schemas.microsoft.com/office/drawing/2014/main" id="{341F092F-B308-445F-BB0E-897B3181040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7" name="Text Box 90">
          <a:extLst>
            <a:ext uri="{FF2B5EF4-FFF2-40B4-BE49-F238E27FC236}">
              <a16:creationId xmlns:a16="http://schemas.microsoft.com/office/drawing/2014/main" id="{938131D8-950E-4576-BF1D-94CE04413F2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8" name="Text Box 91">
          <a:extLst>
            <a:ext uri="{FF2B5EF4-FFF2-40B4-BE49-F238E27FC236}">
              <a16:creationId xmlns:a16="http://schemas.microsoft.com/office/drawing/2014/main" id="{AD082933-5FBE-4E5F-8426-05729E8BBAA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9" name="Text Box 92">
          <a:extLst>
            <a:ext uri="{FF2B5EF4-FFF2-40B4-BE49-F238E27FC236}">
              <a16:creationId xmlns:a16="http://schemas.microsoft.com/office/drawing/2014/main" id="{BBC8B08E-6733-4EA7-8D7B-3FFFD244E14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0" name="Text Box 93">
          <a:extLst>
            <a:ext uri="{FF2B5EF4-FFF2-40B4-BE49-F238E27FC236}">
              <a16:creationId xmlns:a16="http://schemas.microsoft.com/office/drawing/2014/main" id="{058DD1BF-981E-4052-AE49-65CCED7A5811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1" name="Text Box 94">
          <a:extLst>
            <a:ext uri="{FF2B5EF4-FFF2-40B4-BE49-F238E27FC236}">
              <a16:creationId xmlns:a16="http://schemas.microsoft.com/office/drawing/2014/main" id="{56213262-740E-4D5D-A639-C7B21C3A4A6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2" name="Text Box 95">
          <a:extLst>
            <a:ext uri="{FF2B5EF4-FFF2-40B4-BE49-F238E27FC236}">
              <a16:creationId xmlns:a16="http://schemas.microsoft.com/office/drawing/2014/main" id="{78FD5085-2946-4711-8C1A-E06F17664CF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3" name="Text Box 90">
          <a:extLst>
            <a:ext uri="{FF2B5EF4-FFF2-40B4-BE49-F238E27FC236}">
              <a16:creationId xmlns:a16="http://schemas.microsoft.com/office/drawing/2014/main" id="{97FB2FB2-3427-49C5-BE5D-CAFE3AA19EA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4" name="Text Box 91">
          <a:extLst>
            <a:ext uri="{FF2B5EF4-FFF2-40B4-BE49-F238E27FC236}">
              <a16:creationId xmlns:a16="http://schemas.microsoft.com/office/drawing/2014/main" id="{BB31C77D-3AD1-4C35-9B8D-C69B1AA3050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5" name="Text Box 92">
          <a:extLst>
            <a:ext uri="{FF2B5EF4-FFF2-40B4-BE49-F238E27FC236}">
              <a16:creationId xmlns:a16="http://schemas.microsoft.com/office/drawing/2014/main" id="{A42FB866-1923-48F5-912C-9ABBAD26907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6" name="Text Box 93">
          <a:extLst>
            <a:ext uri="{FF2B5EF4-FFF2-40B4-BE49-F238E27FC236}">
              <a16:creationId xmlns:a16="http://schemas.microsoft.com/office/drawing/2014/main" id="{4FCEBA53-4C44-4908-A40E-E39F241A0E0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7" name="Text Box 94">
          <a:extLst>
            <a:ext uri="{FF2B5EF4-FFF2-40B4-BE49-F238E27FC236}">
              <a16:creationId xmlns:a16="http://schemas.microsoft.com/office/drawing/2014/main" id="{70AD6C2B-54FB-44C5-8A24-CB07AD394C5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8" name="Text Box 95">
          <a:extLst>
            <a:ext uri="{FF2B5EF4-FFF2-40B4-BE49-F238E27FC236}">
              <a16:creationId xmlns:a16="http://schemas.microsoft.com/office/drawing/2014/main" id="{D31C2228-10F3-4F64-A743-8F949509A94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9" name="Text Box 90">
          <a:extLst>
            <a:ext uri="{FF2B5EF4-FFF2-40B4-BE49-F238E27FC236}">
              <a16:creationId xmlns:a16="http://schemas.microsoft.com/office/drawing/2014/main" id="{FCE3F4F4-1AFB-45B3-8C89-4CD6E407653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0" name="Text Box 91">
          <a:extLst>
            <a:ext uri="{FF2B5EF4-FFF2-40B4-BE49-F238E27FC236}">
              <a16:creationId xmlns:a16="http://schemas.microsoft.com/office/drawing/2014/main" id="{FBACF344-3B11-4CE5-8DA4-827C08834B9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1" name="Text Box 92">
          <a:extLst>
            <a:ext uri="{FF2B5EF4-FFF2-40B4-BE49-F238E27FC236}">
              <a16:creationId xmlns:a16="http://schemas.microsoft.com/office/drawing/2014/main" id="{69D74F25-B0B9-4AE5-ADA4-6DBE85CDB3E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2" name="Text Box 93">
          <a:extLst>
            <a:ext uri="{FF2B5EF4-FFF2-40B4-BE49-F238E27FC236}">
              <a16:creationId xmlns:a16="http://schemas.microsoft.com/office/drawing/2014/main" id="{4FBBDBF6-39E7-4786-9D93-A4A80F0AB32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3" name="Text Box 94">
          <a:extLst>
            <a:ext uri="{FF2B5EF4-FFF2-40B4-BE49-F238E27FC236}">
              <a16:creationId xmlns:a16="http://schemas.microsoft.com/office/drawing/2014/main" id="{49114259-5757-482A-88AB-6C18EC32EB8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4" name="Text Box 95">
          <a:extLst>
            <a:ext uri="{FF2B5EF4-FFF2-40B4-BE49-F238E27FC236}">
              <a16:creationId xmlns:a16="http://schemas.microsoft.com/office/drawing/2014/main" id="{18C22416-8E5E-4DA3-BEDD-D6F8B9117ED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75" name="Text Box 90">
          <a:extLst>
            <a:ext uri="{FF2B5EF4-FFF2-40B4-BE49-F238E27FC236}">
              <a16:creationId xmlns:a16="http://schemas.microsoft.com/office/drawing/2014/main" id="{55DB38FC-AA6D-4CC5-A60E-1ABE36058D1F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76" name="Text Box 91">
          <a:extLst>
            <a:ext uri="{FF2B5EF4-FFF2-40B4-BE49-F238E27FC236}">
              <a16:creationId xmlns:a16="http://schemas.microsoft.com/office/drawing/2014/main" id="{F1E6E82B-A8BA-42EE-8952-EC18B4E9C3C3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77" name="Text Box 92">
          <a:extLst>
            <a:ext uri="{FF2B5EF4-FFF2-40B4-BE49-F238E27FC236}">
              <a16:creationId xmlns:a16="http://schemas.microsoft.com/office/drawing/2014/main" id="{65D9A5F0-1D2C-441E-9B36-DD8886402D6D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78" name="Text Box 93">
          <a:extLst>
            <a:ext uri="{FF2B5EF4-FFF2-40B4-BE49-F238E27FC236}">
              <a16:creationId xmlns:a16="http://schemas.microsoft.com/office/drawing/2014/main" id="{EAE976E7-B08A-4D73-B6B6-47E071C60BB3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79" name="Text Box 94">
          <a:extLst>
            <a:ext uri="{FF2B5EF4-FFF2-40B4-BE49-F238E27FC236}">
              <a16:creationId xmlns:a16="http://schemas.microsoft.com/office/drawing/2014/main" id="{50C8B1F5-64E4-4DCA-A7C4-EB56389E8BA5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80" name="Text Box 95">
          <a:extLst>
            <a:ext uri="{FF2B5EF4-FFF2-40B4-BE49-F238E27FC236}">
              <a16:creationId xmlns:a16="http://schemas.microsoft.com/office/drawing/2014/main" id="{F59CFDFD-5091-4747-B240-27A61A521822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81" name="Text Box 90">
          <a:extLst>
            <a:ext uri="{FF2B5EF4-FFF2-40B4-BE49-F238E27FC236}">
              <a16:creationId xmlns:a16="http://schemas.microsoft.com/office/drawing/2014/main" id="{AD05A851-CD03-41ED-8439-04986C05E89D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82" name="Text Box 91">
          <a:extLst>
            <a:ext uri="{FF2B5EF4-FFF2-40B4-BE49-F238E27FC236}">
              <a16:creationId xmlns:a16="http://schemas.microsoft.com/office/drawing/2014/main" id="{5FBBBB9D-1EE4-4DF9-9D00-EB110097CA5D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83" name="Text Box 92">
          <a:extLst>
            <a:ext uri="{FF2B5EF4-FFF2-40B4-BE49-F238E27FC236}">
              <a16:creationId xmlns:a16="http://schemas.microsoft.com/office/drawing/2014/main" id="{798A879A-5CAF-4210-AAD7-435EE74EBF23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84" name="Text Box 93">
          <a:extLst>
            <a:ext uri="{FF2B5EF4-FFF2-40B4-BE49-F238E27FC236}">
              <a16:creationId xmlns:a16="http://schemas.microsoft.com/office/drawing/2014/main" id="{CC7726DB-5633-4170-85C1-F167C634704F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85" name="Text Box 94">
          <a:extLst>
            <a:ext uri="{FF2B5EF4-FFF2-40B4-BE49-F238E27FC236}">
              <a16:creationId xmlns:a16="http://schemas.microsoft.com/office/drawing/2014/main" id="{2B90ED3D-F874-4635-A577-7D31CDF8FCF9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86" name="Text Box 95">
          <a:extLst>
            <a:ext uri="{FF2B5EF4-FFF2-40B4-BE49-F238E27FC236}">
              <a16:creationId xmlns:a16="http://schemas.microsoft.com/office/drawing/2014/main" id="{BBD33AF1-7FBC-43A4-A2A4-8D0A551122C8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87" name="Text Box 90">
          <a:extLst>
            <a:ext uri="{FF2B5EF4-FFF2-40B4-BE49-F238E27FC236}">
              <a16:creationId xmlns:a16="http://schemas.microsoft.com/office/drawing/2014/main" id="{DCA94A85-34A1-42A2-BFD3-35FB33808586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88" name="Text Box 91">
          <a:extLst>
            <a:ext uri="{FF2B5EF4-FFF2-40B4-BE49-F238E27FC236}">
              <a16:creationId xmlns:a16="http://schemas.microsoft.com/office/drawing/2014/main" id="{6460D3FC-AC4E-4590-8379-B469789B4D23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89" name="Text Box 92">
          <a:extLst>
            <a:ext uri="{FF2B5EF4-FFF2-40B4-BE49-F238E27FC236}">
              <a16:creationId xmlns:a16="http://schemas.microsoft.com/office/drawing/2014/main" id="{25D4A8A4-D212-4C80-B78A-A929DF8AA1D6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90" name="Text Box 93">
          <a:extLst>
            <a:ext uri="{FF2B5EF4-FFF2-40B4-BE49-F238E27FC236}">
              <a16:creationId xmlns:a16="http://schemas.microsoft.com/office/drawing/2014/main" id="{F103D546-78A8-4F41-84ED-CF2005E027AD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91" name="Text Box 94">
          <a:extLst>
            <a:ext uri="{FF2B5EF4-FFF2-40B4-BE49-F238E27FC236}">
              <a16:creationId xmlns:a16="http://schemas.microsoft.com/office/drawing/2014/main" id="{0809C5AF-41AE-41E6-9F52-2A7EB706BFFA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92" name="Text Box 95">
          <a:extLst>
            <a:ext uri="{FF2B5EF4-FFF2-40B4-BE49-F238E27FC236}">
              <a16:creationId xmlns:a16="http://schemas.microsoft.com/office/drawing/2014/main" id="{DA4273D9-F928-4C28-B2FF-35A0511A0B07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93" name="Text Box 90">
          <a:extLst>
            <a:ext uri="{FF2B5EF4-FFF2-40B4-BE49-F238E27FC236}">
              <a16:creationId xmlns:a16="http://schemas.microsoft.com/office/drawing/2014/main" id="{D2BF7501-7C85-44FC-B44B-57E755FF14F9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94" name="Text Box 91">
          <a:extLst>
            <a:ext uri="{FF2B5EF4-FFF2-40B4-BE49-F238E27FC236}">
              <a16:creationId xmlns:a16="http://schemas.microsoft.com/office/drawing/2014/main" id="{941F5A8D-8296-4E44-A4C6-E906FEC7F7F9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95" name="Text Box 92">
          <a:extLst>
            <a:ext uri="{FF2B5EF4-FFF2-40B4-BE49-F238E27FC236}">
              <a16:creationId xmlns:a16="http://schemas.microsoft.com/office/drawing/2014/main" id="{E2159D22-6AB6-4254-A41A-90522CC7378A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96" name="Text Box 93">
          <a:extLst>
            <a:ext uri="{FF2B5EF4-FFF2-40B4-BE49-F238E27FC236}">
              <a16:creationId xmlns:a16="http://schemas.microsoft.com/office/drawing/2014/main" id="{1724A46B-0314-4D7E-A047-2C8E969ABFFE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97" name="Text Box 94">
          <a:extLst>
            <a:ext uri="{FF2B5EF4-FFF2-40B4-BE49-F238E27FC236}">
              <a16:creationId xmlns:a16="http://schemas.microsoft.com/office/drawing/2014/main" id="{C735E1D5-EBF2-43C6-AF27-CE31AE7D1F00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98" name="Text Box 95">
          <a:extLst>
            <a:ext uri="{FF2B5EF4-FFF2-40B4-BE49-F238E27FC236}">
              <a16:creationId xmlns:a16="http://schemas.microsoft.com/office/drawing/2014/main" id="{6BCCB8EC-1ADB-47DE-8A83-21E781EC9D86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199" name="Text Box 90">
          <a:extLst>
            <a:ext uri="{FF2B5EF4-FFF2-40B4-BE49-F238E27FC236}">
              <a16:creationId xmlns:a16="http://schemas.microsoft.com/office/drawing/2014/main" id="{5FE9AC39-1855-4C21-856C-01AF95FADD7F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00" name="Text Box 91">
          <a:extLst>
            <a:ext uri="{FF2B5EF4-FFF2-40B4-BE49-F238E27FC236}">
              <a16:creationId xmlns:a16="http://schemas.microsoft.com/office/drawing/2014/main" id="{792D2A2D-5E63-4D78-8278-81F7A6E3688F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01" name="Text Box 92">
          <a:extLst>
            <a:ext uri="{FF2B5EF4-FFF2-40B4-BE49-F238E27FC236}">
              <a16:creationId xmlns:a16="http://schemas.microsoft.com/office/drawing/2014/main" id="{DE2EC573-35E7-4D27-85D8-DA6C0FF9170A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02" name="Text Box 93">
          <a:extLst>
            <a:ext uri="{FF2B5EF4-FFF2-40B4-BE49-F238E27FC236}">
              <a16:creationId xmlns:a16="http://schemas.microsoft.com/office/drawing/2014/main" id="{2317A0B9-DFA0-4E53-95A7-8F8D5DD608C3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03" name="Text Box 94">
          <a:extLst>
            <a:ext uri="{FF2B5EF4-FFF2-40B4-BE49-F238E27FC236}">
              <a16:creationId xmlns:a16="http://schemas.microsoft.com/office/drawing/2014/main" id="{0FF54DE7-2270-470C-8E4C-F499DBF1FF2C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04" name="Text Box 95">
          <a:extLst>
            <a:ext uri="{FF2B5EF4-FFF2-40B4-BE49-F238E27FC236}">
              <a16:creationId xmlns:a16="http://schemas.microsoft.com/office/drawing/2014/main" id="{B63CCDC7-AD15-4205-8F5F-03EDF107F396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05" name="Text Box 90">
          <a:extLst>
            <a:ext uri="{FF2B5EF4-FFF2-40B4-BE49-F238E27FC236}">
              <a16:creationId xmlns:a16="http://schemas.microsoft.com/office/drawing/2014/main" id="{202E4B52-9ECE-432C-B870-A8C0E7C3DC31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06" name="Text Box 91">
          <a:extLst>
            <a:ext uri="{FF2B5EF4-FFF2-40B4-BE49-F238E27FC236}">
              <a16:creationId xmlns:a16="http://schemas.microsoft.com/office/drawing/2014/main" id="{3201B630-15B7-44FB-BC64-CFE1E2B841C8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07" name="Text Box 92">
          <a:extLst>
            <a:ext uri="{FF2B5EF4-FFF2-40B4-BE49-F238E27FC236}">
              <a16:creationId xmlns:a16="http://schemas.microsoft.com/office/drawing/2014/main" id="{43A5D2CA-A8F4-4DCD-AE32-206BD3DADE37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08" name="Text Box 93">
          <a:extLst>
            <a:ext uri="{FF2B5EF4-FFF2-40B4-BE49-F238E27FC236}">
              <a16:creationId xmlns:a16="http://schemas.microsoft.com/office/drawing/2014/main" id="{99E98E2E-44E4-407A-9856-47AC5CD03FD4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09" name="Text Box 94">
          <a:extLst>
            <a:ext uri="{FF2B5EF4-FFF2-40B4-BE49-F238E27FC236}">
              <a16:creationId xmlns:a16="http://schemas.microsoft.com/office/drawing/2014/main" id="{C2D4C0C1-0707-49D5-B680-0F267A256AEB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10" name="Text Box 95">
          <a:extLst>
            <a:ext uri="{FF2B5EF4-FFF2-40B4-BE49-F238E27FC236}">
              <a16:creationId xmlns:a16="http://schemas.microsoft.com/office/drawing/2014/main" id="{BC7DBA56-8463-4A8B-9FE7-6F9677A5374E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11" name="Text Box 90">
          <a:extLst>
            <a:ext uri="{FF2B5EF4-FFF2-40B4-BE49-F238E27FC236}">
              <a16:creationId xmlns:a16="http://schemas.microsoft.com/office/drawing/2014/main" id="{335CE6FC-00D3-49B4-90BC-1BA1A942B6BA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12" name="Text Box 91">
          <a:extLst>
            <a:ext uri="{FF2B5EF4-FFF2-40B4-BE49-F238E27FC236}">
              <a16:creationId xmlns:a16="http://schemas.microsoft.com/office/drawing/2014/main" id="{8B1F906C-CDB7-4376-8650-E017A6FEAD0C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13" name="Text Box 92">
          <a:extLst>
            <a:ext uri="{FF2B5EF4-FFF2-40B4-BE49-F238E27FC236}">
              <a16:creationId xmlns:a16="http://schemas.microsoft.com/office/drawing/2014/main" id="{FFF15A94-FB3E-495C-B532-0B48B3B3084B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14" name="Text Box 93">
          <a:extLst>
            <a:ext uri="{FF2B5EF4-FFF2-40B4-BE49-F238E27FC236}">
              <a16:creationId xmlns:a16="http://schemas.microsoft.com/office/drawing/2014/main" id="{C919F3F8-589B-4AD8-B639-ECA5D7F8C1E9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15" name="Text Box 94">
          <a:extLst>
            <a:ext uri="{FF2B5EF4-FFF2-40B4-BE49-F238E27FC236}">
              <a16:creationId xmlns:a16="http://schemas.microsoft.com/office/drawing/2014/main" id="{68346AFC-4062-4CBD-B735-485560A9281E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51560"/>
    <xdr:sp macro="" textlink="">
      <xdr:nvSpPr>
        <xdr:cNvPr id="216" name="Text Box 95">
          <a:extLst>
            <a:ext uri="{FF2B5EF4-FFF2-40B4-BE49-F238E27FC236}">
              <a16:creationId xmlns:a16="http://schemas.microsoft.com/office/drawing/2014/main" id="{678F0539-711C-4B50-87C9-F3DA43E4E4F3}"/>
            </a:ext>
          </a:extLst>
        </xdr:cNvPr>
        <xdr:cNvSpPr/>
      </xdr:nvSpPr>
      <xdr:spPr>
        <a:xfrm>
          <a:off x="3941775" y="1819695"/>
          <a:ext cx="0" cy="1515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7" name="Text Box 90">
          <a:extLst>
            <a:ext uri="{FF2B5EF4-FFF2-40B4-BE49-F238E27FC236}">
              <a16:creationId xmlns:a16="http://schemas.microsoft.com/office/drawing/2014/main" id="{FEDA76AC-50B6-4F47-9F51-C154D236BDE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8" name="Text Box 91">
          <a:extLst>
            <a:ext uri="{FF2B5EF4-FFF2-40B4-BE49-F238E27FC236}">
              <a16:creationId xmlns:a16="http://schemas.microsoft.com/office/drawing/2014/main" id="{94030265-C413-4A2C-A9E8-C74937C780C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9" name="Text Box 92">
          <a:extLst>
            <a:ext uri="{FF2B5EF4-FFF2-40B4-BE49-F238E27FC236}">
              <a16:creationId xmlns:a16="http://schemas.microsoft.com/office/drawing/2014/main" id="{8F13B056-25D8-4682-9B2C-303C00BB8D81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0" name="Text Box 93">
          <a:extLst>
            <a:ext uri="{FF2B5EF4-FFF2-40B4-BE49-F238E27FC236}">
              <a16:creationId xmlns:a16="http://schemas.microsoft.com/office/drawing/2014/main" id="{4B55989D-CCD0-4B17-B462-5205B776319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1" name="Text Box 94">
          <a:extLst>
            <a:ext uri="{FF2B5EF4-FFF2-40B4-BE49-F238E27FC236}">
              <a16:creationId xmlns:a16="http://schemas.microsoft.com/office/drawing/2014/main" id="{F4D6C6C2-2089-4F09-B900-AF1630FA460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2" name="Text Box 95">
          <a:extLst>
            <a:ext uri="{FF2B5EF4-FFF2-40B4-BE49-F238E27FC236}">
              <a16:creationId xmlns:a16="http://schemas.microsoft.com/office/drawing/2014/main" id="{72759D00-32D5-4AA0-93FD-D3E2519A3D5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3" name="Text Box 90">
          <a:extLst>
            <a:ext uri="{FF2B5EF4-FFF2-40B4-BE49-F238E27FC236}">
              <a16:creationId xmlns:a16="http://schemas.microsoft.com/office/drawing/2014/main" id="{49876EE5-82C2-4B1A-B05F-B040E0A22BEA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4" name="Text Box 91">
          <a:extLst>
            <a:ext uri="{FF2B5EF4-FFF2-40B4-BE49-F238E27FC236}">
              <a16:creationId xmlns:a16="http://schemas.microsoft.com/office/drawing/2014/main" id="{8FDCF753-A7B5-44B2-9965-D861A485A57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5" name="Text Box 92">
          <a:extLst>
            <a:ext uri="{FF2B5EF4-FFF2-40B4-BE49-F238E27FC236}">
              <a16:creationId xmlns:a16="http://schemas.microsoft.com/office/drawing/2014/main" id="{40609EFE-3D38-4625-929C-1474E1BFEF1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6" name="Text Box 93">
          <a:extLst>
            <a:ext uri="{FF2B5EF4-FFF2-40B4-BE49-F238E27FC236}">
              <a16:creationId xmlns:a16="http://schemas.microsoft.com/office/drawing/2014/main" id="{F0C697DF-02EA-4198-B682-F478DE259E0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7" name="Text Box 94">
          <a:extLst>
            <a:ext uri="{FF2B5EF4-FFF2-40B4-BE49-F238E27FC236}">
              <a16:creationId xmlns:a16="http://schemas.microsoft.com/office/drawing/2014/main" id="{F3B67C2E-5FCA-4D56-88A5-35CF2886ED6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8" name="Text Box 95">
          <a:extLst>
            <a:ext uri="{FF2B5EF4-FFF2-40B4-BE49-F238E27FC236}">
              <a16:creationId xmlns:a16="http://schemas.microsoft.com/office/drawing/2014/main" id="{4C7C8930-0B9F-4CD7-AC7D-8C911943C7B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9" name="Text Box 90">
          <a:extLst>
            <a:ext uri="{FF2B5EF4-FFF2-40B4-BE49-F238E27FC236}">
              <a16:creationId xmlns:a16="http://schemas.microsoft.com/office/drawing/2014/main" id="{EA914937-4A10-4C4B-B690-5D90C413B06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0" name="Text Box 91">
          <a:extLst>
            <a:ext uri="{FF2B5EF4-FFF2-40B4-BE49-F238E27FC236}">
              <a16:creationId xmlns:a16="http://schemas.microsoft.com/office/drawing/2014/main" id="{9F3A9580-6413-4803-88EB-9C496F83AD8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1" name="Text Box 92">
          <a:extLst>
            <a:ext uri="{FF2B5EF4-FFF2-40B4-BE49-F238E27FC236}">
              <a16:creationId xmlns:a16="http://schemas.microsoft.com/office/drawing/2014/main" id="{BA2028E6-61CB-4233-9A4F-365AEC6CEC9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2" name="Text Box 93">
          <a:extLst>
            <a:ext uri="{FF2B5EF4-FFF2-40B4-BE49-F238E27FC236}">
              <a16:creationId xmlns:a16="http://schemas.microsoft.com/office/drawing/2014/main" id="{686A6C01-EF65-4A21-8EC4-C3272D4F1CF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3" name="Text Box 94">
          <a:extLst>
            <a:ext uri="{FF2B5EF4-FFF2-40B4-BE49-F238E27FC236}">
              <a16:creationId xmlns:a16="http://schemas.microsoft.com/office/drawing/2014/main" id="{DAEF7DE5-FEDD-4BA9-9AAA-A8B20AEDEC2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4" name="Text Box 95">
          <a:extLst>
            <a:ext uri="{FF2B5EF4-FFF2-40B4-BE49-F238E27FC236}">
              <a16:creationId xmlns:a16="http://schemas.microsoft.com/office/drawing/2014/main" id="{632446C2-465C-4A53-8644-9C3220C961A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5" name="Text Box 90">
          <a:extLst>
            <a:ext uri="{FF2B5EF4-FFF2-40B4-BE49-F238E27FC236}">
              <a16:creationId xmlns:a16="http://schemas.microsoft.com/office/drawing/2014/main" id="{8EA42C39-2588-498F-840A-4D359E8EF61A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6" name="Text Box 91">
          <a:extLst>
            <a:ext uri="{FF2B5EF4-FFF2-40B4-BE49-F238E27FC236}">
              <a16:creationId xmlns:a16="http://schemas.microsoft.com/office/drawing/2014/main" id="{71B60D8E-C6AB-41B6-A33A-50ABCAF2C82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7" name="Text Box 92">
          <a:extLst>
            <a:ext uri="{FF2B5EF4-FFF2-40B4-BE49-F238E27FC236}">
              <a16:creationId xmlns:a16="http://schemas.microsoft.com/office/drawing/2014/main" id="{83906C06-9900-4D13-959C-C771C8D51CD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8" name="Text Box 93">
          <a:extLst>
            <a:ext uri="{FF2B5EF4-FFF2-40B4-BE49-F238E27FC236}">
              <a16:creationId xmlns:a16="http://schemas.microsoft.com/office/drawing/2014/main" id="{5D0FB963-AEC6-4300-A67D-C5691C5BABE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9" name="Text Box 94">
          <a:extLst>
            <a:ext uri="{FF2B5EF4-FFF2-40B4-BE49-F238E27FC236}">
              <a16:creationId xmlns:a16="http://schemas.microsoft.com/office/drawing/2014/main" id="{8931E4DA-B00F-48F8-BEFC-CBED51EE059A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0" name="Text Box 95">
          <a:extLst>
            <a:ext uri="{FF2B5EF4-FFF2-40B4-BE49-F238E27FC236}">
              <a16:creationId xmlns:a16="http://schemas.microsoft.com/office/drawing/2014/main" id="{AA84D8FC-85D9-41DA-95E7-CD2DBC3C1FD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1" name="Text Box 90">
          <a:extLst>
            <a:ext uri="{FF2B5EF4-FFF2-40B4-BE49-F238E27FC236}">
              <a16:creationId xmlns:a16="http://schemas.microsoft.com/office/drawing/2014/main" id="{0642CE7E-8ABC-4A24-A794-759F9C42462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2" name="Text Box 91">
          <a:extLst>
            <a:ext uri="{FF2B5EF4-FFF2-40B4-BE49-F238E27FC236}">
              <a16:creationId xmlns:a16="http://schemas.microsoft.com/office/drawing/2014/main" id="{58A75079-6A39-436F-9C36-8028685EC03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3" name="Text Box 92">
          <a:extLst>
            <a:ext uri="{FF2B5EF4-FFF2-40B4-BE49-F238E27FC236}">
              <a16:creationId xmlns:a16="http://schemas.microsoft.com/office/drawing/2014/main" id="{19AE563A-897F-49C3-8422-DEF605E2A8A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4" name="Text Box 93">
          <a:extLst>
            <a:ext uri="{FF2B5EF4-FFF2-40B4-BE49-F238E27FC236}">
              <a16:creationId xmlns:a16="http://schemas.microsoft.com/office/drawing/2014/main" id="{A790A52D-192C-45B0-887F-C280B68D9E7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5" name="Text Box 94">
          <a:extLst>
            <a:ext uri="{FF2B5EF4-FFF2-40B4-BE49-F238E27FC236}">
              <a16:creationId xmlns:a16="http://schemas.microsoft.com/office/drawing/2014/main" id="{C8F8F992-7FC6-41E2-9C90-C6F6EA0DA2C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6" name="Text Box 95">
          <a:extLst>
            <a:ext uri="{FF2B5EF4-FFF2-40B4-BE49-F238E27FC236}">
              <a16:creationId xmlns:a16="http://schemas.microsoft.com/office/drawing/2014/main" id="{193D79E4-0F57-415E-B908-C1BA8510CF5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7" name="Text Box 90">
          <a:extLst>
            <a:ext uri="{FF2B5EF4-FFF2-40B4-BE49-F238E27FC236}">
              <a16:creationId xmlns:a16="http://schemas.microsoft.com/office/drawing/2014/main" id="{A141FE62-AD23-49C7-B9FF-01B148B2B60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8" name="Text Box 91">
          <a:extLst>
            <a:ext uri="{FF2B5EF4-FFF2-40B4-BE49-F238E27FC236}">
              <a16:creationId xmlns:a16="http://schemas.microsoft.com/office/drawing/2014/main" id="{EB5E7BD2-3E2F-4CC3-B1F0-FDAFC777919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9" name="Text Box 92">
          <a:extLst>
            <a:ext uri="{FF2B5EF4-FFF2-40B4-BE49-F238E27FC236}">
              <a16:creationId xmlns:a16="http://schemas.microsoft.com/office/drawing/2014/main" id="{48F6BAE3-4B94-4CBC-9FA3-EFFDFF921D5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0" name="Text Box 93">
          <a:extLst>
            <a:ext uri="{FF2B5EF4-FFF2-40B4-BE49-F238E27FC236}">
              <a16:creationId xmlns:a16="http://schemas.microsoft.com/office/drawing/2014/main" id="{EC100F58-AB18-4F8B-890F-9CB0B17C9A2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1" name="Text Box 94">
          <a:extLst>
            <a:ext uri="{FF2B5EF4-FFF2-40B4-BE49-F238E27FC236}">
              <a16:creationId xmlns:a16="http://schemas.microsoft.com/office/drawing/2014/main" id="{5AB9189B-AC27-45D4-9834-5FA4C88EC60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2" name="Text Box 95">
          <a:extLst>
            <a:ext uri="{FF2B5EF4-FFF2-40B4-BE49-F238E27FC236}">
              <a16:creationId xmlns:a16="http://schemas.microsoft.com/office/drawing/2014/main" id="{6F22E1DD-5489-4593-AE3D-A77CF5FBF52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3" name="Text Box 90">
          <a:extLst>
            <a:ext uri="{FF2B5EF4-FFF2-40B4-BE49-F238E27FC236}">
              <a16:creationId xmlns:a16="http://schemas.microsoft.com/office/drawing/2014/main" id="{46E7BDB1-4F67-41E7-90E1-2CF5FF243A7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4" name="Text Box 91">
          <a:extLst>
            <a:ext uri="{FF2B5EF4-FFF2-40B4-BE49-F238E27FC236}">
              <a16:creationId xmlns:a16="http://schemas.microsoft.com/office/drawing/2014/main" id="{01B53572-69BB-455F-9F83-25C9918C50E1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5" name="Text Box 92">
          <a:extLst>
            <a:ext uri="{FF2B5EF4-FFF2-40B4-BE49-F238E27FC236}">
              <a16:creationId xmlns:a16="http://schemas.microsoft.com/office/drawing/2014/main" id="{3C31A812-D2A5-4406-AF01-57CACC1A6F4A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6" name="Text Box 93">
          <a:extLst>
            <a:ext uri="{FF2B5EF4-FFF2-40B4-BE49-F238E27FC236}">
              <a16:creationId xmlns:a16="http://schemas.microsoft.com/office/drawing/2014/main" id="{5AF72055-0D67-43D7-81E3-F5F7C8150B7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7" name="Text Box 94">
          <a:extLst>
            <a:ext uri="{FF2B5EF4-FFF2-40B4-BE49-F238E27FC236}">
              <a16:creationId xmlns:a16="http://schemas.microsoft.com/office/drawing/2014/main" id="{F31F167F-0CD1-44F5-BCEE-6A127F6B91A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8" name="Text Box 95">
          <a:extLst>
            <a:ext uri="{FF2B5EF4-FFF2-40B4-BE49-F238E27FC236}">
              <a16:creationId xmlns:a16="http://schemas.microsoft.com/office/drawing/2014/main" id="{74424757-FD7F-46F4-AACF-B46B8230A30A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9" name="Text Box 90">
          <a:extLst>
            <a:ext uri="{FF2B5EF4-FFF2-40B4-BE49-F238E27FC236}">
              <a16:creationId xmlns:a16="http://schemas.microsoft.com/office/drawing/2014/main" id="{2664FE84-8B08-4575-BB57-0D229697D00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0" name="Text Box 91">
          <a:extLst>
            <a:ext uri="{FF2B5EF4-FFF2-40B4-BE49-F238E27FC236}">
              <a16:creationId xmlns:a16="http://schemas.microsoft.com/office/drawing/2014/main" id="{94DDB224-AA85-4A24-9A28-340034CF5AA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1" name="Text Box 92">
          <a:extLst>
            <a:ext uri="{FF2B5EF4-FFF2-40B4-BE49-F238E27FC236}">
              <a16:creationId xmlns:a16="http://schemas.microsoft.com/office/drawing/2014/main" id="{6506861A-09F9-4E96-AD46-68F21EB2A0F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2" name="Text Box 93">
          <a:extLst>
            <a:ext uri="{FF2B5EF4-FFF2-40B4-BE49-F238E27FC236}">
              <a16:creationId xmlns:a16="http://schemas.microsoft.com/office/drawing/2014/main" id="{31B56B2B-92D3-4FEA-BFDC-CD2116914D2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3" name="Text Box 94">
          <a:extLst>
            <a:ext uri="{FF2B5EF4-FFF2-40B4-BE49-F238E27FC236}">
              <a16:creationId xmlns:a16="http://schemas.microsoft.com/office/drawing/2014/main" id="{B0F99645-7574-4363-86E4-D3A03EB141D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4" name="Text Box 95">
          <a:extLst>
            <a:ext uri="{FF2B5EF4-FFF2-40B4-BE49-F238E27FC236}">
              <a16:creationId xmlns:a16="http://schemas.microsoft.com/office/drawing/2014/main" id="{CAE7E4B1-DA46-4843-9FFE-EE8AF0DAD87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5" name="Text Box 90">
          <a:extLst>
            <a:ext uri="{FF2B5EF4-FFF2-40B4-BE49-F238E27FC236}">
              <a16:creationId xmlns:a16="http://schemas.microsoft.com/office/drawing/2014/main" id="{7FB29F87-6F73-4392-BADB-FD8ABE79377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6" name="Text Box 91">
          <a:extLst>
            <a:ext uri="{FF2B5EF4-FFF2-40B4-BE49-F238E27FC236}">
              <a16:creationId xmlns:a16="http://schemas.microsoft.com/office/drawing/2014/main" id="{1BC262BB-7C88-4A51-9217-CA19D911345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7" name="Text Box 92">
          <a:extLst>
            <a:ext uri="{FF2B5EF4-FFF2-40B4-BE49-F238E27FC236}">
              <a16:creationId xmlns:a16="http://schemas.microsoft.com/office/drawing/2014/main" id="{0F740A33-2BDE-4EE3-88E8-BA18DB9D5AA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8" name="Text Box 93">
          <a:extLst>
            <a:ext uri="{FF2B5EF4-FFF2-40B4-BE49-F238E27FC236}">
              <a16:creationId xmlns:a16="http://schemas.microsoft.com/office/drawing/2014/main" id="{E2B1F13D-E88B-4B73-9967-40DA9F58F46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9" name="Text Box 94">
          <a:extLst>
            <a:ext uri="{FF2B5EF4-FFF2-40B4-BE49-F238E27FC236}">
              <a16:creationId xmlns:a16="http://schemas.microsoft.com/office/drawing/2014/main" id="{23FA1115-E121-4AAA-831A-AEB20B29958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0" name="Text Box 95">
          <a:extLst>
            <a:ext uri="{FF2B5EF4-FFF2-40B4-BE49-F238E27FC236}">
              <a16:creationId xmlns:a16="http://schemas.microsoft.com/office/drawing/2014/main" id="{BFADF323-8F0D-4558-B7DC-00CB67F3088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1" name="Text Box 90">
          <a:extLst>
            <a:ext uri="{FF2B5EF4-FFF2-40B4-BE49-F238E27FC236}">
              <a16:creationId xmlns:a16="http://schemas.microsoft.com/office/drawing/2014/main" id="{3227FBD8-4002-429E-BF2D-96A16F8AA81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2" name="Text Box 91">
          <a:extLst>
            <a:ext uri="{FF2B5EF4-FFF2-40B4-BE49-F238E27FC236}">
              <a16:creationId xmlns:a16="http://schemas.microsoft.com/office/drawing/2014/main" id="{49768E45-C9C2-4EEC-A96F-533C524BA69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3" name="Text Box 92">
          <a:extLst>
            <a:ext uri="{FF2B5EF4-FFF2-40B4-BE49-F238E27FC236}">
              <a16:creationId xmlns:a16="http://schemas.microsoft.com/office/drawing/2014/main" id="{6AC85AFA-77D0-4827-8003-0793718C4EE2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4" name="Text Box 93">
          <a:extLst>
            <a:ext uri="{FF2B5EF4-FFF2-40B4-BE49-F238E27FC236}">
              <a16:creationId xmlns:a16="http://schemas.microsoft.com/office/drawing/2014/main" id="{0AC87A68-C03D-43F5-BE31-332F94B63B4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5" name="Text Box 94">
          <a:extLst>
            <a:ext uri="{FF2B5EF4-FFF2-40B4-BE49-F238E27FC236}">
              <a16:creationId xmlns:a16="http://schemas.microsoft.com/office/drawing/2014/main" id="{C77101E5-A4C0-445F-9773-E7AF2F3E3D8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6" name="Text Box 95">
          <a:extLst>
            <a:ext uri="{FF2B5EF4-FFF2-40B4-BE49-F238E27FC236}">
              <a16:creationId xmlns:a16="http://schemas.microsoft.com/office/drawing/2014/main" id="{8DB9FF7B-A7C5-49D2-AD9F-5BC06690E93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7" name="Text Box 90">
          <a:extLst>
            <a:ext uri="{FF2B5EF4-FFF2-40B4-BE49-F238E27FC236}">
              <a16:creationId xmlns:a16="http://schemas.microsoft.com/office/drawing/2014/main" id="{8B673E46-00C1-4305-9299-B77CBEEE44A9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8" name="Text Box 91">
          <a:extLst>
            <a:ext uri="{FF2B5EF4-FFF2-40B4-BE49-F238E27FC236}">
              <a16:creationId xmlns:a16="http://schemas.microsoft.com/office/drawing/2014/main" id="{C3EAF4F5-CE85-4A66-82BF-758121B3CBA5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9" name="Text Box 92">
          <a:extLst>
            <a:ext uri="{FF2B5EF4-FFF2-40B4-BE49-F238E27FC236}">
              <a16:creationId xmlns:a16="http://schemas.microsoft.com/office/drawing/2014/main" id="{F1C91EF6-A88B-4961-8601-1107DD8326B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0" name="Text Box 93">
          <a:extLst>
            <a:ext uri="{FF2B5EF4-FFF2-40B4-BE49-F238E27FC236}">
              <a16:creationId xmlns:a16="http://schemas.microsoft.com/office/drawing/2014/main" id="{88F1F1EC-E4D8-4442-96D3-BD4DC54D30E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1" name="Text Box 94">
          <a:extLst>
            <a:ext uri="{FF2B5EF4-FFF2-40B4-BE49-F238E27FC236}">
              <a16:creationId xmlns:a16="http://schemas.microsoft.com/office/drawing/2014/main" id="{DE8F7858-2AB7-484F-A6B7-3E963BF21017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2" name="Text Box 95">
          <a:extLst>
            <a:ext uri="{FF2B5EF4-FFF2-40B4-BE49-F238E27FC236}">
              <a16:creationId xmlns:a16="http://schemas.microsoft.com/office/drawing/2014/main" id="{52F33F5C-C875-437A-9CC4-394583A96C46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3" name="Text Box 90">
          <a:extLst>
            <a:ext uri="{FF2B5EF4-FFF2-40B4-BE49-F238E27FC236}">
              <a16:creationId xmlns:a16="http://schemas.microsoft.com/office/drawing/2014/main" id="{17882DD7-B685-48FA-B674-C72EF1E1AF0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4" name="Text Box 91">
          <a:extLst>
            <a:ext uri="{FF2B5EF4-FFF2-40B4-BE49-F238E27FC236}">
              <a16:creationId xmlns:a16="http://schemas.microsoft.com/office/drawing/2014/main" id="{ECCB388F-7EAC-410B-AFA7-8F6249417DBA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5" name="Text Box 92">
          <a:extLst>
            <a:ext uri="{FF2B5EF4-FFF2-40B4-BE49-F238E27FC236}">
              <a16:creationId xmlns:a16="http://schemas.microsoft.com/office/drawing/2014/main" id="{D434E76B-A751-4CE5-8495-AEEE8CB25F0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6" name="Text Box 93">
          <a:extLst>
            <a:ext uri="{FF2B5EF4-FFF2-40B4-BE49-F238E27FC236}">
              <a16:creationId xmlns:a16="http://schemas.microsoft.com/office/drawing/2014/main" id="{E5D3FD10-E67F-42A2-9F51-F735F5A6CF9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7" name="Text Box 94">
          <a:extLst>
            <a:ext uri="{FF2B5EF4-FFF2-40B4-BE49-F238E27FC236}">
              <a16:creationId xmlns:a16="http://schemas.microsoft.com/office/drawing/2014/main" id="{9A8E9E53-0A05-47EF-AF27-3B09ABA0B90A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8" name="Text Box 95">
          <a:extLst>
            <a:ext uri="{FF2B5EF4-FFF2-40B4-BE49-F238E27FC236}">
              <a16:creationId xmlns:a16="http://schemas.microsoft.com/office/drawing/2014/main" id="{DEA56043-EF6E-4EF6-97EB-8B4A88C708DA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9" name="Text Box 90">
          <a:extLst>
            <a:ext uri="{FF2B5EF4-FFF2-40B4-BE49-F238E27FC236}">
              <a16:creationId xmlns:a16="http://schemas.microsoft.com/office/drawing/2014/main" id="{ADD60F97-C453-4199-88E6-06DD70740383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0" name="Text Box 91">
          <a:extLst>
            <a:ext uri="{FF2B5EF4-FFF2-40B4-BE49-F238E27FC236}">
              <a16:creationId xmlns:a16="http://schemas.microsoft.com/office/drawing/2014/main" id="{E2141F26-48FE-41A8-B8AC-BA3A4307CC31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1" name="Text Box 92">
          <a:extLst>
            <a:ext uri="{FF2B5EF4-FFF2-40B4-BE49-F238E27FC236}">
              <a16:creationId xmlns:a16="http://schemas.microsoft.com/office/drawing/2014/main" id="{D35FF791-7160-490A-B2DE-AE341E68EF2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2" name="Text Box 93">
          <a:extLst>
            <a:ext uri="{FF2B5EF4-FFF2-40B4-BE49-F238E27FC236}">
              <a16:creationId xmlns:a16="http://schemas.microsoft.com/office/drawing/2014/main" id="{E470E6FE-C8D1-429C-8D92-02DF99B3008F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3" name="Text Box 94">
          <a:extLst>
            <a:ext uri="{FF2B5EF4-FFF2-40B4-BE49-F238E27FC236}">
              <a16:creationId xmlns:a16="http://schemas.microsoft.com/office/drawing/2014/main" id="{4558FB44-1DE6-41E4-AC5D-58F3D4EE054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4" name="Text Box 95">
          <a:extLst>
            <a:ext uri="{FF2B5EF4-FFF2-40B4-BE49-F238E27FC236}">
              <a16:creationId xmlns:a16="http://schemas.microsoft.com/office/drawing/2014/main" id="{6443FC44-22CB-4760-A4A9-8F7C2A422C7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5" name="Text Box 90">
          <a:extLst>
            <a:ext uri="{FF2B5EF4-FFF2-40B4-BE49-F238E27FC236}">
              <a16:creationId xmlns:a16="http://schemas.microsoft.com/office/drawing/2014/main" id="{8FACA13D-6F55-4CC7-AE4F-D135587DA18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6" name="Text Box 91">
          <a:extLst>
            <a:ext uri="{FF2B5EF4-FFF2-40B4-BE49-F238E27FC236}">
              <a16:creationId xmlns:a16="http://schemas.microsoft.com/office/drawing/2014/main" id="{5B53E1BD-66A9-4B74-A577-EE39EFA1642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7" name="Text Box 92">
          <a:extLst>
            <a:ext uri="{FF2B5EF4-FFF2-40B4-BE49-F238E27FC236}">
              <a16:creationId xmlns:a16="http://schemas.microsoft.com/office/drawing/2014/main" id="{4872F8D9-FCED-4E83-87A3-B528B6C6492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8" name="Text Box 93">
          <a:extLst>
            <a:ext uri="{FF2B5EF4-FFF2-40B4-BE49-F238E27FC236}">
              <a16:creationId xmlns:a16="http://schemas.microsoft.com/office/drawing/2014/main" id="{1268A255-5111-430A-A05E-0BEFCDC3D2FE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9" name="Text Box 94">
          <a:extLst>
            <a:ext uri="{FF2B5EF4-FFF2-40B4-BE49-F238E27FC236}">
              <a16:creationId xmlns:a16="http://schemas.microsoft.com/office/drawing/2014/main" id="{831970D1-4CC3-43B1-AC40-3C8C54590C7C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00" name="Text Box 95">
          <a:extLst>
            <a:ext uri="{FF2B5EF4-FFF2-40B4-BE49-F238E27FC236}">
              <a16:creationId xmlns:a16="http://schemas.microsoft.com/office/drawing/2014/main" id="{5C32938D-E2AA-4ED6-8B8B-544667CB7178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01" name="Text Box 90">
          <a:extLst>
            <a:ext uri="{FF2B5EF4-FFF2-40B4-BE49-F238E27FC236}">
              <a16:creationId xmlns:a16="http://schemas.microsoft.com/office/drawing/2014/main" id="{C039A427-D0C5-40E2-A823-6EEA86828ED4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02" name="Text Box 91">
          <a:extLst>
            <a:ext uri="{FF2B5EF4-FFF2-40B4-BE49-F238E27FC236}">
              <a16:creationId xmlns:a16="http://schemas.microsoft.com/office/drawing/2014/main" id="{52147EDB-0C62-40A9-9324-871449F49970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03" name="Text Box 92">
          <a:extLst>
            <a:ext uri="{FF2B5EF4-FFF2-40B4-BE49-F238E27FC236}">
              <a16:creationId xmlns:a16="http://schemas.microsoft.com/office/drawing/2014/main" id="{8343DB06-DB06-46A1-8AEC-F581F6E4BEFB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04" name="Text Box 93">
          <a:extLst>
            <a:ext uri="{FF2B5EF4-FFF2-40B4-BE49-F238E27FC236}">
              <a16:creationId xmlns:a16="http://schemas.microsoft.com/office/drawing/2014/main" id="{5279EB3E-3E6B-4BD1-8F3E-66FE9D376BC1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05" name="Text Box 94">
          <a:extLst>
            <a:ext uri="{FF2B5EF4-FFF2-40B4-BE49-F238E27FC236}">
              <a16:creationId xmlns:a16="http://schemas.microsoft.com/office/drawing/2014/main" id="{9C6D7062-CE01-4A1D-8196-C95ED744AA8D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06" name="Text Box 95">
          <a:extLst>
            <a:ext uri="{FF2B5EF4-FFF2-40B4-BE49-F238E27FC236}">
              <a16:creationId xmlns:a16="http://schemas.microsoft.com/office/drawing/2014/main" id="{5616BD62-7B09-4BAC-ADCA-2B6A80C68311}"/>
            </a:ext>
          </a:extLst>
        </xdr:cNvPr>
        <xdr:cNvSpPr/>
      </xdr:nvSpPr>
      <xdr:spPr>
        <a:xfrm>
          <a:off x="3941775" y="181969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07" name="Text Box 90">
          <a:extLst>
            <a:ext uri="{FF2B5EF4-FFF2-40B4-BE49-F238E27FC236}">
              <a16:creationId xmlns:a16="http://schemas.microsoft.com/office/drawing/2014/main" id="{FCA3FCD2-58C3-4097-927D-51148F51A99C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08" name="Text Box 91">
          <a:extLst>
            <a:ext uri="{FF2B5EF4-FFF2-40B4-BE49-F238E27FC236}">
              <a16:creationId xmlns:a16="http://schemas.microsoft.com/office/drawing/2014/main" id="{D28EBBE8-1A33-4437-B3A5-D1FDE1F960D5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09" name="Text Box 92">
          <a:extLst>
            <a:ext uri="{FF2B5EF4-FFF2-40B4-BE49-F238E27FC236}">
              <a16:creationId xmlns:a16="http://schemas.microsoft.com/office/drawing/2014/main" id="{785AD023-E717-4313-9B7A-3B75B711C192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10" name="Text Box 93">
          <a:extLst>
            <a:ext uri="{FF2B5EF4-FFF2-40B4-BE49-F238E27FC236}">
              <a16:creationId xmlns:a16="http://schemas.microsoft.com/office/drawing/2014/main" id="{20D8A398-1595-4393-B7EA-C5128C45E1AC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11" name="Text Box 94">
          <a:extLst>
            <a:ext uri="{FF2B5EF4-FFF2-40B4-BE49-F238E27FC236}">
              <a16:creationId xmlns:a16="http://schemas.microsoft.com/office/drawing/2014/main" id="{F3F09A4B-1DA7-4009-A1C5-9C890032E847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12" name="Text Box 95">
          <a:extLst>
            <a:ext uri="{FF2B5EF4-FFF2-40B4-BE49-F238E27FC236}">
              <a16:creationId xmlns:a16="http://schemas.microsoft.com/office/drawing/2014/main" id="{5AF71493-275E-4D65-845C-BE14C5B2B9D5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13" name="Text Box 90">
          <a:extLst>
            <a:ext uri="{FF2B5EF4-FFF2-40B4-BE49-F238E27FC236}">
              <a16:creationId xmlns:a16="http://schemas.microsoft.com/office/drawing/2014/main" id="{C71F02CF-B6B1-40D6-85E9-1D59EA362E9B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14" name="Text Box 91">
          <a:extLst>
            <a:ext uri="{FF2B5EF4-FFF2-40B4-BE49-F238E27FC236}">
              <a16:creationId xmlns:a16="http://schemas.microsoft.com/office/drawing/2014/main" id="{20646980-E6A3-4217-8551-A5D83D81BB93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15" name="Text Box 92">
          <a:extLst>
            <a:ext uri="{FF2B5EF4-FFF2-40B4-BE49-F238E27FC236}">
              <a16:creationId xmlns:a16="http://schemas.microsoft.com/office/drawing/2014/main" id="{83892CC6-9378-4C09-8B52-E47E691A1B04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16" name="Text Box 93">
          <a:extLst>
            <a:ext uri="{FF2B5EF4-FFF2-40B4-BE49-F238E27FC236}">
              <a16:creationId xmlns:a16="http://schemas.microsoft.com/office/drawing/2014/main" id="{D6F68DE0-4D48-4A34-A764-976D9FC65B59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17" name="Text Box 94">
          <a:extLst>
            <a:ext uri="{FF2B5EF4-FFF2-40B4-BE49-F238E27FC236}">
              <a16:creationId xmlns:a16="http://schemas.microsoft.com/office/drawing/2014/main" id="{17FE2F28-261C-4ECE-916F-0CEA273BCCEE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18" name="Text Box 95">
          <a:extLst>
            <a:ext uri="{FF2B5EF4-FFF2-40B4-BE49-F238E27FC236}">
              <a16:creationId xmlns:a16="http://schemas.microsoft.com/office/drawing/2014/main" id="{697DD38E-837D-40BF-B911-C0FBD685EA94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19" name="Text Box 90">
          <a:extLst>
            <a:ext uri="{FF2B5EF4-FFF2-40B4-BE49-F238E27FC236}">
              <a16:creationId xmlns:a16="http://schemas.microsoft.com/office/drawing/2014/main" id="{0162306E-B7DB-45C9-AF45-6F44BDFA768E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20" name="Text Box 91">
          <a:extLst>
            <a:ext uri="{FF2B5EF4-FFF2-40B4-BE49-F238E27FC236}">
              <a16:creationId xmlns:a16="http://schemas.microsoft.com/office/drawing/2014/main" id="{DF4D84DE-D913-456C-975E-B506F391361B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21" name="Text Box 92">
          <a:extLst>
            <a:ext uri="{FF2B5EF4-FFF2-40B4-BE49-F238E27FC236}">
              <a16:creationId xmlns:a16="http://schemas.microsoft.com/office/drawing/2014/main" id="{30005263-D88A-43D1-8950-BB39269C290B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22" name="Text Box 93">
          <a:extLst>
            <a:ext uri="{FF2B5EF4-FFF2-40B4-BE49-F238E27FC236}">
              <a16:creationId xmlns:a16="http://schemas.microsoft.com/office/drawing/2014/main" id="{1779E57C-7A89-4B1F-B4D5-DC52071C95FD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23" name="Text Box 94">
          <a:extLst>
            <a:ext uri="{FF2B5EF4-FFF2-40B4-BE49-F238E27FC236}">
              <a16:creationId xmlns:a16="http://schemas.microsoft.com/office/drawing/2014/main" id="{1914F898-C6C5-437C-8EA9-03D15CA21704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324" name="Text Box 95">
          <a:extLst>
            <a:ext uri="{FF2B5EF4-FFF2-40B4-BE49-F238E27FC236}">
              <a16:creationId xmlns:a16="http://schemas.microsoft.com/office/drawing/2014/main" id="{7AE5832E-DB0E-43E8-9537-FFC47AF054CB}"/>
            </a:ext>
          </a:extLst>
        </xdr:cNvPr>
        <xdr:cNvSpPr/>
      </xdr:nvSpPr>
      <xdr:spPr>
        <a:xfrm>
          <a:off x="3941775" y="165777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27000</xdr:colOff>
      <xdr:row>13</xdr:row>
      <xdr:rowOff>153360</xdr:rowOff>
    </xdr:from>
    <xdr:ext cx="0" cy="9000"/>
    <xdr:sp macro="" textlink="">
      <xdr:nvSpPr>
        <xdr:cNvPr id="10" name="Text Box 4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33607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13</xdr:row>
      <xdr:rowOff>153360</xdr:rowOff>
    </xdr:from>
    <xdr:ext cx="0" cy="9000"/>
    <xdr:sp macro="" textlink="">
      <xdr:nvSpPr>
        <xdr:cNvPr id="11" name="Text Box 45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33607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13</xdr:row>
      <xdr:rowOff>153360</xdr:rowOff>
    </xdr:from>
    <xdr:ext cx="0" cy="9000"/>
    <xdr:sp macro="" textlink="">
      <xdr:nvSpPr>
        <xdr:cNvPr id="12" name="Text Box 47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33607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13</xdr:row>
      <xdr:rowOff>153360</xdr:rowOff>
    </xdr:from>
    <xdr:ext cx="0" cy="9000"/>
    <xdr:sp macro="" textlink="">
      <xdr:nvSpPr>
        <xdr:cNvPr id="13" name="Text Box 48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33607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13</xdr:row>
      <xdr:rowOff>153360</xdr:rowOff>
    </xdr:from>
    <xdr:ext cx="0" cy="9000"/>
    <xdr:sp macro="" textlink="">
      <xdr:nvSpPr>
        <xdr:cNvPr id="14" name="Text Box 87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/>
      </xdr:nvSpPr>
      <xdr:spPr>
        <a:xfrm>
          <a:off x="33607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13</xdr:row>
      <xdr:rowOff>153360</xdr:rowOff>
    </xdr:from>
    <xdr:ext cx="0" cy="9000"/>
    <xdr:sp macro="" textlink="">
      <xdr:nvSpPr>
        <xdr:cNvPr id="15" name="Text Box 88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33607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5</xdr:col>
      <xdr:colOff>27000</xdr:colOff>
      <xdr:row>14</xdr:row>
      <xdr:rowOff>38520</xdr:rowOff>
    </xdr:from>
    <xdr:ext cx="0" cy="114840"/>
    <xdr:sp macro="" textlink="">
      <xdr:nvSpPr>
        <xdr:cNvPr id="46" name="Text Box 90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/>
      </xdr:nvSpPr>
      <xdr:spPr>
        <a:xfrm>
          <a:off x="43132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5</xdr:col>
      <xdr:colOff>27000</xdr:colOff>
      <xdr:row>14</xdr:row>
      <xdr:rowOff>38520</xdr:rowOff>
    </xdr:from>
    <xdr:ext cx="0" cy="114840"/>
    <xdr:sp macro="" textlink="">
      <xdr:nvSpPr>
        <xdr:cNvPr id="47" name="Text Box 91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/>
      </xdr:nvSpPr>
      <xdr:spPr>
        <a:xfrm>
          <a:off x="43132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5</xdr:col>
      <xdr:colOff>27000</xdr:colOff>
      <xdr:row>14</xdr:row>
      <xdr:rowOff>38520</xdr:rowOff>
    </xdr:from>
    <xdr:ext cx="0" cy="114840"/>
    <xdr:sp macro="" textlink="">
      <xdr:nvSpPr>
        <xdr:cNvPr id="48" name="Text Box 92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/>
      </xdr:nvSpPr>
      <xdr:spPr>
        <a:xfrm>
          <a:off x="43132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5</xdr:col>
      <xdr:colOff>27000</xdr:colOff>
      <xdr:row>14</xdr:row>
      <xdr:rowOff>38520</xdr:rowOff>
    </xdr:from>
    <xdr:ext cx="0" cy="114840"/>
    <xdr:sp macro="" textlink="">
      <xdr:nvSpPr>
        <xdr:cNvPr id="49" name="Text Box 93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/>
      </xdr:nvSpPr>
      <xdr:spPr>
        <a:xfrm>
          <a:off x="43132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5</xdr:col>
      <xdr:colOff>27000</xdr:colOff>
      <xdr:row>14</xdr:row>
      <xdr:rowOff>38520</xdr:rowOff>
    </xdr:from>
    <xdr:ext cx="0" cy="114840"/>
    <xdr:sp macro="" textlink="">
      <xdr:nvSpPr>
        <xdr:cNvPr id="50" name="Text Box 94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/>
      </xdr:nvSpPr>
      <xdr:spPr>
        <a:xfrm>
          <a:off x="43132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5</xdr:col>
      <xdr:colOff>27000</xdr:colOff>
      <xdr:row>14</xdr:row>
      <xdr:rowOff>38520</xdr:rowOff>
    </xdr:from>
    <xdr:ext cx="0" cy="114840"/>
    <xdr:sp macro="" textlink="">
      <xdr:nvSpPr>
        <xdr:cNvPr id="51" name="Text Box 95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/>
      </xdr:nvSpPr>
      <xdr:spPr>
        <a:xfrm>
          <a:off x="43132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3</xdr:col>
      <xdr:colOff>27000</xdr:colOff>
      <xdr:row>13</xdr:row>
      <xdr:rowOff>153360</xdr:rowOff>
    </xdr:from>
    <xdr:ext cx="0" cy="9000"/>
    <xdr:sp macro="" textlink="">
      <xdr:nvSpPr>
        <xdr:cNvPr id="4" name="Text Box 98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25225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3</xdr:col>
      <xdr:colOff>27000</xdr:colOff>
      <xdr:row>13</xdr:row>
      <xdr:rowOff>153360</xdr:rowOff>
    </xdr:from>
    <xdr:ext cx="0" cy="9000"/>
    <xdr:sp macro="" textlink="">
      <xdr:nvSpPr>
        <xdr:cNvPr id="5" name="Text Box 99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25225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3</xdr:col>
      <xdr:colOff>27000</xdr:colOff>
      <xdr:row>13</xdr:row>
      <xdr:rowOff>153360</xdr:rowOff>
    </xdr:from>
    <xdr:ext cx="0" cy="9000"/>
    <xdr:sp macro="" textlink="">
      <xdr:nvSpPr>
        <xdr:cNvPr id="6" name="Text Box 100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25225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3</xdr:col>
      <xdr:colOff>27000</xdr:colOff>
      <xdr:row>13</xdr:row>
      <xdr:rowOff>153360</xdr:rowOff>
    </xdr:from>
    <xdr:ext cx="0" cy="9000"/>
    <xdr:sp macro="" textlink="">
      <xdr:nvSpPr>
        <xdr:cNvPr id="7" name="Text Box 101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25225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3</xdr:col>
      <xdr:colOff>27000</xdr:colOff>
      <xdr:row>13</xdr:row>
      <xdr:rowOff>153360</xdr:rowOff>
    </xdr:from>
    <xdr:ext cx="0" cy="9000"/>
    <xdr:sp macro="" textlink="">
      <xdr:nvSpPr>
        <xdr:cNvPr id="8" name="Text Box 102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25225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3</xdr:col>
      <xdr:colOff>27000</xdr:colOff>
      <xdr:row>13</xdr:row>
      <xdr:rowOff>153360</xdr:rowOff>
    </xdr:from>
    <xdr:ext cx="0" cy="9000"/>
    <xdr:sp macro="" textlink="">
      <xdr:nvSpPr>
        <xdr:cNvPr id="9" name="Text Box 103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25225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14</xdr:row>
      <xdr:rowOff>38520</xdr:rowOff>
    </xdr:from>
    <xdr:ext cx="0" cy="114840"/>
    <xdr:sp macro="" textlink="">
      <xdr:nvSpPr>
        <xdr:cNvPr id="40" name="Text Box 104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/>
      </xdr:nvSpPr>
      <xdr:spPr>
        <a:xfrm>
          <a:off x="33607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14</xdr:row>
      <xdr:rowOff>38520</xdr:rowOff>
    </xdr:from>
    <xdr:ext cx="0" cy="114840"/>
    <xdr:sp macro="" textlink="">
      <xdr:nvSpPr>
        <xdr:cNvPr id="41" name="Text Box 105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/>
      </xdr:nvSpPr>
      <xdr:spPr>
        <a:xfrm>
          <a:off x="33607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14</xdr:row>
      <xdr:rowOff>38520</xdr:rowOff>
    </xdr:from>
    <xdr:ext cx="0" cy="114840"/>
    <xdr:sp macro="" textlink="">
      <xdr:nvSpPr>
        <xdr:cNvPr id="42" name="Text Box 106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SpPr/>
      </xdr:nvSpPr>
      <xdr:spPr>
        <a:xfrm>
          <a:off x="33607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14</xdr:row>
      <xdr:rowOff>38520</xdr:rowOff>
    </xdr:from>
    <xdr:ext cx="0" cy="114840"/>
    <xdr:sp macro="" textlink="">
      <xdr:nvSpPr>
        <xdr:cNvPr id="43" name="Text Box 107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/>
      </xdr:nvSpPr>
      <xdr:spPr>
        <a:xfrm>
          <a:off x="33607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14</xdr:row>
      <xdr:rowOff>38520</xdr:rowOff>
    </xdr:from>
    <xdr:ext cx="0" cy="114840"/>
    <xdr:sp macro="" textlink="">
      <xdr:nvSpPr>
        <xdr:cNvPr id="44" name="Text Box 108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/>
      </xdr:nvSpPr>
      <xdr:spPr>
        <a:xfrm>
          <a:off x="33607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14</xdr:row>
      <xdr:rowOff>38520</xdr:rowOff>
    </xdr:from>
    <xdr:ext cx="0" cy="114840"/>
    <xdr:sp macro="" textlink="">
      <xdr:nvSpPr>
        <xdr:cNvPr id="45" name="Text Box 109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/>
      </xdr:nvSpPr>
      <xdr:spPr>
        <a:xfrm>
          <a:off x="33607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8</xdr:col>
      <xdr:colOff>27000</xdr:colOff>
      <xdr:row>13</xdr:row>
      <xdr:rowOff>153360</xdr:rowOff>
    </xdr:from>
    <xdr:ext cx="0" cy="9000"/>
    <xdr:sp macro="" textlink="">
      <xdr:nvSpPr>
        <xdr:cNvPr id="16" name="Text Box 122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76374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8</xdr:col>
      <xdr:colOff>27000</xdr:colOff>
      <xdr:row>13</xdr:row>
      <xdr:rowOff>153360</xdr:rowOff>
    </xdr:from>
    <xdr:ext cx="0" cy="9000"/>
    <xdr:sp macro="" textlink="">
      <xdr:nvSpPr>
        <xdr:cNvPr id="17" name="Text Box 123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>
          <a:off x="76374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8</xdr:col>
      <xdr:colOff>27000</xdr:colOff>
      <xdr:row>13</xdr:row>
      <xdr:rowOff>153360</xdr:rowOff>
    </xdr:from>
    <xdr:ext cx="0" cy="9000"/>
    <xdr:sp macro="" textlink="">
      <xdr:nvSpPr>
        <xdr:cNvPr id="18" name="Text Box 124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/>
      </xdr:nvSpPr>
      <xdr:spPr>
        <a:xfrm>
          <a:off x="76374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8</xdr:col>
      <xdr:colOff>27000</xdr:colOff>
      <xdr:row>13</xdr:row>
      <xdr:rowOff>153360</xdr:rowOff>
    </xdr:from>
    <xdr:ext cx="0" cy="9000"/>
    <xdr:sp macro="" textlink="">
      <xdr:nvSpPr>
        <xdr:cNvPr id="19" name="Text Box 125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76374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8</xdr:col>
      <xdr:colOff>27000</xdr:colOff>
      <xdr:row>13</xdr:row>
      <xdr:rowOff>153360</xdr:rowOff>
    </xdr:from>
    <xdr:ext cx="0" cy="9000"/>
    <xdr:sp macro="" textlink="">
      <xdr:nvSpPr>
        <xdr:cNvPr id="20" name="Text Box 126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/>
      </xdr:nvSpPr>
      <xdr:spPr>
        <a:xfrm>
          <a:off x="76374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8</xdr:col>
      <xdr:colOff>27000</xdr:colOff>
      <xdr:row>13</xdr:row>
      <xdr:rowOff>153360</xdr:rowOff>
    </xdr:from>
    <xdr:ext cx="0" cy="9000"/>
    <xdr:sp macro="" textlink="">
      <xdr:nvSpPr>
        <xdr:cNvPr id="21" name="Text Box 127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/>
      </xdr:nvSpPr>
      <xdr:spPr>
        <a:xfrm>
          <a:off x="76374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2" name="Text Box 4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3360750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3360750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13</xdr:col>
      <xdr:colOff>27000</xdr:colOff>
      <xdr:row>13</xdr:row>
      <xdr:rowOff>153360</xdr:rowOff>
    </xdr:from>
    <xdr:ext cx="0" cy="9000"/>
    <xdr:sp macro="" textlink="">
      <xdr:nvSpPr>
        <xdr:cNvPr id="34" name="Text Box 44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/>
      </xdr:nvSpPr>
      <xdr:spPr>
        <a:xfrm>
          <a:off x="120094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13</xdr:col>
      <xdr:colOff>27000</xdr:colOff>
      <xdr:row>13</xdr:row>
      <xdr:rowOff>153360</xdr:rowOff>
    </xdr:from>
    <xdr:ext cx="0" cy="9000"/>
    <xdr:sp macro="" textlink="">
      <xdr:nvSpPr>
        <xdr:cNvPr id="35" name="Text Box 45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/>
      </xdr:nvSpPr>
      <xdr:spPr>
        <a:xfrm>
          <a:off x="120094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13</xdr:col>
      <xdr:colOff>27000</xdr:colOff>
      <xdr:row>13</xdr:row>
      <xdr:rowOff>153360</xdr:rowOff>
    </xdr:from>
    <xdr:ext cx="0" cy="9000"/>
    <xdr:sp macro="" textlink="">
      <xdr:nvSpPr>
        <xdr:cNvPr id="36" name="Text Box 4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SpPr/>
      </xdr:nvSpPr>
      <xdr:spPr>
        <a:xfrm>
          <a:off x="120094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13</xdr:col>
      <xdr:colOff>27000</xdr:colOff>
      <xdr:row>13</xdr:row>
      <xdr:rowOff>153360</xdr:rowOff>
    </xdr:from>
    <xdr:ext cx="0" cy="9000"/>
    <xdr:sp macro="" textlink="">
      <xdr:nvSpPr>
        <xdr:cNvPr id="37" name="Text Box 4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/>
      </xdr:nvSpPr>
      <xdr:spPr>
        <a:xfrm>
          <a:off x="120094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13</xdr:col>
      <xdr:colOff>27000</xdr:colOff>
      <xdr:row>13</xdr:row>
      <xdr:rowOff>153360</xdr:rowOff>
    </xdr:from>
    <xdr:ext cx="0" cy="9000"/>
    <xdr:sp macro="" textlink="">
      <xdr:nvSpPr>
        <xdr:cNvPr id="38" name="Text Box 8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/>
      </xdr:nvSpPr>
      <xdr:spPr>
        <a:xfrm>
          <a:off x="120094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13</xdr:col>
      <xdr:colOff>27000</xdr:colOff>
      <xdr:row>13</xdr:row>
      <xdr:rowOff>153360</xdr:rowOff>
    </xdr:from>
    <xdr:ext cx="0" cy="9000"/>
    <xdr:sp macro="" textlink="">
      <xdr:nvSpPr>
        <xdr:cNvPr id="39" name="Text Box 8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SpPr/>
      </xdr:nvSpPr>
      <xdr:spPr>
        <a:xfrm>
          <a:off x="12009450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14</xdr:col>
      <xdr:colOff>27000</xdr:colOff>
      <xdr:row>14</xdr:row>
      <xdr:rowOff>38520</xdr:rowOff>
    </xdr:from>
    <xdr:ext cx="0" cy="114840"/>
    <xdr:sp macro="" textlink="">
      <xdr:nvSpPr>
        <xdr:cNvPr id="58" name="Text Box 90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/>
      </xdr:nvSpPr>
      <xdr:spPr>
        <a:xfrm>
          <a:off x="12990525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14</xdr:col>
      <xdr:colOff>27000</xdr:colOff>
      <xdr:row>14</xdr:row>
      <xdr:rowOff>38520</xdr:rowOff>
    </xdr:from>
    <xdr:ext cx="0" cy="114840"/>
    <xdr:sp macro="" textlink="">
      <xdr:nvSpPr>
        <xdr:cNvPr id="59" name="Text Box 91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SpPr/>
      </xdr:nvSpPr>
      <xdr:spPr>
        <a:xfrm>
          <a:off x="12990525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14</xdr:col>
      <xdr:colOff>27000</xdr:colOff>
      <xdr:row>14</xdr:row>
      <xdr:rowOff>38520</xdr:rowOff>
    </xdr:from>
    <xdr:ext cx="0" cy="114840"/>
    <xdr:sp macro="" textlink="">
      <xdr:nvSpPr>
        <xdr:cNvPr id="60" name="Text Box 92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SpPr/>
      </xdr:nvSpPr>
      <xdr:spPr>
        <a:xfrm>
          <a:off x="12990525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14</xdr:col>
      <xdr:colOff>27000</xdr:colOff>
      <xdr:row>14</xdr:row>
      <xdr:rowOff>38520</xdr:rowOff>
    </xdr:from>
    <xdr:ext cx="0" cy="114840"/>
    <xdr:sp macro="" textlink="">
      <xdr:nvSpPr>
        <xdr:cNvPr id="61" name="Text Box 93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SpPr/>
      </xdr:nvSpPr>
      <xdr:spPr>
        <a:xfrm>
          <a:off x="12990525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14</xdr:col>
      <xdr:colOff>27000</xdr:colOff>
      <xdr:row>14</xdr:row>
      <xdr:rowOff>38520</xdr:rowOff>
    </xdr:from>
    <xdr:ext cx="0" cy="114840"/>
    <xdr:sp macro="" textlink="">
      <xdr:nvSpPr>
        <xdr:cNvPr id="62" name="Text Box 94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/>
      </xdr:nvSpPr>
      <xdr:spPr>
        <a:xfrm>
          <a:off x="12990525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14</xdr:col>
      <xdr:colOff>27000</xdr:colOff>
      <xdr:row>14</xdr:row>
      <xdr:rowOff>38520</xdr:rowOff>
    </xdr:from>
    <xdr:ext cx="0" cy="114840"/>
    <xdr:sp macro="" textlink="">
      <xdr:nvSpPr>
        <xdr:cNvPr id="63" name="Text Box 95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SpPr/>
      </xdr:nvSpPr>
      <xdr:spPr>
        <a:xfrm>
          <a:off x="12990525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22" name="Text Box 98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23" name="Text Box 99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24" name="Text Box 100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25" name="Text Box 101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26" name="Text Box 102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27" name="Text Box 103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13</xdr:col>
      <xdr:colOff>27000</xdr:colOff>
      <xdr:row>14</xdr:row>
      <xdr:rowOff>38520</xdr:rowOff>
    </xdr:from>
    <xdr:ext cx="0" cy="114840"/>
    <xdr:sp macro="" textlink="">
      <xdr:nvSpPr>
        <xdr:cNvPr id="52" name="Text Box 104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/>
      </xdr:nvSpPr>
      <xdr:spPr>
        <a:xfrm>
          <a:off x="120094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13</xdr:col>
      <xdr:colOff>27000</xdr:colOff>
      <xdr:row>14</xdr:row>
      <xdr:rowOff>38520</xdr:rowOff>
    </xdr:from>
    <xdr:ext cx="0" cy="114840"/>
    <xdr:sp macro="" textlink="">
      <xdr:nvSpPr>
        <xdr:cNvPr id="53" name="Text Box 105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/>
      </xdr:nvSpPr>
      <xdr:spPr>
        <a:xfrm>
          <a:off x="120094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13</xdr:col>
      <xdr:colOff>27000</xdr:colOff>
      <xdr:row>14</xdr:row>
      <xdr:rowOff>38520</xdr:rowOff>
    </xdr:from>
    <xdr:ext cx="0" cy="114840"/>
    <xdr:sp macro="" textlink="">
      <xdr:nvSpPr>
        <xdr:cNvPr id="54" name="Text Box 106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/>
      </xdr:nvSpPr>
      <xdr:spPr>
        <a:xfrm>
          <a:off x="120094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13</xdr:col>
      <xdr:colOff>27000</xdr:colOff>
      <xdr:row>14</xdr:row>
      <xdr:rowOff>38520</xdr:rowOff>
    </xdr:from>
    <xdr:ext cx="0" cy="114840"/>
    <xdr:sp macro="" textlink="">
      <xdr:nvSpPr>
        <xdr:cNvPr id="55" name="Text Box 107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/>
      </xdr:nvSpPr>
      <xdr:spPr>
        <a:xfrm>
          <a:off x="120094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13</xdr:col>
      <xdr:colOff>27000</xdr:colOff>
      <xdr:row>14</xdr:row>
      <xdr:rowOff>38520</xdr:rowOff>
    </xdr:from>
    <xdr:ext cx="0" cy="114840"/>
    <xdr:sp macro="" textlink="">
      <xdr:nvSpPr>
        <xdr:cNvPr id="56" name="Text Box 108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/>
      </xdr:nvSpPr>
      <xdr:spPr>
        <a:xfrm>
          <a:off x="120094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13</xdr:col>
      <xdr:colOff>27000</xdr:colOff>
      <xdr:row>14</xdr:row>
      <xdr:rowOff>38520</xdr:rowOff>
    </xdr:from>
    <xdr:ext cx="0" cy="114840"/>
    <xdr:sp macro="" textlink="">
      <xdr:nvSpPr>
        <xdr:cNvPr id="57" name="Text Box 109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/>
      </xdr:nvSpPr>
      <xdr:spPr>
        <a:xfrm>
          <a:off x="12009450" y="2305470"/>
          <a:ext cx="0" cy="114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28" name="Text Box 98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29" name="Text Box 99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30" name="Text Box 100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31" name="Text Box 101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32" name="Text Box 102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12</xdr:col>
      <xdr:colOff>27000</xdr:colOff>
      <xdr:row>13</xdr:row>
      <xdr:rowOff>153360</xdr:rowOff>
    </xdr:from>
    <xdr:ext cx="0" cy="9000"/>
    <xdr:sp macro="" textlink="">
      <xdr:nvSpPr>
        <xdr:cNvPr id="33" name="Text Box 103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/>
      </xdr:nvSpPr>
      <xdr:spPr>
        <a:xfrm>
          <a:off x="11028375" y="225838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27000</xdr:colOff>
      <xdr:row>0</xdr:row>
      <xdr:rowOff>0</xdr:rowOff>
    </xdr:from>
    <xdr:ext cx="2679840" cy="656280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27000" y="0"/>
          <a:ext cx="2679840" cy="65628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7" name="Line 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8" name="Line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9" name="Line 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10" name="Line 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11" name="Line 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12" name="Line 1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13" name="Line 1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14" name="Line 1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15" name="Line 1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16" name="Line 1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17" name="Line 15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18" name="Line 1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19" name="Line 17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20" name="Line 18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21" name="Line 19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22" name="Line 20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23" name="Line 2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24" name="Line 2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25" name="Line 23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26" name="Line 2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27" name="Line 25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28" name="Line 26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29" name="Line 27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30" name="Line 28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31" name="Line 29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32" name="Line 30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33" name="Line 31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34" name="Line 32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35" name="Line 33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36" name="Line 3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37" name="Line 35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38" name="Line 36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39" name="Line 37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40" name="Line 38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41" name="Line 39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42" name="Line 40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43" name="Line 41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44" name="Line 42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45" name="Line 4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46" name="Line 44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47" name="Line 45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27360</xdr:colOff>
      <xdr:row>121</xdr:row>
      <xdr:rowOff>122400</xdr:rowOff>
    </xdr:from>
    <xdr:ext cx="0" cy="0"/>
    <xdr:sp macro="" textlink="">
      <xdr:nvSpPr>
        <xdr:cNvPr id="48" name="Line 46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>
        <a:xfrm>
          <a:off x="11724060" y="1871520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12</xdr:col>
      <xdr:colOff>293760</xdr:colOff>
      <xdr:row>0</xdr:row>
      <xdr:rowOff>86400</xdr:rowOff>
    </xdr:from>
    <xdr:ext cx="1456200" cy="303840"/>
    <xdr:sp macro="" textlink="">
      <xdr:nvSpPr>
        <xdr:cNvPr id="2" name="Text Box 5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256910" y="86400"/>
          <a:ext cx="1456200" cy="30384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2736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endParaRPr lang="es-MX" sz="1000" b="1" i="0" u="none" strike="noStrike" kern="1200" spc="0">
            <a:solidFill>
              <a:srgbClr val="000000"/>
            </a:solidFill>
            <a:latin typeface="Arial" pitchFamily="18"/>
            <a:cs typeface="Arial"/>
          </a:endParaRPr>
        </a:p>
        <a:p>
          <a:pPr lvl="0" algn="ctr" rtl="0" hangingPunct="0">
            <a:buNone/>
            <a:tabLst/>
            <a:defRPr sz="1800"/>
          </a:pPr>
          <a:endParaRPr lang="es-MX" sz="1000" b="1" i="0" u="none" strike="noStrike" kern="1200" spc="0">
            <a:solidFill>
              <a:srgbClr val="000000"/>
            </a:solidFill>
            <a:latin typeface="Arial" pitchFamily="18"/>
            <a:cs typeface="Arial"/>
          </a:endParaRPr>
        </a:p>
      </xdr:txBody>
    </xdr:sp>
    <xdr:clientData/>
  </xdr:oneCellAnchor>
  <xdr:oneCellAnchor>
    <xdr:from>
      <xdr:col>17</xdr:col>
      <xdr:colOff>295275</xdr:colOff>
      <xdr:row>5</xdr:row>
      <xdr:rowOff>52386</xdr:rowOff>
    </xdr:from>
    <xdr:ext cx="49291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886F8827-AE5B-4936-92AA-A7AB4173793B}"/>
                </a:ext>
              </a:extLst>
            </xdr:cNvPr>
            <xdr:cNvSpPr txBox="1"/>
          </xdr:nvSpPr>
          <xdr:spPr>
            <a:xfrm>
              <a:off x="16078200" y="833436"/>
              <a:ext cx="49291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e>
                      <m:sub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𝑡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−2</m:t>
                        </m:r>
                      </m:sub>
                    </m:sSub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886F8827-AE5B-4936-92AA-A7AB4173793B}"/>
                </a:ext>
              </a:extLst>
            </xdr:cNvPr>
            <xdr:cNvSpPr txBox="1"/>
          </xdr:nvSpPr>
          <xdr:spPr>
            <a:xfrm>
              <a:off x="16078200" y="833436"/>
              <a:ext cx="49291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𝐼</a:t>
              </a:r>
              <a:r>
                <a:rPr lang="es-MX" sz="1100" b="0" i="0">
                  <a:latin typeface="Cambria Math" panose="02040503050406030204" pitchFamily="18" charset="0"/>
                </a:rPr>
                <a:t>_(</a:t>
              </a:r>
              <a:r>
                <a:rPr lang="es-ES" sz="1100" b="0" i="0">
                  <a:latin typeface="Cambria Math" panose="02040503050406030204" pitchFamily="18" charset="0"/>
                </a:rPr>
                <a:t>𝑡−2</a:t>
              </a:r>
              <a:r>
                <a:rPr lang="es-MX" sz="1100" b="0" i="0">
                  <a:latin typeface="Cambria Math" panose="02040503050406030204" pitchFamily="18" charset="0"/>
                </a:rPr>
                <a:t>)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18</xdr:col>
      <xdr:colOff>311943</xdr:colOff>
      <xdr:row>5</xdr:row>
      <xdr:rowOff>61913</xdr:rowOff>
    </xdr:from>
    <xdr:ext cx="49291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F0D42E07-1926-4E7D-9894-994EAD7826D3}"/>
                </a:ext>
              </a:extLst>
            </xdr:cNvPr>
            <xdr:cNvSpPr txBox="1"/>
          </xdr:nvSpPr>
          <xdr:spPr>
            <a:xfrm>
              <a:off x="17218818" y="842963"/>
              <a:ext cx="49291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e>
                      <m:sub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𝑡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−1</m:t>
                        </m:r>
                      </m:sub>
                    </m:sSub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F0D42E07-1926-4E7D-9894-994EAD7826D3}"/>
                </a:ext>
              </a:extLst>
            </xdr:cNvPr>
            <xdr:cNvSpPr txBox="1"/>
          </xdr:nvSpPr>
          <xdr:spPr>
            <a:xfrm>
              <a:off x="17218818" y="842963"/>
              <a:ext cx="49291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𝐼</a:t>
              </a:r>
              <a:r>
                <a:rPr lang="es-MX" sz="1100" b="0" i="0">
                  <a:latin typeface="Cambria Math" panose="02040503050406030204" pitchFamily="18" charset="0"/>
                </a:rPr>
                <a:t>_(</a:t>
              </a:r>
              <a:r>
                <a:rPr lang="es-ES" sz="1100" b="0" i="0">
                  <a:latin typeface="Cambria Math" panose="02040503050406030204" pitchFamily="18" charset="0"/>
                </a:rPr>
                <a:t>𝑡−1</a:t>
              </a:r>
              <a:r>
                <a:rPr lang="es-MX" sz="1100" b="0" i="0">
                  <a:latin typeface="Cambria Math" panose="02040503050406030204" pitchFamily="18" charset="0"/>
                </a:rPr>
                <a:t>)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21</xdr:col>
      <xdr:colOff>4762</xdr:colOff>
      <xdr:row>4</xdr:row>
      <xdr:rowOff>628650</xdr:rowOff>
    </xdr:from>
    <xdr:ext cx="519113" cy="1769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2E2C62C4-766E-4687-AE44-DF2185118A7E}"/>
                </a:ext>
              </a:extLst>
            </xdr:cNvPr>
            <xdr:cNvSpPr txBox="1"/>
          </xdr:nvSpPr>
          <xdr:spPr>
            <a:xfrm>
              <a:off x="17587912" y="1352550"/>
              <a:ext cx="519113" cy="176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b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2E2C62C4-766E-4687-AE44-DF2185118A7E}"/>
                </a:ext>
              </a:extLst>
            </xdr:cNvPr>
            <xdr:cNvSpPr txBox="1"/>
          </xdr:nvSpPr>
          <xdr:spPr>
            <a:xfrm>
              <a:off x="17587912" y="1352550"/>
              <a:ext cx="519113" cy="176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𝑃</a:t>
              </a:r>
              <a:r>
                <a:rPr lang="es-MX" sz="1100" b="0" i="0">
                  <a:latin typeface="Cambria Math" panose="02040503050406030204" pitchFamily="18" charset="0"/>
                </a:rPr>
                <a:t>_(</a:t>
              </a:r>
              <a:r>
                <a:rPr lang="es-ES" sz="1100" b="0" i="0">
                  <a:latin typeface="Cambria Math" panose="02040503050406030204" pitchFamily="18" charset="0"/>
                </a:rPr>
                <a:t>𝑖,𝑡</a:t>
              </a:r>
              <a:r>
                <a:rPr lang="es-MX" sz="1100" b="0" i="0">
                  <a:latin typeface="Cambria Math" panose="02040503050406030204" pitchFamily="18" charset="0"/>
                </a:rPr>
                <a:t>)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21</xdr:col>
      <xdr:colOff>564357</xdr:colOff>
      <xdr:row>4</xdr:row>
      <xdr:rowOff>666748</xdr:rowOff>
    </xdr:from>
    <xdr:ext cx="1231106" cy="19050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394283BE-EEF0-413F-B2B3-56FFE12DF160}"/>
                </a:ext>
              </a:extLst>
            </xdr:cNvPr>
            <xdr:cNvSpPr txBox="1"/>
          </xdr:nvSpPr>
          <xdr:spPr>
            <a:xfrm>
              <a:off x="18147507" y="1390648"/>
              <a:ext cx="1231106" cy="19050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𝐶𝑃</m:t>
                        </m:r>
                      </m:e>
                      <m:sub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𝑖𝑡</m:t>
                        </m:r>
                      </m:sub>
                    </m:sSub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394283BE-EEF0-413F-B2B3-56FFE12DF160}"/>
                </a:ext>
              </a:extLst>
            </xdr:cNvPr>
            <xdr:cNvSpPr txBox="1"/>
          </xdr:nvSpPr>
          <xdr:spPr>
            <a:xfrm>
              <a:off x="18147507" y="1390648"/>
              <a:ext cx="1231106" cy="19050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〖</a:t>
              </a:r>
              <a:r>
                <a:rPr lang="es-ES" sz="1100" b="0" i="0">
                  <a:latin typeface="Cambria Math" panose="02040503050406030204" pitchFamily="18" charset="0"/>
                </a:rPr>
                <a:t>𝐶𝑃</a:t>
              </a:r>
              <a:r>
                <a:rPr lang="es-MX" sz="1100" b="0" i="0">
                  <a:latin typeface="Cambria Math" panose="02040503050406030204" pitchFamily="18" charset="0"/>
                </a:rPr>
                <a:t>〗_</a:t>
              </a:r>
              <a:r>
                <a:rPr lang="es-ES" sz="1100" b="0" i="0">
                  <a:latin typeface="Cambria Math" panose="02040503050406030204" pitchFamily="18" charset="0"/>
                </a:rPr>
                <a:t>𝑖𝑡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19</xdr:col>
      <xdr:colOff>314325</xdr:colOff>
      <xdr:row>4</xdr:row>
      <xdr:rowOff>619125</xdr:rowOff>
    </xdr:from>
    <xdr:ext cx="422167" cy="3465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62A89205-EBBA-48FC-8989-96AADA145AE1}"/>
                </a:ext>
              </a:extLst>
            </xdr:cNvPr>
            <xdr:cNvSpPr txBox="1"/>
          </xdr:nvSpPr>
          <xdr:spPr>
            <a:xfrm>
              <a:off x="15821025" y="1343025"/>
              <a:ext cx="422167" cy="3465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ES" sz="1100" b="0" i="1">
                                <a:latin typeface="Cambria Math" panose="02040503050406030204" pitchFamily="18" charset="0"/>
                              </a:rPr>
                              <m:t>𝑅𝐶</m:t>
                            </m:r>
                          </m:e>
                          <m:sub>
                            <m:r>
                              <a:rPr lang="es-ES" sz="1100" b="0" i="1">
                                <a:latin typeface="Cambria Math" panose="02040503050406030204" pitchFamily="18" charset="0"/>
                              </a:rPr>
                              <m:t>𝑖𝑡</m:t>
                            </m:r>
                            <m:r>
                              <a:rPr lang="es-ES" sz="1100" b="0" i="1">
                                <a:latin typeface="Cambria Math" panose="02040503050406030204" pitchFamily="18" charset="0"/>
                              </a:rPr>
                              <m:t>−1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ES" sz="1100" b="0" i="1">
                                <a:latin typeface="Cambria Math" panose="02040503050406030204" pitchFamily="18" charset="0"/>
                              </a:rPr>
                              <m:t>𝑅𝐶</m:t>
                            </m:r>
                          </m:e>
                          <m:sub>
                            <m:r>
                              <a:rPr lang="es-ES" sz="1100" b="0" i="1">
                                <a:latin typeface="Cambria Math" panose="02040503050406030204" pitchFamily="18" charset="0"/>
                              </a:rPr>
                              <m:t>𝑖𝑡</m:t>
                            </m:r>
                            <m:r>
                              <a:rPr lang="es-ES" sz="1100" b="0" i="1">
                                <a:latin typeface="Cambria Math" panose="02040503050406030204" pitchFamily="18" charset="0"/>
                              </a:rPr>
                              <m:t>−2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62A89205-EBBA-48FC-8989-96AADA145AE1}"/>
                </a:ext>
              </a:extLst>
            </xdr:cNvPr>
            <xdr:cNvSpPr txBox="1"/>
          </xdr:nvSpPr>
          <xdr:spPr>
            <a:xfrm>
              <a:off x="15821025" y="1343025"/>
              <a:ext cx="422167" cy="3465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〖</a:t>
              </a:r>
              <a:r>
                <a:rPr lang="es-ES" sz="1100" b="0" i="0">
                  <a:latin typeface="Cambria Math" panose="02040503050406030204" pitchFamily="18" charset="0"/>
                </a:rPr>
                <a:t>𝑅𝐶</a:t>
              </a:r>
              <a:r>
                <a:rPr lang="es-MX" sz="1100" b="0" i="0">
                  <a:latin typeface="Cambria Math" panose="02040503050406030204" pitchFamily="18" charset="0"/>
                </a:rPr>
                <a:t>〗_(</a:t>
              </a:r>
              <a:r>
                <a:rPr lang="es-ES" sz="1100" b="0" i="0">
                  <a:latin typeface="Cambria Math" panose="02040503050406030204" pitchFamily="18" charset="0"/>
                </a:rPr>
                <a:t>𝑖𝑡−1</a:t>
              </a:r>
              <a:r>
                <a:rPr lang="es-MX" sz="1100" b="0" i="0">
                  <a:latin typeface="Cambria Math" panose="02040503050406030204" pitchFamily="18" charset="0"/>
                </a:rPr>
                <a:t>)/〖</a:t>
              </a:r>
              <a:r>
                <a:rPr lang="es-ES" sz="1100" b="0" i="0">
                  <a:latin typeface="Cambria Math" panose="02040503050406030204" pitchFamily="18" charset="0"/>
                </a:rPr>
                <a:t>𝑅𝐶</a:t>
              </a:r>
              <a:r>
                <a:rPr lang="es-MX" sz="1100" b="0" i="0">
                  <a:latin typeface="Cambria Math" panose="02040503050406030204" pitchFamily="18" charset="0"/>
                </a:rPr>
                <a:t>〗_(</a:t>
              </a:r>
              <a:r>
                <a:rPr lang="es-ES" sz="1100" b="0" i="0">
                  <a:latin typeface="Cambria Math" panose="02040503050406030204" pitchFamily="18" charset="0"/>
                </a:rPr>
                <a:t>𝑖𝑡−2</a:t>
              </a:r>
              <a:r>
                <a:rPr lang="es-MX" sz="1100" b="0" i="0">
                  <a:latin typeface="Cambria Math" panose="02040503050406030204" pitchFamily="18" charset="0"/>
                </a:rPr>
                <a:t>)</a:t>
              </a:r>
              <a:r>
                <a:rPr lang="es-ES" sz="1100" b="0" i="0">
                  <a:latin typeface="Cambria Math" panose="02040503050406030204" pitchFamily="18" charset="0"/>
                </a:rPr>
                <a:t> 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20</xdr:col>
      <xdr:colOff>285750</xdr:colOff>
      <xdr:row>5</xdr:row>
      <xdr:rowOff>38100</xdr:rowOff>
    </xdr:from>
    <xdr:ext cx="509587" cy="1769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3E0E7C29-D165-4629-B615-833D9BCB748C}"/>
                </a:ext>
              </a:extLst>
            </xdr:cNvPr>
            <xdr:cNvSpPr txBox="1"/>
          </xdr:nvSpPr>
          <xdr:spPr>
            <a:xfrm>
              <a:off x="16878300" y="1428750"/>
              <a:ext cx="509587" cy="176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e>
                      <m:sub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ES" sz="11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3E0E7C29-D165-4629-B615-833D9BCB748C}"/>
                </a:ext>
              </a:extLst>
            </xdr:cNvPr>
            <xdr:cNvSpPr txBox="1"/>
          </xdr:nvSpPr>
          <xdr:spPr>
            <a:xfrm>
              <a:off x="16878300" y="1428750"/>
              <a:ext cx="509587" cy="176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𝐼</a:t>
              </a:r>
              <a:r>
                <a:rPr lang="es-MX" sz="1100" b="0" i="0">
                  <a:latin typeface="Cambria Math" panose="02040503050406030204" pitchFamily="18" charset="0"/>
                </a:rPr>
                <a:t>_(</a:t>
              </a:r>
              <a:r>
                <a:rPr lang="es-ES" sz="1100" b="0" i="0">
                  <a:latin typeface="Cambria Math" panose="02040503050406030204" pitchFamily="18" charset="0"/>
                </a:rPr>
                <a:t>𝑖,𝑡</a:t>
              </a:r>
              <a:r>
                <a:rPr lang="es-MX" sz="1100" b="0" i="0">
                  <a:latin typeface="Cambria Math" panose="02040503050406030204" pitchFamily="18" charset="0"/>
                </a:rPr>
                <a:t>)</a:t>
              </a:r>
              <a:endParaRPr lang="es-MX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7" name="Lin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8" name="Line 5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9" name="Line 6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10" name="Line 7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11" name="Line 8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12" name="Line 9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13" name="Line 10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14" name="Line 1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15" name="Line 1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16" name="Line 13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17" name="Line 1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18" name="Line 15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19" name="Line 16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20" name="Line 17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21" name="Line 18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22" name="Line 19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23" name="Line 20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24" name="Line 2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25" name="Line 22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26" name="Line 23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27" name="Line 24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28" name="Line 25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29" name="Line 26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30" name="Line 27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31" name="Line 28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32" name="Line 29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33" name="Line 30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34" name="Line 3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35" name="Line 32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36" name="Line 3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37" name="Line 34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38" name="Line 35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39" name="Line 36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40" name="Line 37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41" name="Line 38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42" name="Line 39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43" name="Line 40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44" name="Line 41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45" name="Line 42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46" name="Line 43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47" name="Line 44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48" name="Line 45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16</xdr:col>
      <xdr:colOff>27000</xdr:colOff>
      <xdr:row>123</xdr:row>
      <xdr:rowOff>107640</xdr:rowOff>
    </xdr:from>
    <xdr:ext cx="0" cy="0"/>
    <xdr:sp macro="" textlink="">
      <xdr:nvSpPr>
        <xdr:cNvPr id="49" name="Line 46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>
          <a:off x="10199700" y="2227231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14</xdr:col>
      <xdr:colOff>293760</xdr:colOff>
      <xdr:row>0</xdr:row>
      <xdr:rowOff>86400</xdr:rowOff>
    </xdr:from>
    <xdr:ext cx="1212120" cy="243360"/>
    <xdr:sp macro="" textlink="">
      <xdr:nvSpPr>
        <xdr:cNvPr id="3" name="Text Box 50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980560" y="86400"/>
          <a:ext cx="1212120" cy="243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2736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endParaRPr lang="es-MX" sz="1000" b="1" i="0" u="none" strike="noStrike" kern="1200" spc="0">
            <a:solidFill>
              <a:srgbClr val="000000"/>
            </a:solidFill>
            <a:latin typeface="Arial" pitchFamily="18"/>
            <a:cs typeface="Arial"/>
          </a:endParaRPr>
        </a:p>
        <a:p>
          <a:pPr lvl="0" algn="ctr" rtl="0" hangingPunct="0">
            <a:buNone/>
            <a:tabLst/>
            <a:defRPr sz="1800"/>
          </a:pPr>
          <a:endParaRPr lang="es-MX" sz="1000" b="1" i="0" u="none" strike="noStrike" kern="1200" spc="0">
            <a:solidFill>
              <a:srgbClr val="000000"/>
            </a:solidFill>
            <a:latin typeface="Arial" pitchFamily="18"/>
            <a:cs typeface="Arial"/>
          </a:endParaRPr>
        </a:p>
      </xdr:txBody>
    </xdr:sp>
    <xdr:clientData/>
  </xdr:oneCellAnchor>
  <xdr:oneCellAnchor>
    <xdr:from>
      <xdr:col>0</xdr:col>
      <xdr:colOff>27000</xdr:colOff>
      <xdr:row>0</xdr:row>
      <xdr:rowOff>0</xdr:rowOff>
    </xdr:from>
    <xdr:ext cx="1625400" cy="462960"/>
    <xdr:pic>
      <xdr:nvPicPr>
        <xdr:cNvPr id="2" name="5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27000" y="0"/>
          <a:ext cx="1625400" cy="46296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27000</xdr:colOff>
      <xdr:row>10</xdr:row>
      <xdr:rowOff>153720</xdr:rowOff>
    </xdr:from>
    <xdr:ext cx="0" cy="9000"/>
    <xdr:sp macro="" textlink="">
      <xdr:nvSpPr>
        <xdr:cNvPr id="2" name="Text Box 4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551125" y="128719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3</xdr:col>
      <xdr:colOff>27000</xdr:colOff>
      <xdr:row>10</xdr:row>
      <xdr:rowOff>153720</xdr:rowOff>
    </xdr:from>
    <xdr:ext cx="0" cy="9000"/>
    <xdr:sp macro="" textlink="">
      <xdr:nvSpPr>
        <xdr:cNvPr id="3" name="Text Box 4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2551125" y="128719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3</xdr:col>
      <xdr:colOff>27000</xdr:colOff>
      <xdr:row>10</xdr:row>
      <xdr:rowOff>153720</xdr:rowOff>
    </xdr:from>
    <xdr:ext cx="0" cy="9000"/>
    <xdr:sp macro="" textlink="">
      <xdr:nvSpPr>
        <xdr:cNvPr id="4" name="Text Box 47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2551125" y="128719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3</xdr:col>
      <xdr:colOff>27000</xdr:colOff>
      <xdr:row>10</xdr:row>
      <xdr:rowOff>153720</xdr:rowOff>
    </xdr:from>
    <xdr:ext cx="0" cy="9000"/>
    <xdr:sp macro="" textlink="">
      <xdr:nvSpPr>
        <xdr:cNvPr id="5" name="Text Box 48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551125" y="128719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3</xdr:col>
      <xdr:colOff>27000</xdr:colOff>
      <xdr:row>10</xdr:row>
      <xdr:rowOff>153720</xdr:rowOff>
    </xdr:from>
    <xdr:ext cx="0" cy="9000"/>
    <xdr:sp macro="" textlink="">
      <xdr:nvSpPr>
        <xdr:cNvPr id="6" name="Text Box 87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551125" y="128719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3</xdr:col>
      <xdr:colOff>27000</xdr:colOff>
      <xdr:row>10</xdr:row>
      <xdr:rowOff>153720</xdr:rowOff>
    </xdr:from>
    <xdr:ext cx="0" cy="9000"/>
    <xdr:sp macro="" textlink="">
      <xdr:nvSpPr>
        <xdr:cNvPr id="7" name="Text Box 88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2551125" y="1287195"/>
          <a:ext cx="0" cy="90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48" name="Lin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49" name="Lin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0" name="Line 3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1" name="Line 4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2" name="Line 5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3" name="Line 6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4" name="Line 7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5" name="Line 8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6" name="Line 9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7" name="Line 10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8" name="Line 1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9" name="Line 1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0" name="Line 13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1" name="Line 14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2" name="Line 15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3" name="Line 16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4" name="Line 17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5" name="Line 18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6" name="Line 19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7" name="Line 20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8" name="Line 2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9" name="Line 2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0" name="Line 23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1" name="Line 24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2" name="Line 25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3" name="Line 26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4" name="Line 27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5" name="Line 28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6" name="Line 29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7" name="Line 30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8" name="Line 3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9" name="Line 3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0" name="Line 33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1" name="Line 34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2" name="Line 35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3" name="Line 36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4" name="Line 37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5" name="Line 38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6" name="Line 39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7" name="Line 40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8" name="Line 4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9" name="Line 4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90" name="Line 43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SpPr/>
      </xdr:nvSpPr>
      <xdr:spPr>
        <a:xfrm>
          <a:off x="4427550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2" name="Text Box 46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427550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0" name="Line 4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1" name="Line 5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2" name="Line 5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3" name="Line 5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4" name="Line 5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5" name="Line 5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6" name="Line 5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7" name="Line 5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8" name="Line 5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9" name="Line 5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0" name="Line 5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1" name="Line 6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2" name="Line 6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3" name="Line 6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4" name="Line 6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5" name="Line 6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6" name="Line 6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7" name="Line 6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8" name="Line 6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9" name="Line 6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0" name="Line 6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1" name="Line 7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2" name="Line 7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3" name="Line 7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4" name="Line 7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5" name="Line 7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6" name="Line 7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7" name="Line 7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8" name="Line 7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9" name="Line 7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0" name="Line 7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1" name="Line 8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2" name="Line 8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3" name="Line 8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4" name="Line 8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5" name="Line 8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6" name="Line 8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7" name="Line 8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/>
      </xdr:nvSpPr>
      <xdr:spPr>
        <a:xfrm>
          <a:off x="4427550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427550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" name="Text Box 90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42755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5" name="Text Box 9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442755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6" name="Text Box 9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442755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7" name="Text Box 93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442755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8" name="Text Box 9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442755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9" name="Text Box 95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42755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4" name="Line 1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5" name="Line 2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6" name="Line 3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7" name="Line 4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8" name="Line 5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59" name="Line 6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0" name="Line 7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1" name="Line 8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2" name="Line 9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3" name="Line 10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4" name="Line 11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5" name="Line 12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6" name="Line 13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7" name="Line 14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8" name="Line 15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69" name="Line 16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0" name="Line 17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1" name="Line 18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2" name="Line 19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3" name="Line 20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4" name="Line 21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5" name="Line 22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6" name="Line 23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7" name="Line 24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8" name="Line 25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79" name="Line 26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0" name="Line 27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1" name="Line 28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2" name="Line 29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3" name="Line 30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4" name="Line 31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5" name="Line 32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6" name="Line 33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7" name="Line 34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8" name="Line 35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89" name="Line 36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90" name="Line 37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91" name="Line 38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92" name="Line 39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93" name="Line 40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94" name="Line 41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95" name="Line 42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138</xdr:row>
      <xdr:rowOff>153360</xdr:rowOff>
    </xdr:from>
    <xdr:ext cx="0" cy="0"/>
    <xdr:sp macro="" textlink="">
      <xdr:nvSpPr>
        <xdr:cNvPr id="96" name="Line 43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2" name="Text Box 4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426562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6" name="Line 49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7" name="Line 50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8" name="Line 5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19" name="Line 5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0" name="Line 53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1" name="Line 54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2" name="Line 55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3" name="Line 56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4" name="Line 57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5" name="Line 58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6" name="Line 59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7" name="Line 60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8" name="Line 61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29" name="Line 62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0" name="Line 63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1" name="Line 64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2" name="Line 65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3" name="Line 66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4" name="Line 67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5" name="Line 68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6" name="Line 69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7" name="Line 70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8" name="Line 71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39" name="Line 72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0" name="Line 73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1" name="Line 74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2" name="Line 75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3" name="Line 76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4" name="Line 77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5" name="Line 78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6" name="Line 79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7" name="Line 80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8" name="Line 81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49" name="Line 82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50" name="Line 83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51" name="Line 84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52" name="Line 85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133</xdr:row>
      <xdr:rowOff>153360</xdr:rowOff>
    </xdr:from>
    <xdr:ext cx="0" cy="0"/>
    <xdr:sp macro="" textlink="">
      <xdr:nvSpPr>
        <xdr:cNvPr id="53" name="Line 86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26562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" name="Text Box 90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5" name="Text Box 9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6" name="Text Box 9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7" name="Text Box 9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8" name="Text Box 9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9" name="Text Box 95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0" name="Text Box 9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1" name="Text Box 9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" name="Text Box 9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" name="Text Box 93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" name="Text Box 9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" name="Text Box 95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0" name="Line 1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1" name="Line 2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2" name="Line 3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3" name="Line 4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4" name="Line 5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5" name="Line 6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6" name="Line 7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7" name="Line 8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8" name="Line 9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9" name="Line 10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0" name="Line 11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1" name="Line 12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2" name="Line 13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3" name="Line 14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4" name="Line 15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5" name="Line 16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6" name="Line 17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7" name="Line 18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8" name="Line 19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9" name="Line 20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0" name="Line 21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1" name="Line 22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2" name="Line 23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3" name="Line 24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4" name="Line 25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5" name="Line 26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6" name="Line 27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7" name="Line 28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8" name="Line 29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9" name="Line 30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0" name="Line 31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1" name="Line 32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2" name="Line 33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3" name="Line 34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4" name="Line 35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5" name="Line 36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6" name="Line 37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7" name="Line 38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8" name="Line 39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9" name="Line 40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0" name="Line 41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1" name="Line 42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2" name="Line 43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SpPr/>
      </xdr:nvSpPr>
      <xdr:spPr>
        <a:xfrm>
          <a:off x="37703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2" name="Text Box 46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377032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22" name="Line 49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23" name="Line 50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24" name="Line 5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25" name="Line 5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26" name="Line 53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27" name="Line 54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28" name="Line 55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29" name="Line 56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0" name="Line 57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1" name="Line 58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2" name="Line 59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3" name="Line 60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4" name="Line 61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5" name="Line 62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6" name="Line 63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7" name="Line 64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8" name="Line 65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9" name="Line 66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0" name="Line 67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1" name="Line 68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2" name="Line 69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3" name="Line 70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4" name="Line 71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5" name="Line 72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6" name="Line 73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7" name="Line 74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8" name="Line 75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9" name="Line 76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0" name="Line 77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1" name="Line 78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2" name="Line 79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3" name="Line 80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4" name="Line 81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5" name="Line 82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6" name="Line 83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7" name="Line 84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8" name="Line 85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9" name="Line 86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SpPr/>
      </xdr:nvSpPr>
      <xdr:spPr>
        <a:xfrm>
          <a:off x="37703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377032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4" name="Text Box 90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5" name="Text Box 9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6" name="Text Box 9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7" name="Text Box 93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8" name="Text Box 9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9" name="Text Box 95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0" name="Text Box 90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1" name="Text Box 9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2" name="Text Box 9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3" name="Text Box 9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4" name="Text Box 94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5" name="Text Box 95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6" name="Text Box 90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7" name="Text Box 91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8" name="Text Box 92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9" name="Text Box 93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0" name="Text Box 94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21" name="Text Box 95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37703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6" name="Line 1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7" name="Line 2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8" name="Line 3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69" name="Line 4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0" name="Line 5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1" name="Line 6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2" name="Line 7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3" name="Line 8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4" name="Line 9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5" name="Line 10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6" name="Line 11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7" name="Line 12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8" name="Line 13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9" name="Line 14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0" name="Line 15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1" name="Line 16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2" name="Line 17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3" name="Line 18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4" name="Line 19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5" name="Line 20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6" name="Line 21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7" name="Line 22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8" name="Line 23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9" name="Line 24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0" name="Line 25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1" name="Line 26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2" name="Line 27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3" name="Line 28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4" name="Line 29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5" name="Line 30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6" name="Line 31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7" name="Line 32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8" name="Line 33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9" name="Line 34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0" name="Line 35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1" name="Line 36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2" name="Line 37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3" name="Line 38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4" name="Line 39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5" name="Line 40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6" name="Line 41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7" name="Line 42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8" name="Line 43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SpPr/>
      </xdr:nvSpPr>
      <xdr:spPr>
        <a:xfrm>
          <a:off x="426562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2" name="Text Box 46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26562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28" name="Line 49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29" name="Line 50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0" name="Line 51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1" name="Line 52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2" name="Line 53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3" name="Line 54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4" name="Line 55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5" name="Line 56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6" name="Line 57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7" name="Line 58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8" name="Line 59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9" name="Line 60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0" name="Line 61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1" name="Line 62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2" name="Line 63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3" name="Line 64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4" name="Line 65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5" name="Line 66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6" name="Line 67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7" name="Line 68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8" name="Line 69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9" name="Line 70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0" name="Line 71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1" name="Line 72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2" name="Line 73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3" name="Line 74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4" name="Line 75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5" name="Line 76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6" name="Line 77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7" name="Line 78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8" name="Line 79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9" name="Line 80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0" name="Line 81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1" name="Line 82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2" name="Line 83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3" name="Line 84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4" name="Line 85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5" name="Line 86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SpPr/>
      </xdr:nvSpPr>
      <xdr:spPr>
        <a:xfrm>
          <a:off x="426562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26562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" name="Text Box 90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5" name="Text Box 9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6" name="Text Box 9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7" name="Text Box 93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8" name="Text Box 9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9" name="Text Box 95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0" name="Text Box 90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1" name="Text Box 91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" name="Text Box 92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" name="Text Box 93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" name="Text Box 9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" name="Text Box 95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" name="Text Box 90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" name="Text Box 91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" name="Text Box 92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" name="Text Box 93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" name="Text Box 94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" name="Text Box 95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" name="Text Box 90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" name="Text Box 91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" name="Text Box 92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" name="Text Box 93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" name="Text Box 94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" name="Text Box 95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426562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09" name="Text Box 90">
          <a:extLst>
            <a:ext uri="{FF2B5EF4-FFF2-40B4-BE49-F238E27FC236}">
              <a16:creationId xmlns:a16="http://schemas.microsoft.com/office/drawing/2014/main" id="{49E23D84-5772-4147-B0AC-05CF8DC5AEAB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10" name="Text Box 91">
          <a:extLst>
            <a:ext uri="{FF2B5EF4-FFF2-40B4-BE49-F238E27FC236}">
              <a16:creationId xmlns:a16="http://schemas.microsoft.com/office/drawing/2014/main" id="{531EAAEC-B387-4613-A54E-0DFEF3FD5B65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11" name="Text Box 92">
          <a:extLst>
            <a:ext uri="{FF2B5EF4-FFF2-40B4-BE49-F238E27FC236}">
              <a16:creationId xmlns:a16="http://schemas.microsoft.com/office/drawing/2014/main" id="{793D5BD9-E33F-4983-BDFA-1ED33B95A308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12" name="Text Box 93">
          <a:extLst>
            <a:ext uri="{FF2B5EF4-FFF2-40B4-BE49-F238E27FC236}">
              <a16:creationId xmlns:a16="http://schemas.microsoft.com/office/drawing/2014/main" id="{32D19036-FA68-418B-B146-50AEF0E1AB11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13" name="Text Box 94">
          <a:extLst>
            <a:ext uri="{FF2B5EF4-FFF2-40B4-BE49-F238E27FC236}">
              <a16:creationId xmlns:a16="http://schemas.microsoft.com/office/drawing/2014/main" id="{C89F4BC3-360A-449F-832D-417FE33FFBB7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14" name="Text Box 95">
          <a:extLst>
            <a:ext uri="{FF2B5EF4-FFF2-40B4-BE49-F238E27FC236}">
              <a16:creationId xmlns:a16="http://schemas.microsoft.com/office/drawing/2014/main" id="{ACD862AE-87E1-4059-A1E2-7DCA0F4352A8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15" name="Text Box 90">
          <a:extLst>
            <a:ext uri="{FF2B5EF4-FFF2-40B4-BE49-F238E27FC236}">
              <a16:creationId xmlns:a16="http://schemas.microsoft.com/office/drawing/2014/main" id="{AC1F3FEE-5EDC-4911-BAE5-C63366C12542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16" name="Text Box 91">
          <a:extLst>
            <a:ext uri="{FF2B5EF4-FFF2-40B4-BE49-F238E27FC236}">
              <a16:creationId xmlns:a16="http://schemas.microsoft.com/office/drawing/2014/main" id="{6C046D9A-3DDD-47C6-90D0-0552DAC48378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17" name="Text Box 92">
          <a:extLst>
            <a:ext uri="{FF2B5EF4-FFF2-40B4-BE49-F238E27FC236}">
              <a16:creationId xmlns:a16="http://schemas.microsoft.com/office/drawing/2014/main" id="{6830C28B-9BD8-4B80-A198-ED4836FE7E2A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18" name="Text Box 93">
          <a:extLst>
            <a:ext uri="{FF2B5EF4-FFF2-40B4-BE49-F238E27FC236}">
              <a16:creationId xmlns:a16="http://schemas.microsoft.com/office/drawing/2014/main" id="{E693CC39-85D4-41DF-9BE3-369A7CF68C6B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19" name="Text Box 94">
          <a:extLst>
            <a:ext uri="{FF2B5EF4-FFF2-40B4-BE49-F238E27FC236}">
              <a16:creationId xmlns:a16="http://schemas.microsoft.com/office/drawing/2014/main" id="{C25240E8-D91C-4BC7-8C35-81EBDF2DC640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20" name="Text Box 95">
          <a:extLst>
            <a:ext uri="{FF2B5EF4-FFF2-40B4-BE49-F238E27FC236}">
              <a16:creationId xmlns:a16="http://schemas.microsoft.com/office/drawing/2014/main" id="{700744B6-A948-46CF-9F35-143554A71B47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21" name="Text Box 90">
          <a:extLst>
            <a:ext uri="{FF2B5EF4-FFF2-40B4-BE49-F238E27FC236}">
              <a16:creationId xmlns:a16="http://schemas.microsoft.com/office/drawing/2014/main" id="{71832987-E033-4AF3-B96D-E6844EBEEB2A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22" name="Text Box 91">
          <a:extLst>
            <a:ext uri="{FF2B5EF4-FFF2-40B4-BE49-F238E27FC236}">
              <a16:creationId xmlns:a16="http://schemas.microsoft.com/office/drawing/2014/main" id="{1EBA235F-6433-4DDF-AD01-A067C9227508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23" name="Text Box 92">
          <a:extLst>
            <a:ext uri="{FF2B5EF4-FFF2-40B4-BE49-F238E27FC236}">
              <a16:creationId xmlns:a16="http://schemas.microsoft.com/office/drawing/2014/main" id="{9CCEACF7-972F-4FE6-A006-35A6225CFFC2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24" name="Text Box 93">
          <a:extLst>
            <a:ext uri="{FF2B5EF4-FFF2-40B4-BE49-F238E27FC236}">
              <a16:creationId xmlns:a16="http://schemas.microsoft.com/office/drawing/2014/main" id="{97A559FC-66D1-49A7-B365-540BB39A1DEA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25" name="Text Box 94">
          <a:extLst>
            <a:ext uri="{FF2B5EF4-FFF2-40B4-BE49-F238E27FC236}">
              <a16:creationId xmlns:a16="http://schemas.microsoft.com/office/drawing/2014/main" id="{818A570C-055E-4BDD-8894-6FD4D2BA0D1A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26" name="Text Box 95">
          <a:extLst>
            <a:ext uri="{FF2B5EF4-FFF2-40B4-BE49-F238E27FC236}">
              <a16:creationId xmlns:a16="http://schemas.microsoft.com/office/drawing/2014/main" id="{E149C20B-B857-4E54-8889-B0A9D8209244}"/>
            </a:ext>
          </a:extLst>
        </xdr:cNvPr>
        <xdr:cNvSpPr/>
      </xdr:nvSpPr>
      <xdr:spPr>
        <a:xfrm>
          <a:off x="3770325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2" name="Line 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3" name="Line 2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4" name="Line 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5" name="Line 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6" name="Line 5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7" name="Line 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8" name="Line 7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79" name="Line 8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0" name="Line 9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1" name="Line 10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2" name="Line 1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3" name="Line 12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4" name="Line 13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5" name="Line 14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6" name="Line 15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7" name="Line 16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8" name="Line 1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89" name="Line 18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0" name="Line 19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1" name="Line 20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2" name="Line 2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3" name="Line 22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4" name="Line 2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5" name="Line 2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6" name="Line 25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7" name="Line 26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8" name="Line 27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99" name="Line 28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0" name="Line 29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1" name="Line 30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2" name="Line 3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3" name="Line 32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4" name="Line 33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5" name="Line 34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6" name="Line 35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7" name="Line 36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8" name="Line 37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09" name="Line 38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0" name="Line 39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1" name="Line 40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2" name="Line 41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3" name="Line 42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137</xdr:row>
      <xdr:rowOff>153360</xdr:rowOff>
    </xdr:from>
    <xdr:ext cx="0" cy="0"/>
    <xdr:sp macro="" textlink="">
      <xdr:nvSpPr>
        <xdr:cNvPr id="114" name="Line 43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SpPr/>
      </xdr:nvSpPr>
      <xdr:spPr>
        <a:xfrm>
          <a:off x="3941775" y="22518060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2" name="Text Box 46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394177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4" name="Line 49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5" name="Line 50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6" name="Line 51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7" name="Line 52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8" name="Line 53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39" name="Line 54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0" name="Line 55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1" name="Line 56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2" name="Line 57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3" name="Line 58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4" name="Line 59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5" name="Line 60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6" name="Line 61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7" name="Line 62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8" name="Line 63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49" name="Line 64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0" name="Line 65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1" name="Line 66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2" name="Line 67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3" name="Line 68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4" name="Line 69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5" name="Line 70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6" name="Line 71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7" name="Line 72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8" name="Line 73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59" name="Line 74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0" name="Line 75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1" name="Line 76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2" name="Line 77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3" name="Line 78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4" name="Line 79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5" name="Line 80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6" name="Line 81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7" name="Line 82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8" name="Line 83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69" name="Line 84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0" name="Line 85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132</xdr:row>
      <xdr:rowOff>153360</xdr:rowOff>
    </xdr:from>
    <xdr:ext cx="0" cy="0"/>
    <xdr:sp macro="" textlink="">
      <xdr:nvSpPr>
        <xdr:cNvPr id="71" name="Line 86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/>
      </xdr:nvSpPr>
      <xdr:spPr>
        <a:xfrm>
          <a:off x="3941775" y="21708435"/>
          <a:ext cx="0" cy="0"/>
        </a:xfrm>
        <a:custGeom>
          <a:avLst/>
          <a:gdLst/>
          <a:ah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>
              <a:moveTo>
                <a:pt x="0" y="0"/>
              </a:moveTo>
              <a:close/>
            </a:path>
          </a:pathLst>
        </a:custGeom>
        <a:noFill/>
        <a:ln w="9360">
          <a:solidFill>
            <a:srgbClr val="000000"/>
          </a:solidFill>
          <a:prstDash val="solid"/>
          <a:round/>
          <a:tailEnd type="arrow"/>
        </a:ln>
      </xdr:spPr>
      <xdr:txBody>
        <a:bodyPr vert="horz" wrap="square" lIns="90000" tIns="45000" rIns="90000" bIns="45000" anchor="ctr" anchorCtr="1" compatLnSpc="0">
          <a:noAutofit/>
        </a:bodyPr>
        <a:lstStyle/>
        <a:p>
          <a:pPr lvl="0" rtl="0" hangingPunct="0">
            <a:buNone/>
            <a:tabLst/>
          </a:pPr>
          <a:endParaRPr lang="es-MX" sz="1200" kern="1200">
            <a:latin typeface="Times New Roman" pitchFamily="18"/>
          </a:endParaRPr>
        </a:p>
      </xdr:txBody>
    </xdr:sp>
    <xdr:clientData/>
  </xdr:oneCellAnchor>
  <xdr:oneCellAnchor>
    <xdr:from>
      <xdr:col>4</xdr:col>
      <xdr:colOff>27000</xdr:colOff>
      <xdr:row>0</xdr:row>
      <xdr:rowOff>0</xdr:rowOff>
    </xdr:from>
    <xdr:ext cx="0" cy="171360"/>
    <xdr:sp macro="" textlink="">
      <xdr:nvSpPr>
        <xdr:cNvPr id="3" name="Text Box 89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3941775" y="0"/>
          <a:ext cx="0" cy="17136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36720" tIns="23040" rIns="36720" bIns="0" anchor="t" compatLnSpc="0">
          <a:noAutofit/>
        </a:bodyPr>
        <a:lstStyle/>
        <a:p>
          <a:pPr lvl="0" algn="ctr" rtl="0" hangingPunct="0">
            <a:buNone/>
            <a:tabLst/>
            <a:defRPr sz="1800"/>
          </a:pPr>
          <a:r>
            <a:rPr lang="es-MX" sz="1200" b="0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</a:t>
          </a: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RA. OPCIÓN</a:t>
          </a:r>
        </a:p>
        <a:p>
          <a:pPr lvl="0" algn="ctr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ORDEN ALFABÉTICO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4" name="Text Box 90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5" name="Text Box 9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6" name="Text Box 9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7" name="Text Box 93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8" name="Text Box 9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9" name="Text Box 95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0" name="Text Box 90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1" name="Text Box 91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" name="Text Box 92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" name="Text Box 93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4" name="Text Box 94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5" name="Text Box 9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6" name="Text Box 90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7" name="Text Box 9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8" name="Text Box 92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9" name="Text Box 93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0" name="Text Box 94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1" name="Text Box 95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2" name="Text Box 90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3" name="Text Box 91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4" name="Text Box 92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5" name="Text Box 93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6" name="Text Box 9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7" name="Text Box 95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8" name="Text Box 90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29" name="Text Box 9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0" name="Text Box 92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1" name="Text Box 93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2" name="Text Box 94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33" name="Text Box 95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/>
      </xdr:nvSpPr>
      <xdr:spPr>
        <a:xfrm>
          <a:off x="3941775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15" name="Text Box 90">
          <a:extLst>
            <a:ext uri="{FF2B5EF4-FFF2-40B4-BE49-F238E27FC236}">
              <a16:creationId xmlns:a16="http://schemas.microsoft.com/office/drawing/2014/main" id="{E1EF0962-D364-4A9A-AC82-05CFE2C07ACE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16" name="Text Box 91">
          <a:extLst>
            <a:ext uri="{FF2B5EF4-FFF2-40B4-BE49-F238E27FC236}">
              <a16:creationId xmlns:a16="http://schemas.microsoft.com/office/drawing/2014/main" id="{BA0D199F-EAC8-40C5-A1FC-5F911F0200F4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17" name="Text Box 92">
          <a:extLst>
            <a:ext uri="{FF2B5EF4-FFF2-40B4-BE49-F238E27FC236}">
              <a16:creationId xmlns:a16="http://schemas.microsoft.com/office/drawing/2014/main" id="{03DA1385-2FE6-4FEE-A514-334DAA53034B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18" name="Text Box 93">
          <a:extLst>
            <a:ext uri="{FF2B5EF4-FFF2-40B4-BE49-F238E27FC236}">
              <a16:creationId xmlns:a16="http://schemas.microsoft.com/office/drawing/2014/main" id="{553939BC-4FCA-403F-90B4-9D6F1E56E532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19" name="Text Box 94">
          <a:extLst>
            <a:ext uri="{FF2B5EF4-FFF2-40B4-BE49-F238E27FC236}">
              <a16:creationId xmlns:a16="http://schemas.microsoft.com/office/drawing/2014/main" id="{5CFBD82D-2D10-4543-890E-13FA1BAB5266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0" name="Text Box 95">
          <a:extLst>
            <a:ext uri="{FF2B5EF4-FFF2-40B4-BE49-F238E27FC236}">
              <a16:creationId xmlns:a16="http://schemas.microsoft.com/office/drawing/2014/main" id="{5B0E78FD-2461-45B7-858A-E7E6E6167A79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1" name="Text Box 90">
          <a:extLst>
            <a:ext uri="{FF2B5EF4-FFF2-40B4-BE49-F238E27FC236}">
              <a16:creationId xmlns:a16="http://schemas.microsoft.com/office/drawing/2014/main" id="{0E303412-DB8E-4487-8318-FDBDD8A989F1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2" name="Text Box 91">
          <a:extLst>
            <a:ext uri="{FF2B5EF4-FFF2-40B4-BE49-F238E27FC236}">
              <a16:creationId xmlns:a16="http://schemas.microsoft.com/office/drawing/2014/main" id="{3C97E409-AFF7-42C2-AA2D-A942532E5BC8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3" name="Text Box 92">
          <a:extLst>
            <a:ext uri="{FF2B5EF4-FFF2-40B4-BE49-F238E27FC236}">
              <a16:creationId xmlns:a16="http://schemas.microsoft.com/office/drawing/2014/main" id="{9C95A4CE-B6CC-4009-A29B-712A5279F401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4" name="Text Box 93">
          <a:extLst>
            <a:ext uri="{FF2B5EF4-FFF2-40B4-BE49-F238E27FC236}">
              <a16:creationId xmlns:a16="http://schemas.microsoft.com/office/drawing/2014/main" id="{B10428C0-924D-4040-BF06-7CFA25D707DB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5" name="Text Box 94">
          <a:extLst>
            <a:ext uri="{FF2B5EF4-FFF2-40B4-BE49-F238E27FC236}">
              <a16:creationId xmlns:a16="http://schemas.microsoft.com/office/drawing/2014/main" id="{B3FBEE41-B3CD-45C6-887F-F72BBDE2CB86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6" name="Text Box 95">
          <a:extLst>
            <a:ext uri="{FF2B5EF4-FFF2-40B4-BE49-F238E27FC236}">
              <a16:creationId xmlns:a16="http://schemas.microsoft.com/office/drawing/2014/main" id="{3AFED512-4DF1-4BAF-9E68-624E6A45D0AD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7" name="Text Box 90">
          <a:extLst>
            <a:ext uri="{FF2B5EF4-FFF2-40B4-BE49-F238E27FC236}">
              <a16:creationId xmlns:a16="http://schemas.microsoft.com/office/drawing/2014/main" id="{2A6DD72B-04B9-4C36-BFDB-02B7985B86EF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8" name="Text Box 91">
          <a:extLst>
            <a:ext uri="{FF2B5EF4-FFF2-40B4-BE49-F238E27FC236}">
              <a16:creationId xmlns:a16="http://schemas.microsoft.com/office/drawing/2014/main" id="{FEA84585-6150-4B99-B636-DD28681CF7DE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29" name="Text Box 92">
          <a:extLst>
            <a:ext uri="{FF2B5EF4-FFF2-40B4-BE49-F238E27FC236}">
              <a16:creationId xmlns:a16="http://schemas.microsoft.com/office/drawing/2014/main" id="{2E08033C-3294-465B-97AD-918D469974DB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0" name="Text Box 93">
          <a:extLst>
            <a:ext uri="{FF2B5EF4-FFF2-40B4-BE49-F238E27FC236}">
              <a16:creationId xmlns:a16="http://schemas.microsoft.com/office/drawing/2014/main" id="{90BD11B9-7765-4BDC-99D3-45D622663078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1" name="Text Box 94">
          <a:extLst>
            <a:ext uri="{FF2B5EF4-FFF2-40B4-BE49-F238E27FC236}">
              <a16:creationId xmlns:a16="http://schemas.microsoft.com/office/drawing/2014/main" id="{4B72D357-94C9-4F83-B269-CAD152DC659E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2" name="Text Box 95">
          <a:extLst>
            <a:ext uri="{FF2B5EF4-FFF2-40B4-BE49-F238E27FC236}">
              <a16:creationId xmlns:a16="http://schemas.microsoft.com/office/drawing/2014/main" id="{25A80100-4C70-4B2A-8D7E-1ACB28967996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3" name="Text Box 90">
          <a:extLst>
            <a:ext uri="{FF2B5EF4-FFF2-40B4-BE49-F238E27FC236}">
              <a16:creationId xmlns:a16="http://schemas.microsoft.com/office/drawing/2014/main" id="{CFB5155E-BE2A-471C-95BC-6956AAF23074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4" name="Text Box 91">
          <a:extLst>
            <a:ext uri="{FF2B5EF4-FFF2-40B4-BE49-F238E27FC236}">
              <a16:creationId xmlns:a16="http://schemas.microsoft.com/office/drawing/2014/main" id="{0359B2FF-1897-4606-A619-0B309515A8E9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5" name="Text Box 92">
          <a:extLst>
            <a:ext uri="{FF2B5EF4-FFF2-40B4-BE49-F238E27FC236}">
              <a16:creationId xmlns:a16="http://schemas.microsoft.com/office/drawing/2014/main" id="{A27444FC-5918-4500-B204-0A33191940DD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6" name="Text Box 93">
          <a:extLst>
            <a:ext uri="{FF2B5EF4-FFF2-40B4-BE49-F238E27FC236}">
              <a16:creationId xmlns:a16="http://schemas.microsoft.com/office/drawing/2014/main" id="{A271F958-A847-42B1-A2C4-731CADBBCDBA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7" name="Text Box 94">
          <a:extLst>
            <a:ext uri="{FF2B5EF4-FFF2-40B4-BE49-F238E27FC236}">
              <a16:creationId xmlns:a16="http://schemas.microsoft.com/office/drawing/2014/main" id="{D40778F2-589C-454B-BF25-51AE0939426B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11</xdr:row>
      <xdr:rowOff>38520</xdr:rowOff>
    </xdr:from>
    <xdr:ext cx="0" cy="124200"/>
    <xdr:sp macro="" textlink="">
      <xdr:nvSpPr>
        <xdr:cNvPr id="138" name="Text Box 95">
          <a:extLst>
            <a:ext uri="{FF2B5EF4-FFF2-40B4-BE49-F238E27FC236}">
              <a16:creationId xmlns:a16="http://schemas.microsoft.com/office/drawing/2014/main" id="{C82F5D22-D24F-4307-9FB6-FCB4D5E24857}"/>
            </a:ext>
          </a:extLst>
        </xdr:cNvPr>
        <xdr:cNvSpPr/>
      </xdr:nvSpPr>
      <xdr:spPr>
        <a:xfrm>
          <a:off x="3798900" y="1838745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39" name="Text Box 90">
          <a:extLst>
            <a:ext uri="{FF2B5EF4-FFF2-40B4-BE49-F238E27FC236}">
              <a16:creationId xmlns:a16="http://schemas.microsoft.com/office/drawing/2014/main" id="{D8459BDD-77FF-409F-A3E8-BD3B44F6E3D7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40" name="Text Box 91">
          <a:extLst>
            <a:ext uri="{FF2B5EF4-FFF2-40B4-BE49-F238E27FC236}">
              <a16:creationId xmlns:a16="http://schemas.microsoft.com/office/drawing/2014/main" id="{9396878A-451A-4E91-821B-E889E5E6ACAF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41" name="Text Box 92">
          <a:extLst>
            <a:ext uri="{FF2B5EF4-FFF2-40B4-BE49-F238E27FC236}">
              <a16:creationId xmlns:a16="http://schemas.microsoft.com/office/drawing/2014/main" id="{43682DF8-08E6-451D-8BE0-4CADA4F0B560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42" name="Text Box 93">
          <a:extLst>
            <a:ext uri="{FF2B5EF4-FFF2-40B4-BE49-F238E27FC236}">
              <a16:creationId xmlns:a16="http://schemas.microsoft.com/office/drawing/2014/main" id="{F5209FDB-79A2-4B98-BED5-15CBA1AF1B1C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43" name="Text Box 94">
          <a:extLst>
            <a:ext uri="{FF2B5EF4-FFF2-40B4-BE49-F238E27FC236}">
              <a16:creationId xmlns:a16="http://schemas.microsoft.com/office/drawing/2014/main" id="{90791AC7-01AC-4E81-AC7C-24764E818365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44" name="Text Box 95">
          <a:extLst>
            <a:ext uri="{FF2B5EF4-FFF2-40B4-BE49-F238E27FC236}">
              <a16:creationId xmlns:a16="http://schemas.microsoft.com/office/drawing/2014/main" id="{377C1495-EA89-43C0-8610-C78CD0093F8E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45" name="Text Box 90">
          <a:extLst>
            <a:ext uri="{FF2B5EF4-FFF2-40B4-BE49-F238E27FC236}">
              <a16:creationId xmlns:a16="http://schemas.microsoft.com/office/drawing/2014/main" id="{849E4FF7-D62B-4E02-B083-051A795CE66A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46" name="Text Box 91">
          <a:extLst>
            <a:ext uri="{FF2B5EF4-FFF2-40B4-BE49-F238E27FC236}">
              <a16:creationId xmlns:a16="http://schemas.microsoft.com/office/drawing/2014/main" id="{BC2FED39-A169-4FE4-B487-72322D39FBFB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47" name="Text Box 92">
          <a:extLst>
            <a:ext uri="{FF2B5EF4-FFF2-40B4-BE49-F238E27FC236}">
              <a16:creationId xmlns:a16="http://schemas.microsoft.com/office/drawing/2014/main" id="{61AF5DD7-F9F8-4F23-AA00-73FA9E78D23A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48" name="Text Box 93">
          <a:extLst>
            <a:ext uri="{FF2B5EF4-FFF2-40B4-BE49-F238E27FC236}">
              <a16:creationId xmlns:a16="http://schemas.microsoft.com/office/drawing/2014/main" id="{B0DAD53E-F1AA-4FBA-8B38-6C458C2558D5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49" name="Text Box 94">
          <a:extLst>
            <a:ext uri="{FF2B5EF4-FFF2-40B4-BE49-F238E27FC236}">
              <a16:creationId xmlns:a16="http://schemas.microsoft.com/office/drawing/2014/main" id="{550BB840-580E-4881-92B2-0088AF017DD4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50" name="Text Box 95">
          <a:extLst>
            <a:ext uri="{FF2B5EF4-FFF2-40B4-BE49-F238E27FC236}">
              <a16:creationId xmlns:a16="http://schemas.microsoft.com/office/drawing/2014/main" id="{16E0E644-3FC8-4DBA-BC0A-A27148382FBE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51" name="Text Box 90">
          <a:extLst>
            <a:ext uri="{FF2B5EF4-FFF2-40B4-BE49-F238E27FC236}">
              <a16:creationId xmlns:a16="http://schemas.microsoft.com/office/drawing/2014/main" id="{700860D5-5FBB-4E5A-B6FB-88E93CF5F941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52" name="Text Box 91">
          <a:extLst>
            <a:ext uri="{FF2B5EF4-FFF2-40B4-BE49-F238E27FC236}">
              <a16:creationId xmlns:a16="http://schemas.microsoft.com/office/drawing/2014/main" id="{02CF91B0-9BDB-41E7-BAC5-8B4C05285AF2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53" name="Text Box 92">
          <a:extLst>
            <a:ext uri="{FF2B5EF4-FFF2-40B4-BE49-F238E27FC236}">
              <a16:creationId xmlns:a16="http://schemas.microsoft.com/office/drawing/2014/main" id="{0424330B-93F4-42F3-A993-1487574050A5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54" name="Text Box 93">
          <a:extLst>
            <a:ext uri="{FF2B5EF4-FFF2-40B4-BE49-F238E27FC236}">
              <a16:creationId xmlns:a16="http://schemas.microsoft.com/office/drawing/2014/main" id="{F1E1DA74-EB93-4CA4-9B24-54EA8D9EFBD9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55" name="Text Box 94">
          <a:extLst>
            <a:ext uri="{FF2B5EF4-FFF2-40B4-BE49-F238E27FC236}">
              <a16:creationId xmlns:a16="http://schemas.microsoft.com/office/drawing/2014/main" id="{FEDD1AD1-1A0B-4DB5-A8AD-5F99B057791D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2/</a:t>
          </a:r>
        </a:p>
      </xdr:txBody>
    </xdr:sp>
    <xdr:clientData/>
  </xdr:oneCellAnchor>
  <xdr:oneCellAnchor>
    <xdr:from>
      <xdr:col>4</xdr:col>
      <xdr:colOff>27000</xdr:colOff>
      <xdr:row>10</xdr:row>
      <xdr:rowOff>38520</xdr:rowOff>
    </xdr:from>
    <xdr:ext cx="0" cy="124200"/>
    <xdr:sp macro="" textlink="">
      <xdr:nvSpPr>
        <xdr:cNvPr id="156" name="Text Box 95">
          <a:extLst>
            <a:ext uri="{FF2B5EF4-FFF2-40B4-BE49-F238E27FC236}">
              <a16:creationId xmlns:a16="http://schemas.microsoft.com/office/drawing/2014/main" id="{BC8A2645-B59E-46BA-88B9-B656C37B79F2}"/>
            </a:ext>
          </a:extLst>
        </xdr:cNvPr>
        <xdr:cNvSpPr/>
      </xdr:nvSpPr>
      <xdr:spPr>
        <a:xfrm>
          <a:off x="3798900" y="1676820"/>
          <a:ext cx="0" cy="124200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7360" tIns="23040" rIns="0" bIns="0" anchor="t" compatLnSpc="0">
          <a:noAutofit/>
        </a:bodyPr>
        <a:lstStyle/>
        <a:p>
          <a:pPr lvl="0" algn="l" rtl="0" hangingPunct="0">
            <a:buNone/>
            <a:tabLst/>
            <a:defRPr sz="1800"/>
          </a:pPr>
          <a:r>
            <a:rPr lang="es-MX" sz="1000" b="1" i="0" u="none" strike="noStrike" kern="1200" spc="0">
              <a:solidFill>
                <a:srgbClr val="000000"/>
              </a:solidFill>
              <a:latin typeface="Arial" pitchFamily="18"/>
              <a:cs typeface="Arial"/>
            </a:rPr>
            <a:t>1/</a:t>
          </a:r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3"/>
  <sheetViews>
    <sheetView workbookViewId="0">
      <selection activeCell="M4" sqref="M4"/>
    </sheetView>
  </sheetViews>
  <sheetFormatPr baseColWidth="10" defaultRowHeight="14.25" x14ac:dyDescent="0.2"/>
  <cols>
    <col min="1" max="1" width="4.25" style="1" customWidth="1"/>
    <col min="2" max="2" width="21.25" style="1" customWidth="1"/>
    <col min="3" max="3" width="6.875" style="1" customWidth="1"/>
    <col min="4" max="4" width="9.125" style="1" customWidth="1"/>
    <col min="5" max="5" width="8.125" style="1" customWidth="1"/>
    <col min="6" max="6" width="8.375" style="1" customWidth="1"/>
    <col min="7" max="7" width="8.125" style="3" customWidth="1"/>
    <col min="8" max="8" width="10" style="3" customWidth="1"/>
    <col min="9" max="9" width="6.25" style="1" customWidth="1"/>
    <col min="10" max="10" width="3.875" style="1" customWidth="1"/>
    <col min="11" max="11" width="10.25" style="1" customWidth="1"/>
    <col min="12" max="12" width="10.125" style="1" customWidth="1"/>
    <col min="13" max="13" width="9.75" style="1" customWidth="1"/>
    <col min="14" max="14" width="10.125" style="1" customWidth="1"/>
    <col min="15" max="15" width="11.25" style="1" customWidth="1"/>
    <col min="16" max="16" width="10.25" style="1" customWidth="1"/>
    <col min="17" max="17" width="11.25" style="1" customWidth="1"/>
    <col min="18" max="18" width="10.625" style="1" customWidth="1"/>
    <col min="19" max="19" width="9.875" style="1" customWidth="1"/>
    <col min="20" max="20" width="2.75" style="1" customWidth="1"/>
    <col min="21" max="22" width="14.25" style="1" customWidth="1"/>
    <col min="23" max="23" width="12.75" style="1" customWidth="1"/>
    <col min="24" max="24" width="7" style="1" customWidth="1"/>
    <col min="25" max="25" width="3.5" style="1" customWidth="1"/>
    <col min="26" max="26" width="12.75" style="1" customWidth="1"/>
    <col min="27" max="28" width="8.25" style="1" customWidth="1"/>
    <col min="29" max="29" width="9.25" style="1" customWidth="1"/>
    <col min="30" max="30" width="2.75" style="1" customWidth="1"/>
    <col min="31" max="31" width="18.125" style="1" customWidth="1"/>
    <col min="32" max="1024" width="12.875" style="1" customWidth="1"/>
  </cols>
  <sheetData>
    <row r="1" spans="1:34" x14ac:dyDescent="0.2">
      <c r="C1" s="2" t="s">
        <v>0</v>
      </c>
    </row>
    <row r="2" spans="1:34" x14ac:dyDescent="0.2">
      <c r="C2" s="2" t="s">
        <v>1</v>
      </c>
    </row>
    <row r="5" spans="1:34" x14ac:dyDescent="0.2">
      <c r="A5" s="4"/>
    </row>
    <row r="6" spans="1:34" x14ac:dyDescent="0.2">
      <c r="A6" s="4" t="s">
        <v>2</v>
      </c>
    </row>
    <row r="7" spans="1:34" x14ac:dyDescent="0.2">
      <c r="A7" s="5" t="s">
        <v>3</v>
      </c>
      <c r="B7" s="2"/>
      <c r="C7" s="6"/>
      <c r="D7" s="6"/>
      <c r="E7" s="6"/>
      <c r="F7" s="6"/>
      <c r="G7" s="7"/>
      <c r="H7" s="7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34" x14ac:dyDescent="0.2">
      <c r="A8" s="4" t="s">
        <v>4</v>
      </c>
      <c r="B8" s="2"/>
      <c r="C8" s="2"/>
      <c r="D8" s="2"/>
      <c r="E8" s="2"/>
      <c r="F8" s="2"/>
      <c r="G8" s="8"/>
      <c r="H8" s="8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4" x14ac:dyDescent="0.2">
      <c r="B9" s="2"/>
      <c r="C9" s="6"/>
      <c r="D9" s="6"/>
      <c r="E9" s="6"/>
      <c r="F9" s="6"/>
      <c r="G9" s="7"/>
      <c r="H9" s="7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34" x14ac:dyDescent="0.2">
      <c r="B10" s="2"/>
      <c r="C10" s="6"/>
      <c r="D10" s="6"/>
      <c r="E10" s="6"/>
      <c r="F10" s="6"/>
      <c r="G10" s="7"/>
      <c r="H10" s="7"/>
      <c r="I10" s="6"/>
      <c r="J10" s="6"/>
      <c r="K10" s="6"/>
      <c r="L10" s="6"/>
      <c r="M10" s="6"/>
      <c r="N10" s="6"/>
      <c r="O10" s="6"/>
      <c r="P10" s="6"/>
      <c r="Q10" s="6"/>
      <c r="R10" s="9"/>
      <c r="S10" s="9"/>
      <c r="T10" s="9"/>
      <c r="U10" s="9"/>
      <c r="V10" s="9"/>
    </row>
    <row r="11" spans="1:34" ht="16.5" customHeight="1" x14ac:dyDescent="0.2">
      <c r="A11" s="6"/>
      <c r="B11" s="6"/>
      <c r="C11" s="741" t="s">
        <v>5</v>
      </c>
      <c r="D11" s="741"/>
      <c r="E11" s="741"/>
      <c r="F11" s="741"/>
      <c r="G11" s="741"/>
      <c r="H11" s="741"/>
      <c r="I11" s="741"/>
      <c r="J11" s="6"/>
      <c r="K11" s="6"/>
      <c r="L11" s="741" t="s">
        <v>6</v>
      </c>
      <c r="M11" s="741"/>
      <c r="N11" s="741"/>
      <c r="O11" s="741"/>
      <c r="P11" s="741"/>
      <c r="Q11" s="741"/>
      <c r="R11" s="10"/>
      <c r="S11" s="2"/>
      <c r="T11" s="2"/>
      <c r="U11" s="6"/>
      <c r="V11" s="6"/>
    </row>
    <row r="12" spans="1:34" ht="15" customHeight="1" x14ac:dyDescent="0.2">
      <c r="A12" s="11" t="s">
        <v>7</v>
      </c>
      <c r="B12" s="11" t="s">
        <v>7</v>
      </c>
      <c r="C12" s="12" t="s">
        <v>8</v>
      </c>
      <c r="D12" s="11" t="s">
        <v>9</v>
      </c>
      <c r="E12" s="13" t="s">
        <v>10</v>
      </c>
      <c r="F12" s="11" t="s">
        <v>11</v>
      </c>
      <c r="G12" s="14" t="s">
        <v>12</v>
      </c>
      <c r="H12" s="14" t="s">
        <v>13</v>
      </c>
      <c r="I12" s="11" t="s">
        <v>14</v>
      </c>
      <c r="J12" s="11" t="s">
        <v>7</v>
      </c>
      <c r="K12" s="11" t="s">
        <v>7</v>
      </c>
      <c r="L12" s="12" t="s">
        <v>8</v>
      </c>
      <c r="M12" s="11" t="s">
        <v>9</v>
      </c>
      <c r="N12" s="14" t="s">
        <v>12</v>
      </c>
      <c r="O12" s="14" t="s">
        <v>13</v>
      </c>
      <c r="P12" s="11" t="s">
        <v>14</v>
      </c>
      <c r="Q12" s="11" t="s">
        <v>15</v>
      </c>
      <c r="R12" s="11" t="s">
        <v>16</v>
      </c>
      <c r="S12" s="2"/>
      <c r="T12" s="2"/>
      <c r="U12" s="11" t="s">
        <v>7</v>
      </c>
      <c r="V12" s="11" t="s">
        <v>17</v>
      </c>
      <c r="W12" s="11" t="s">
        <v>17</v>
      </c>
      <c r="X12" s="11" t="s">
        <v>18</v>
      </c>
      <c r="Y12" s="11" t="s">
        <v>7</v>
      </c>
      <c r="Z12" s="12" t="s">
        <v>7</v>
      </c>
      <c r="AA12" s="741" t="s">
        <v>19</v>
      </c>
      <c r="AB12" s="741"/>
      <c r="AC12" s="13" t="s">
        <v>18</v>
      </c>
      <c r="AD12" s="11" t="s">
        <v>7</v>
      </c>
      <c r="AE12" s="12" t="s">
        <v>7</v>
      </c>
      <c r="AF12" s="741" t="s">
        <v>20</v>
      </c>
      <c r="AG12" s="741"/>
      <c r="AH12" s="13" t="s">
        <v>18</v>
      </c>
    </row>
    <row r="13" spans="1:34" x14ac:dyDescent="0.2">
      <c r="A13" s="15" t="s">
        <v>21</v>
      </c>
      <c r="B13" s="15"/>
      <c r="C13" s="16" t="s">
        <v>22</v>
      </c>
      <c r="D13" s="15" t="s">
        <v>23</v>
      </c>
      <c r="E13" s="17">
        <v>2015</v>
      </c>
      <c r="F13" s="15">
        <v>2020</v>
      </c>
      <c r="G13" s="18" t="s">
        <v>24</v>
      </c>
      <c r="H13" s="18" t="s">
        <v>25</v>
      </c>
      <c r="I13" s="15" t="s">
        <v>26</v>
      </c>
      <c r="J13" s="15" t="s">
        <v>21</v>
      </c>
      <c r="K13" s="15"/>
      <c r="L13" s="16" t="s">
        <v>22</v>
      </c>
      <c r="M13" s="15" t="s">
        <v>23</v>
      </c>
      <c r="N13" s="18" t="s">
        <v>24</v>
      </c>
      <c r="O13" s="15" t="s">
        <v>25</v>
      </c>
      <c r="P13" s="15" t="s">
        <v>26</v>
      </c>
      <c r="Q13" s="15" t="s">
        <v>27</v>
      </c>
      <c r="R13" s="15" t="s">
        <v>28</v>
      </c>
      <c r="S13" s="2"/>
      <c r="T13" s="2"/>
      <c r="U13" s="19" t="s">
        <v>29</v>
      </c>
      <c r="V13" s="19" t="s">
        <v>30</v>
      </c>
      <c r="W13" s="19" t="s">
        <v>31</v>
      </c>
      <c r="X13" s="19" t="s">
        <v>32</v>
      </c>
      <c r="Y13" s="19"/>
      <c r="Z13" s="19" t="s">
        <v>29</v>
      </c>
      <c r="AA13" s="19">
        <v>2019</v>
      </c>
      <c r="AB13" s="19">
        <v>2020</v>
      </c>
      <c r="AC13" s="19" t="s">
        <v>32</v>
      </c>
      <c r="AD13" s="19"/>
      <c r="AE13" s="19" t="s">
        <v>29</v>
      </c>
      <c r="AF13" s="19">
        <v>2019</v>
      </c>
      <c r="AG13" s="19">
        <v>2020</v>
      </c>
      <c r="AH13" s="19" t="s">
        <v>32</v>
      </c>
    </row>
    <row r="14" spans="1:34" x14ac:dyDescent="0.2">
      <c r="A14" s="19" t="s">
        <v>33</v>
      </c>
      <c r="B14" s="20" t="s">
        <v>34</v>
      </c>
      <c r="C14" s="21">
        <v>1</v>
      </c>
      <c r="D14" s="19">
        <v>2</v>
      </c>
      <c r="E14" s="22">
        <v>3</v>
      </c>
      <c r="F14" s="19" t="s">
        <v>35</v>
      </c>
      <c r="G14" s="23">
        <v>5</v>
      </c>
      <c r="H14" s="23">
        <v>6</v>
      </c>
      <c r="I14" s="19">
        <v>7</v>
      </c>
      <c r="J14" s="19" t="s">
        <v>33</v>
      </c>
      <c r="K14" s="20" t="s">
        <v>34</v>
      </c>
      <c r="L14" s="24" t="s">
        <v>36</v>
      </c>
      <c r="M14" s="24" t="s">
        <v>37</v>
      </c>
      <c r="N14" s="24" t="s">
        <v>38</v>
      </c>
      <c r="O14" s="24" t="s">
        <v>39</v>
      </c>
      <c r="P14" s="24" t="s">
        <v>40</v>
      </c>
      <c r="Q14" s="24" t="s">
        <v>41</v>
      </c>
      <c r="R14" s="19" t="s">
        <v>42</v>
      </c>
      <c r="S14" s="2"/>
      <c r="T14" s="2"/>
      <c r="U14" s="6"/>
      <c r="V14" s="6"/>
      <c r="W14" s="6"/>
      <c r="X14" s="6"/>
    </row>
    <row r="15" spans="1:34" x14ac:dyDescent="0.2">
      <c r="C15" s="25">
        <f t="shared" ref="C15:I15" si="0">SUM(C16:C128)</f>
        <v>58594</v>
      </c>
      <c r="D15" s="3">
        <f t="shared" si="0"/>
        <v>11769.072560554494</v>
      </c>
      <c r="E15" s="26">
        <f t="shared" si="0"/>
        <v>4584471</v>
      </c>
      <c r="F15" s="27">
        <f t="shared" si="0"/>
        <v>100.00000000010002</v>
      </c>
      <c r="G15" s="26">
        <f t="shared" si="0"/>
        <v>551198606.04999995</v>
      </c>
      <c r="H15" s="26">
        <f t="shared" si="0"/>
        <v>2772809532</v>
      </c>
      <c r="I15" s="3">
        <f t="shared" si="0"/>
        <v>9427</v>
      </c>
      <c r="L15" s="3">
        <f t="shared" ref="L15:R15" si="1">SUM(L16:L128)</f>
        <v>100.00000000000004</v>
      </c>
      <c r="M15" s="3">
        <f t="shared" si="1"/>
        <v>99.999999999799982</v>
      </c>
      <c r="N15" s="3">
        <f t="shared" si="1"/>
        <v>100.00000000000001</v>
      </c>
      <c r="O15" s="3">
        <f t="shared" si="1"/>
        <v>2499.9999999999995</v>
      </c>
      <c r="P15" s="3">
        <f t="shared" si="1"/>
        <v>100.00000000000001</v>
      </c>
      <c r="Q15" s="3">
        <f t="shared" si="1"/>
        <v>2899.9999999997995</v>
      </c>
      <c r="R15" s="28">
        <f t="shared" si="1"/>
        <v>100</v>
      </c>
      <c r="S15" s="2"/>
      <c r="T15" s="2"/>
      <c r="U15" s="3"/>
      <c r="V15" s="29">
        <f>SUM(V16:V128)</f>
        <v>99.999999999999986</v>
      </c>
      <c r="W15" s="29">
        <f>SUM(W16:W128)</f>
        <v>100</v>
      </c>
      <c r="X15" s="30"/>
      <c r="AA15" s="31">
        <f>SUM(AA16:AA128)</f>
        <v>532996470.18999994</v>
      </c>
      <c r="AB15" s="31">
        <f>SUM(AB16:AB128)</f>
        <v>551198606.05000007</v>
      </c>
      <c r="AC15" s="32">
        <f>(AB15-AA15)/AA15%</f>
        <v>3.4150574868744488</v>
      </c>
      <c r="AD15" s="33"/>
      <c r="AF15" s="31">
        <f>SUM(AF16:AF128)</f>
        <v>2580997365</v>
      </c>
      <c r="AG15" s="31">
        <f>SUM(AG16:AG128)</f>
        <v>2772809532</v>
      </c>
      <c r="AH15" s="3">
        <f>(AG15-AF15)/AF15%</f>
        <v>7.4317071997475681</v>
      </c>
    </row>
    <row r="16" spans="1:34" x14ac:dyDescent="0.2">
      <c r="A16" s="34">
        <v>1</v>
      </c>
      <c r="B16" s="35" t="s">
        <v>43</v>
      </c>
      <c r="C16" s="36">
        <v>176</v>
      </c>
      <c r="D16" s="37">
        <f t="shared" ref="D16:D47" si="2">ROUND(E16/C16,10)</f>
        <v>64.914772727300004</v>
      </c>
      <c r="E16" s="38">
        <v>11425</v>
      </c>
      <c r="F16" s="39">
        <f t="shared" ref="F16:F47" si="3">ROUND(E16/$E$15%,10)</f>
        <v>0.2492108686</v>
      </c>
      <c r="G16" s="38">
        <v>1111161.94</v>
      </c>
      <c r="H16" s="38">
        <v>10837295</v>
      </c>
      <c r="I16" s="40">
        <v>42</v>
      </c>
      <c r="J16" s="34">
        <v>1</v>
      </c>
      <c r="K16" s="35" t="s">
        <v>43</v>
      </c>
      <c r="L16" s="41">
        <f t="shared" ref="L16:L47" si="4">C16/$C$15%</f>
        <v>0.30037205174591253</v>
      </c>
      <c r="M16" s="41">
        <f t="shared" ref="M16:M47" si="5">ROUND(D16/$D$15%,10)</f>
        <v>0.55157084290000002</v>
      </c>
      <c r="N16" s="41">
        <f t="shared" ref="N16:N47" si="6">G16/$G$15%</f>
        <v>0.20159012156485842</v>
      </c>
      <c r="O16" s="41">
        <f t="shared" ref="O16:O47" si="7">(H16/$H$15%)*25</f>
        <v>9.771041677160536</v>
      </c>
      <c r="P16" s="41">
        <f t="shared" ref="P16:P47" si="8">I16/$I$15%</f>
        <v>0.44552880025458791</v>
      </c>
      <c r="Q16" s="41">
        <f t="shared" ref="Q16:Q47" si="9">SUM(L16:P16)</f>
        <v>11.270103493625895</v>
      </c>
      <c r="R16" s="42">
        <f t="shared" ref="R16:R21" si="10">ROUND(Q16/$Q$129%,10)</f>
        <v>0.38862425839999998</v>
      </c>
      <c r="S16" s="2"/>
      <c r="T16" s="34">
        <v>1</v>
      </c>
      <c r="U16" s="43" t="s">
        <v>44</v>
      </c>
      <c r="V16" s="43">
        <v>0.50651735600000003</v>
      </c>
      <c r="W16" s="43">
        <v>0.46556387399999999</v>
      </c>
      <c r="X16" s="44">
        <v>-8.0853067550167008</v>
      </c>
      <c r="Y16" s="34">
        <v>1</v>
      </c>
      <c r="Z16" s="43" t="s">
        <v>45</v>
      </c>
      <c r="AA16" s="45">
        <v>4562711</v>
      </c>
      <c r="AB16" s="46">
        <v>3183469.69</v>
      </c>
      <c r="AC16" s="47">
        <v>-30.228548553699799</v>
      </c>
      <c r="AD16" s="34">
        <v>1</v>
      </c>
      <c r="AE16" s="43" t="s">
        <v>44</v>
      </c>
      <c r="AF16" s="46">
        <v>14391741</v>
      </c>
      <c r="AG16" s="46">
        <v>14144945</v>
      </c>
      <c r="AH16" s="47">
        <v>-1.71484464596743</v>
      </c>
    </row>
    <row r="17" spans="1:34" x14ac:dyDescent="0.2">
      <c r="A17" s="34">
        <v>2</v>
      </c>
      <c r="B17" s="35" t="s">
        <v>46</v>
      </c>
      <c r="C17" s="36">
        <v>1397</v>
      </c>
      <c r="D17" s="37">
        <f t="shared" si="2"/>
        <v>10.9098067287</v>
      </c>
      <c r="E17" s="38">
        <v>15241</v>
      </c>
      <c r="F17" s="39">
        <f t="shared" si="3"/>
        <v>0.33244838939999999</v>
      </c>
      <c r="G17" s="38">
        <v>1643368.63</v>
      </c>
      <c r="H17" s="38">
        <v>39181568</v>
      </c>
      <c r="I17" s="40">
        <v>172</v>
      </c>
      <c r="J17" s="34">
        <v>2</v>
      </c>
      <c r="K17" s="35" t="s">
        <v>46</v>
      </c>
      <c r="L17" s="41">
        <f t="shared" si="4"/>
        <v>2.3842031607331808</v>
      </c>
      <c r="M17" s="41">
        <f t="shared" si="5"/>
        <v>9.2698950299999999E-2</v>
      </c>
      <c r="N17" s="41">
        <f t="shared" si="6"/>
        <v>0.29814455478701407</v>
      </c>
      <c r="O17" s="41">
        <f t="shared" si="7"/>
        <v>35.326595234742584</v>
      </c>
      <c r="P17" s="41">
        <f t="shared" si="8"/>
        <v>1.8245465153283125</v>
      </c>
      <c r="Q17" s="41">
        <f t="shared" si="9"/>
        <v>39.926188415891097</v>
      </c>
      <c r="R17" s="42">
        <f t="shared" si="10"/>
        <v>1.3767651178</v>
      </c>
      <c r="S17" s="2"/>
      <c r="T17" s="34">
        <v>2</v>
      </c>
      <c r="U17" s="43" t="s">
        <v>47</v>
      </c>
      <c r="V17" s="43">
        <v>0.38423104879999997</v>
      </c>
      <c r="W17" s="43">
        <v>0.3670610748</v>
      </c>
      <c r="X17" s="44">
        <v>-4.4686586504718697</v>
      </c>
      <c r="Y17" s="34">
        <v>2</v>
      </c>
      <c r="Z17" s="43" t="s">
        <v>48</v>
      </c>
      <c r="AA17" s="45">
        <v>1160957.3899999999</v>
      </c>
      <c r="AB17" s="46">
        <v>1021884.85</v>
      </c>
      <c r="AC17" s="47">
        <v>-11.979125263158901</v>
      </c>
      <c r="AD17" s="34">
        <v>2</v>
      </c>
      <c r="AE17" s="35" t="s">
        <v>47</v>
      </c>
      <c r="AF17" s="38">
        <v>10477281</v>
      </c>
      <c r="AG17" s="38">
        <v>10696399</v>
      </c>
      <c r="AH17" s="40">
        <v>2.0913632076871802</v>
      </c>
    </row>
    <row r="18" spans="1:34" x14ac:dyDescent="0.2">
      <c r="A18" s="34">
        <v>3</v>
      </c>
      <c r="B18" s="35" t="s">
        <v>49</v>
      </c>
      <c r="C18" s="36">
        <v>160</v>
      </c>
      <c r="D18" s="37">
        <f t="shared" si="2"/>
        <v>135.31874999999999</v>
      </c>
      <c r="E18" s="38">
        <v>21651</v>
      </c>
      <c r="F18" s="39">
        <f t="shared" si="3"/>
        <v>0.47226822899999998</v>
      </c>
      <c r="G18" s="38">
        <v>2163561.9900000002</v>
      </c>
      <c r="H18" s="38">
        <v>17129397</v>
      </c>
      <c r="I18" s="40">
        <v>46</v>
      </c>
      <c r="J18" s="34">
        <v>3</v>
      </c>
      <c r="K18" s="35" t="s">
        <v>49</v>
      </c>
      <c r="L18" s="41">
        <f t="shared" si="4"/>
        <v>0.27306550158719323</v>
      </c>
      <c r="M18" s="41">
        <f t="shared" si="5"/>
        <v>1.1497826128999999</v>
      </c>
      <c r="N18" s="41">
        <f t="shared" si="6"/>
        <v>0.39251949592262586</v>
      </c>
      <c r="O18" s="41">
        <f t="shared" si="7"/>
        <v>15.444080094860263</v>
      </c>
      <c r="P18" s="41">
        <f t="shared" si="8"/>
        <v>0.48796011456454863</v>
      </c>
      <c r="Q18" s="41">
        <f t="shared" si="9"/>
        <v>17.747407819834631</v>
      </c>
      <c r="R18" s="42">
        <f t="shared" si="10"/>
        <v>0.61197957999999997</v>
      </c>
      <c r="S18" s="2"/>
      <c r="T18" s="34">
        <v>3</v>
      </c>
      <c r="U18" s="43" t="s">
        <v>50</v>
      </c>
      <c r="V18" s="43">
        <v>0.252126242</v>
      </c>
      <c r="W18" s="43">
        <v>0.24215789230000001</v>
      </c>
      <c r="X18" s="44">
        <v>-3.95371367174068</v>
      </c>
      <c r="Y18" s="34">
        <v>3</v>
      </c>
      <c r="Z18" s="43" t="s">
        <v>51</v>
      </c>
      <c r="AA18" s="45">
        <v>8724850.1999999993</v>
      </c>
      <c r="AB18" s="46">
        <v>7732516.0499999998</v>
      </c>
      <c r="AC18" s="47">
        <v>-11.3736525814506</v>
      </c>
      <c r="AD18" s="34">
        <v>3</v>
      </c>
      <c r="AE18" s="35" t="s">
        <v>50</v>
      </c>
      <c r="AF18" s="38">
        <v>6828402</v>
      </c>
      <c r="AG18" s="38">
        <v>7015227</v>
      </c>
      <c r="AH18" s="40">
        <v>2.7359988471680499</v>
      </c>
    </row>
    <row r="19" spans="1:34" x14ac:dyDescent="0.2">
      <c r="A19" s="34">
        <v>4</v>
      </c>
      <c r="B19" s="35" t="s">
        <v>52</v>
      </c>
      <c r="C19" s="36">
        <v>240</v>
      </c>
      <c r="D19" s="37">
        <f t="shared" si="2"/>
        <v>63.304166666699999</v>
      </c>
      <c r="E19" s="38">
        <v>15193</v>
      </c>
      <c r="F19" s="39">
        <f t="shared" si="3"/>
        <v>0.33140137650000001</v>
      </c>
      <c r="G19" s="38">
        <v>1675232.04</v>
      </c>
      <c r="H19" s="38">
        <v>10561037</v>
      </c>
      <c r="I19" s="40">
        <v>29</v>
      </c>
      <c r="J19" s="34">
        <v>4</v>
      </c>
      <c r="K19" s="35" t="s">
        <v>52</v>
      </c>
      <c r="L19" s="41">
        <f t="shared" si="4"/>
        <v>0.40959825238078978</v>
      </c>
      <c r="M19" s="41">
        <f t="shared" si="5"/>
        <v>0.5378857709</v>
      </c>
      <c r="N19" s="41">
        <f t="shared" si="6"/>
        <v>0.30392530416668678</v>
      </c>
      <c r="O19" s="41">
        <f t="shared" si="7"/>
        <v>9.5219639846506414</v>
      </c>
      <c r="P19" s="41">
        <f t="shared" si="8"/>
        <v>0.30762702874721548</v>
      </c>
      <c r="Q19" s="41">
        <f t="shared" si="9"/>
        <v>11.081000340845334</v>
      </c>
      <c r="R19" s="42">
        <f t="shared" si="10"/>
        <v>0.38210346000000001</v>
      </c>
      <c r="S19" s="2"/>
      <c r="T19" s="34">
        <v>4</v>
      </c>
      <c r="U19" s="43" t="s">
        <v>53</v>
      </c>
      <c r="V19" s="43">
        <v>0.49292702989999998</v>
      </c>
      <c r="W19" s="43">
        <v>0.47751076269999998</v>
      </c>
      <c r="X19" s="44">
        <v>-3.1274947943365001</v>
      </c>
      <c r="Y19" s="34">
        <v>4</v>
      </c>
      <c r="Z19" s="43" t="s">
        <v>54</v>
      </c>
      <c r="AA19" s="45">
        <v>736788.65</v>
      </c>
      <c r="AB19" s="46">
        <v>666585.75</v>
      </c>
      <c r="AC19" s="47">
        <v>-9.5282276674593103</v>
      </c>
      <c r="AD19" s="34">
        <v>4</v>
      </c>
      <c r="AE19" s="35" t="s">
        <v>53</v>
      </c>
      <c r="AF19" s="38">
        <v>13226250</v>
      </c>
      <c r="AG19" s="38">
        <v>13706034</v>
      </c>
      <c r="AH19" s="40">
        <v>3.6275134675361498</v>
      </c>
    </row>
    <row r="20" spans="1:34" x14ac:dyDescent="0.2">
      <c r="A20" s="34">
        <v>5</v>
      </c>
      <c r="B20" s="35" t="s">
        <v>54</v>
      </c>
      <c r="C20" s="36">
        <v>77</v>
      </c>
      <c r="D20" s="37">
        <f t="shared" si="2"/>
        <v>144.41558441559999</v>
      </c>
      <c r="E20" s="38">
        <v>11120</v>
      </c>
      <c r="F20" s="39">
        <f t="shared" si="3"/>
        <v>0.2425579745</v>
      </c>
      <c r="G20" s="38">
        <v>666585.75</v>
      </c>
      <c r="H20" s="38">
        <v>11085754</v>
      </c>
      <c r="I20" s="40">
        <v>22</v>
      </c>
      <c r="J20" s="34">
        <v>5</v>
      </c>
      <c r="K20" s="35" t="s">
        <v>54</v>
      </c>
      <c r="L20" s="41">
        <f t="shared" si="4"/>
        <v>0.13141277263883672</v>
      </c>
      <c r="M20" s="41">
        <f t="shared" si="5"/>
        <v>1.2270770162</v>
      </c>
      <c r="N20" s="41">
        <f t="shared" si="6"/>
        <v>0.1209338598979572</v>
      </c>
      <c r="O20" s="41">
        <f t="shared" si="7"/>
        <v>9.9950554411178345</v>
      </c>
      <c r="P20" s="41">
        <f t="shared" si="8"/>
        <v>0.23337222870478413</v>
      </c>
      <c r="Q20" s="41">
        <f t="shared" si="9"/>
        <v>11.707851318559413</v>
      </c>
      <c r="R20" s="42">
        <f t="shared" si="10"/>
        <v>0.40371901100000002</v>
      </c>
      <c r="S20" s="2"/>
      <c r="T20" s="34">
        <v>5</v>
      </c>
      <c r="U20" s="43" t="s">
        <v>55</v>
      </c>
      <c r="V20" s="43">
        <v>0.92251521089999999</v>
      </c>
      <c r="W20" s="43">
        <v>0.8978511964</v>
      </c>
      <c r="X20" s="44">
        <v>-2.6735618240850401</v>
      </c>
      <c r="Y20" s="34">
        <v>5</v>
      </c>
      <c r="Z20" s="43" t="s">
        <v>56</v>
      </c>
      <c r="AA20" s="45">
        <v>38892.019999999997</v>
      </c>
      <c r="AB20" s="46">
        <v>35315.449999999997</v>
      </c>
      <c r="AC20" s="47">
        <v>-9.1961538639546294</v>
      </c>
      <c r="AD20" s="34">
        <v>5</v>
      </c>
      <c r="AE20" s="35" t="s">
        <v>55</v>
      </c>
      <c r="AF20" s="38">
        <v>24571556</v>
      </c>
      <c r="AG20" s="38">
        <v>25638898</v>
      </c>
      <c r="AH20" s="40">
        <v>4.3438111937233401</v>
      </c>
    </row>
    <row r="21" spans="1:34" x14ac:dyDescent="0.2">
      <c r="A21" s="34">
        <v>6</v>
      </c>
      <c r="B21" s="35" t="s">
        <v>57</v>
      </c>
      <c r="C21" s="36">
        <v>1640</v>
      </c>
      <c r="D21" s="37">
        <f t="shared" si="2"/>
        <v>78.201219512199998</v>
      </c>
      <c r="E21" s="38">
        <v>128250</v>
      </c>
      <c r="F21" s="39">
        <f t="shared" si="3"/>
        <v>2.7974874309</v>
      </c>
      <c r="G21" s="38">
        <v>23321009.899999999</v>
      </c>
      <c r="H21" s="38">
        <v>66268717</v>
      </c>
      <c r="I21" s="40">
        <v>211</v>
      </c>
      <c r="J21" s="34">
        <v>6</v>
      </c>
      <c r="K21" s="35" t="s">
        <v>57</v>
      </c>
      <c r="L21" s="41">
        <f t="shared" si="4"/>
        <v>2.7989213912687303</v>
      </c>
      <c r="M21" s="41">
        <f t="shared" si="5"/>
        <v>0.66446373839999995</v>
      </c>
      <c r="N21" s="41">
        <f t="shared" si="6"/>
        <v>4.2309631490404236</v>
      </c>
      <c r="O21" s="41">
        <f t="shared" si="7"/>
        <v>59.74870995935396</v>
      </c>
      <c r="P21" s="41">
        <f t="shared" si="8"/>
        <v>2.2382518298504297</v>
      </c>
      <c r="Q21" s="41">
        <f t="shared" si="9"/>
        <v>69.681310067913543</v>
      </c>
      <c r="R21" s="42">
        <f t="shared" si="10"/>
        <v>2.4028037954000001</v>
      </c>
      <c r="S21" s="2"/>
      <c r="T21" s="34">
        <v>6</v>
      </c>
      <c r="U21" s="43" t="s">
        <v>56</v>
      </c>
      <c r="V21" s="43">
        <v>1.5114353314</v>
      </c>
      <c r="W21" s="43">
        <v>1.4731431924</v>
      </c>
      <c r="X21" s="44">
        <v>-2.5334950298224799</v>
      </c>
      <c r="Y21" s="34">
        <v>6</v>
      </c>
      <c r="Z21" s="43" t="s">
        <v>58</v>
      </c>
      <c r="AA21" s="45">
        <v>41004884.399999999</v>
      </c>
      <c r="AB21" s="46">
        <v>37818901.119999997</v>
      </c>
      <c r="AC21" s="47">
        <v>-7.7697653014234804</v>
      </c>
      <c r="AD21" s="34">
        <v>6</v>
      </c>
      <c r="AE21" s="35" t="s">
        <v>56</v>
      </c>
      <c r="AF21" s="38">
        <v>40244051</v>
      </c>
      <c r="AG21" s="38">
        <v>42004207</v>
      </c>
      <c r="AH21" s="40">
        <v>4.3737048240993399</v>
      </c>
    </row>
    <row r="22" spans="1:34" x14ac:dyDescent="0.2">
      <c r="A22" s="34">
        <v>7</v>
      </c>
      <c r="B22" s="35" t="s">
        <v>44</v>
      </c>
      <c r="C22" s="36">
        <v>58</v>
      </c>
      <c r="D22" s="37">
        <f t="shared" si="2"/>
        <v>55.482758620699997</v>
      </c>
      <c r="E22" s="38">
        <v>3218</v>
      </c>
      <c r="F22" s="39">
        <f t="shared" si="3"/>
        <v>7.0193485799999997E-2</v>
      </c>
      <c r="G22" s="38">
        <v>336181.16</v>
      </c>
      <c r="H22" s="38">
        <v>14144945</v>
      </c>
      <c r="I22" s="40">
        <v>11</v>
      </c>
      <c r="J22" s="34">
        <v>7</v>
      </c>
      <c r="K22" s="35" t="s">
        <v>44</v>
      </c>
      <c r="L22" s="41">
        <f t="shared" si="4"/>
        <v>9.8986244325357534E-2</v>
      </c>
      <c r="M22" s="41">
        <f t="shared" si="5"/>
        <v>0.47142846929999999</v>
      </c>
      <c r="N22" s="41">
        <f t="shared" si="6"/>
        <v>6.0990930729876436E-2</v>
      </c>
      <c r="O22" s="41">
        <f t="shared" si="7"/>
        <v>12.753260579890419</v>
      </c>
      <c r="P22" s="41">
        <f t="shared" si="8"/>
        <v>0.11668611435239207</v>
      </c>
      <c r="Q22" s="41">
        <f t="shared" si="9"/>
        <v>13.501352338598045</v>
      </c>
      <c r="R22" s="42">
        <f>ROUND(Q22/$Q$129%,10)+0.0000000003</f>
        <v>0.46556387400000004</v>
      </c>
      <c r="S22" s="2"/>
      <c r="T22" s="34">
        <v>7</v>
      </c>
      <c r="U22" s="43" t="s">
        <v>46</v>
      </c>
      <c r="V22" s="43">
        <v>1.4101901511999999</v>
      </c>
      <c r="W22" s="43">
        <v>1.3767651178</v>
      </c>
      <c r="X22" s="44">
        <v>-2.37025009510646</v>
      </c>
      <c r="Y22" s="34">
        <v>7</v>
      </c>
      <c r="Z22" s="43" t="s">
        <v>46</v>
      </c>
      <c r="AA22" s="45">
        <v>1718367.71</v>
      </c>
      <c r="AB22" s="46">
        <v>1643368.63</v>
      </c>
      <c r="AC22" s="47">
        <v>-4.3645536146626096</v>
      </c>
      <c r="AD22" s="34">
        <v>7</v>
      </c>
      <c r="AE22" s="35" t="s">
        <v>46</v>
      </c>
      <c r="AF22" s="38">
        <v>37446832</v>
      </c>
      <c r="AG22" s="38">
        <v>39181568</v>
      </c>
      <c r="AH22" s="40">
        <v>4.6325307305034498</v>
      </c>
    </row>
    <row r="23" spans="1:34" x14ac:dyDescent="0.2">
      <c r="A23" s="34">
        <v>8</v>
      </c>
      <c r="B23" s="35" t="s">
        <v>59</v>
      </c>
      <c r="C23" s="36">
        <v>2264</v>
      </c>
      <c r="D23" s="37">
        <f t="shared" si="2"/>
        <v>10.9823321555</v>
      </c>
      <c r="E23" s="38">
        <v>24864</v>
      </c>
      <c r="F23" s="39">
        <f t="shared" si="3"/>
        <v>0.54235265089999996</v>
      </c>
      <c r="G23" s="38">
        <v>1852844.76</v>
      </c>
      <c r="H23" s="38">
        <v>67096938</v>
      </c>
      <c r="I23" s="40">
        <v>481</v>
      </c>
      <c r="J23" s="34">
        <v>8</v>
      </c>
      <c r="K23" s="35" t="s">
        <v>59</v>
      </c>
      <c r="L23" s="41">
        <f t="shared" si="4"/>
        <v>3.8638768474587839</v>
      </c>
      <c r="M23" s="41">
        <f t="shared" si="5"/>
        <v>9.3315187699999996E-2</v>
      </c>
      <c r="N23" s="41">
        <f t="shared" si="6"/>
        <v>0.33614830292802411</v>
      </c>
      <c r="O23" s="41">
        <f t="shared" si="7"/>
        <v>60.495444445118132</v>
      </c>
      <c r="P23" s="41">
        <f t="shared" si="8"/>
        <v>5.1023655457727806</v>
      </c>
      <c r="Q23" s="41">
        <f t="shared" si="9"/>
        <v>69.89115032897773</v>
      </c>
      <c r="R23" s="42">
        <f t="shared" ref="R23:R54" si="11">ROUND(Q23/$Q$129%,10)</f>
        <v>2.4100396664999999</v>
      </c>
      <c r="S23" s="2"/>
      <c r="T23" s="34">
        <v>8</v>
      </c>
      <c r="U23" s="43" t="s">
        <v>60</v>
      </c>
      <c r="V23" s="43">
        <v>0.35131039749999998</v>
      </c>
      <c r="W23" s="43">
        <v>0.34343769829999998</v>
      </c>
      <c r="X23" s="44">
        <v>-2.24095251834953</v>
      </c>
      <c r="Y23" s="34">
        <v>8</v>
      </c>
      <c r="Z23" s="43" t="s">
        <v>61</v>
      </c>
      <c r="AA23" s="45">
        <v>1337017.6299999999</v>
      </c>
      <c r="AB23" s="46">
        <v>1288991.95</v>
      </c>
      <c r="AC23" s="47">
        <v>-3.5920005033890199</v>
      </c>
      <c r="AD23" s="34">
        <v>8</v>
      </c>
      <c r="AE23" s="35" t="s">
        <v>60</v>
      </c>
      <c r="AF23" s="38">
        <v>9316591</v>
      </c>
      <c r="AG23" s="38">
        <v>9759935</v>
      </c>
      <c r="AH23" s="40">
        <v>4.7586504548713204</v>
      </c>
    </row>
    <row r="24" spans="1:34" x14ac:dyDescent="0.2">
      <c r="A24" s="34">
        <v>9</v>
      </c>
      <c r="B24" s="35" t="s">
        <v>62</v>
      </c>
      <c r="C24" s="36">
        <v>695</v>
      </c>
      <c r="D24" s="37">
        <f t="shared" si="2"/>
        <v>52.588489208600002</v>
      </c>
      <c r="E24" s="38">
        <v>36549</v>
      </c>
      <c r="F24" s="39">
        <f t="shared" si="3"/>
        <v>0.79723483910000004</v>
      </c>
      <c r="G24" s="38">
        <v>4284521.43</v>
      </c>
      <c r="H24" s="38">
        <v>24787981</v>
      </c>
      <c r="I24" s="40">
        <v>135</v>
      </c>
      <c r="J24" s="34">
        <v>9</v>
      </c>
      <c r="K24" s="35" t="s">
        <v>62</v>
      </c>
      <c r="L24" s="41">
        <f t="shared" si="4"/>
        <v>1.1861282725193705</v>
      </c>
      <c r="M24" s="41">
        <f t="shared" si="5"/>
        <v>0.4468363071</v>
      </c>
      <c r="N24" s="41">
        <f t="shared" si="6"/>
        <v>0.77730991750936052</v>
      </c>
      <c r="O24" s="41">
        <f t="shared" si="7"/>
        <v>22.349155895789817</v>
      </c>
      <c r="P24" s="41">
        <f t="shared" si="8"/>
        <v>1.4320568579611754</v>
      </c>
      <c r="Q24" s="41">
        <f t="shared" si="9"/>
        <v>26.191487250879725</v>
      </c>
      <c r="R24" s="42">
        <f t="shared" si="11"/>
        <v>0.90315473280000003</v>
      </c>
      <c r="S24" s="2"/>
      <c r="T24" s="34">
        <v>9</v>
      </c>
      <c r="U24" s="43" t="s">
        <v>63</v>
      </c>
      <c r="V24" s="43">
        <v>2.0829255984000001</v>
      </c>
      <c r="W24" s="43">
        <v>2.0384454326000001</v>
      </c>
      <c r="X24" s="44">
        <v>-2.13546589634154</v>
      </c>
      <c r="Y24" s="34">
        <v>9</v>
      </c>
      <c r="Z24" s="43" t="s">
        <v>55</v>
      </c>
      <c r="AA24" s="45">
        <v>2544974.36</v>
      </c>
      <c r="AB24" s="46">
        <v>2460115.65</v>
      </c>
      <c r="AC24" s="47">
        <v>-3.33436404443774</v>
      </c>
      <c r="AD24" s="34">
        <v>9</v>
      </c>
      <c r="AE24" s="35" t="s">
        <v>63</v>
      </c>
      <c r="AF24" s="38">
        <v>55232718</v>
      </c>
      <c r="AG24" s="38">
        <v>57866589</v>
      </c>
      <c r="AH24" s="40">
        <v>4.7686789558319402</v>
      </c>
    </row>
    <row r="25" spans="1:34" x14ac:dyDescent="0.2">
      <c r="A25" s="34">
        <v>10</v>
      </c>
      <c r="B25" s="35" t="s">
        <v>64</v>
      </c>
      <c r="C25" s="36">
        <v>3434</v>
      </c>
      <c r="D25" s="37">
        <f t="shared" si="2"/>
        <v>6.4467093768000003</v>
      </c>
      <c r="E25" s="38">
        <v>22138</v>
      </c>
      <c r="F25" s="39">
        <f t="shared" si="3"/>
        <v>0.4828910468</v>
      </c>
      <c r="G25" s="38">
        <v>2336696.65</v>
      </c>
      <c r="H25" s="38">
        <v>71296722</v>
      </c>
      <c r="I25" s="40">
        <v>380</v>
      </c>
      <c r="J25" s="34">
        <v>10</v>
      </c>
      <c r="K25" s="35" t="s">
        <v>64</v>
      </c>
      <c r="L25" s="41">
        <f t="shared" si="4"/>
        <v>5.8606683278151337</v>
      </c>
      <c r="M25" s="41">
        <f t="shared" si="5"/>
        <v>5.4776698399999997E-2</v>
      </c>
      <c r="N25" s="41">
        <f t="shared" si="6"/>
        <v>0.42393007245523312</v>
      </c>
      <c r="O25" s="41">
        <f t="shared" si="7"/>
        <v>64.28202259945202</v>
      </c>
      <c r="P25" s="41">
        <f t="shared" si="8"/>
        <v>4.0309748594462711</v>
      </c>
      <c r="Q25" s="41">
        <f t="shared" si="9"/>
        <v>74.652372557568668</v>
      </c>
      <c r="R25" s="42">
        <f t="shared" si="11"/>
        <v>2.5742197434</v>
      </c>
      <c r="S25" s="2"/>
      <c r="T25" s="34">
        <v>10</v>
      </c>
      <c r="U25" s="43" t="s">
        <v>65</v>
      </c>
      <c r="V25" s="43">
        <v>0.79011889329999996</v>
      </c>
      <c r="W25" s="43">
        <v>0.77572877269999996</v>
      </c>
      <c r="X25" s="44">
        <v>-1.82126015743003</v>
      </c>
      <c r="Y25" s="34">
        <v>10</v>
      </c>
      <c r="Z25" s="43" t="s">
        <v>66</v>
      </c>
      <c r="AA25" s="45">
        <v>566711.05000000005</v>
      </c>
      <c r="AB25" s="46">
        <v>548188.62</v>
      </c>
      <c r="AC25" s="47">
        <v>-3.2684081243871899</v>
      </c>
      <c r="AD25" s="34">
        <v>10</v>
      </c>
      <c r="AE25" s="35" t="s">
        <v>65</v>
      </c>
      <c r="AF25" s="38">
        <v>20859733</v>
      </c>
      <c r="AG25" s="38">
        <v>21943879</v>
      </c>
      <c r="AH25" s="40">
        <v>5.1973148457844598</v>
      </c>
    </row>
    <row r="26" spans="1:34" x14ac:dyDescent="0.2">
      <c r="A26" s="34">
        <v>11</v>
      </c>
      <c r="B26" s="35" t="s">
        <v>67</v>
      </c>
      <c r="C26" s="36">
        <v>68</v>
      </c>
      <c r="D26" s="37">
        <f t="shared" si="2"/>
        <v>166.5882352941</v>
      </c>
      <c r="E26" s="38">
        <v>11328</v>
      </c>
      <c r="F26" s="39">
        <f t="shared" si="3"/>
        <v>0.24709503020000001</v>
      </c>
      <c r="G26" s="38">
        <v>1078384.6200000001</v>
      </c>
      <c r="H26" s="38">
        <v>13801331</v>
      </c>
      <c r="I26" s="40">
        <v>7</v>
      </c>
      <c r="J26" s="34">
        <v>11</v>
      </c>
      <c r="K26" s="35" t="s">
        <v>67</v>
      </c>
      <c r="L26" s="41">
        <f t="shared" si="4"/>
        <v>0.11605283817455711</v>
      </c>
      <c r="M26" s="41">
        <f t="shared" si="5"/>
        <v>1.4154746216</v>
      </c>
      <c r="N26" s="41">
        <f t="shared" si="6"/>
        <v>0.19564356806486161</v>
      </c>
      <c r="O26" s="41">
        <f t="shared" si="7"/>
        <v>12.443453869373094</v>
      </c>
      <c r="P26" s="41">
        <f t="shared" si="8"/>
        <v>7.4254800042431318E-2</v>
      </c>
      <c r="Q26" s="41">
        <f t="shared" si="9"/>
        <v>14.244879697254945</v>
      </c>
      <c r="R26" s="42">
        <f t="shared" si="11"/>
        <v>0.49120274819999998</v>
      </c>
      <c r="S26" s="2"/>
      <c r="T26" s="34">
        <v>11</v>
      </c>
      <c r="U26" s="43" t="s">
        <v>68</v>
      </c>
      <c r="V26" s="43">
        <v>0.60814707619999997</v>
      </c>
      <c r="W26" s="43">
        <v>0.59836394969999995</v>
      </c>
      <c r="X26" s="44">
        <v>-1.6086777167671</v>
      </c>
      <c r="Y26" s="34">
        <v>11</v>
      </c>
      <c r="Z26" s="43" t="s">
        <v>59</v>
      </c>
      <c r="AA26" s="45">
        <v>1897717.64</v>
      </c>
      <c r="AB26" s="46">
        <v>1852844.76</v>
      </c>
      <c r="AC26" s="47">
        <v>-2.3645709484999999</v>
      </c>
      <c r="AD26" s="34">
        <v>11</v>
      </c>
      <c r="AE26" s="35" t="s">
        <v>69</v>
      </c>
      <c r="AF26" s="38">
        <v>29514790</v>
      </c>
      <c r="AG26" s="38">
        <v>31086908</v>
      </c>
      <c r="AH26" s="40">
        <v>5.3265430653580799</v>
      </c>
    </row>
    <row r="27" spans="1:34" x14ac:dyDescent="0.2">
      <c r="A27" s="34">
        <v>12</v>
      </c>
      <c r="B27" s="35" t="s">
        <v>70</v>
      </c>
      <c r="C27" s="36">
        <v>922</v>
      </c>
      <c r="D27" s="37">
        <f t="shared" si="2"/>
        <v>51.516268980500001</v>
      </c>
      <c r="E27" s="38">
        <v>47498</v>
      </c>
      <c r="F27" s="39">
        <f t="shared" si="3"/>
        <v>1.0360628303999999</v>
      </c>
      <c r="G27" s="38">
        <v>5834185.1900000004</v>
      </c>
      <c r="H27" s="38">
        <v>28461359</v>
      </c>
      <c r="I27" s="40">
        <v>91</v>
      </c>
      <c r="J27" s="34">
        <v>12</v>
      </c>
      <c r="K27" s="35" t="s">
        <v>70</v>
      </c>
      <c r="L27" s="41">
        <f t="shared" si="4"/>
        <v>1.5735399528962009</v>
      </c>
      <c r="M27" s="41">
        <f t="shared" si="5"/>
        <v>0.43772581669999999</v>
      </c>
      <c r="N27" s="41">
        <f t="shared" si="6"/>
        <v>1.0584542714664946</v>
      </c>
      <c r="O27" s="41">
        <f t="shared" si="7"/>
        <v>25.661119769982093</v>
      </c>
      <c r="P27" s="41">
        <f t="shared" si="8"/>
        <v>0.96531240055160716</v>
      </c>
      <c r="Q27" s="41">
        <f t="shared" si="9"/>
        <v>29.696152211596395</v>
      </c>
      <c r="R27" s="42">
        <f t="shared" si="11"/>
        <v>1.0240052487</v>
      </c>
      <c r="S27" s="2"/>
      <c r="T27" s="34">
        <v>12</v>
      </c>
      <c r="U27" s="43" t="s">
        <v>71</v>
      </c>
      <c r="V27" s="43">
        <v>0.24075625179999999</v>
      </c>
      <c r="W27" s="43">
        <v>0.23719663369999999</v>
      </c>
      <c r="X27" s="44">
        <v>-1.4785153338227901</v>
      </c>
      <c r="Y27" s="34">
        <v>12</v>
      </c>
      <c r="Z27" s="43" t="s">
        <v>72</v>
      </c>
      <c r="AA27" s="45">
        <v>925295.05</v>
      </c>
      <c r="AB27" s="46">
        <v>907796.44</v>
      </c>
      <c r="AC27" s="47">
        <v>-1.8911383995839901</v>
      </c>
      <c r="AD27" s="34">
        <v>12</v>
      </c>
      <c r="AE27" s="35" t="s">
        <v>68</v>
      </c>
      <c r="AF27" s="38">
        <v>16005288</v>
      </c>
      <c r="AG27" s="38">
        <v>16886891</v>
      </c>
      <c r="AH27" s="40">
        <v>5.5081982904649998</v>
      </c>
    </row>
    <row r="28" spans="1:34" x14ac:dyDescent="0.2">
      <c r="A28" s="34">
        <v>13</v>
      </c>
      <c r="B28" s="35" t="s">
        <v>73</v>
      </c>
      <c r="C28" s="36">
        <v>918</v>
      </c>
      <c r="D28" s="37">
        <f t="shared" si="2"/>
        <v>10.3322440087</v>
      </c>
      <c r="E28" s="38">
        <v>9485</v>
      </c>
      <c r="F28" s="39">
        <f t="shared" si="3"/>
        <v>0.2068940997</v>
      </c>
      <c r="G28" s="38">
        <v>853729.9</v>
      </c>
      <c r="H28" s="38">
        <v>28344379</v>
      </c>
      <c r="I28" s="40">
        <v>176</v>
      </c>
      <c r="J28" s="34">
        <v>13</v>
      </c>
      <c r="K28" s="35" t="s">
        <v>73</v>
      </c>
      <c r="L28" s="41">
        <f t="shared" si="4"/>
        <v>1.5667133153565209</v>
      </c>
      <c r="M28" s="41">
        <f t="shared" si="5"/>
        <v>8.7791488700000003E-2</v>
      </c>
      <c r="N28" s="41">
        <f t="shared" si="6"/>
        <v>0.15488607747359887</v>
      </c>
      <c r="O28" s="41">
        <f t="shared" si="7"/>
        <v>25.555649128517206</v>
      </c>
      <c r="P28" s="41">
        <f t="shared" si="8"/>
        <v>1.8669778296382731</v>
      </c>
      <c r="Q28" s="41">
        <f t="shared" si="9"/>
        <v>29.2320178396856</v>
      </c>
      <c r="R28" s="42">
        <f t="shared" si="11"/>
        <v>1.0080006152000001</v>
      </c>
      <c r="S28" s="2"/>
      <c r="T28" s="34">
        <v>13</v>
      </c>
      <c r="U28" s="43" t="s">
        <v>73</v>
      </c>
      <c r="V28" s="43">
        <v>1.0210442168</v>
      </c>
      <c r="W28" s="43">
        <v>1.0080006152000001</v>
      </c>
      <c r="X28" s="44">
        <v>-1.27747666412325</v>
      </c>
      <c r="Y28" s="34">
        <v>13</v>
      </c>
      <c r="Z28" s="43" t="s">
        <v>74</v>
      </c>
      <c r="AA28" s="45">
        <v>3474505.33</v>
      </c>
      <c r="AB28" s="46">
        <v>3425627.82</v>
      </c>
      <c r="AC28" s="47">
        <v>-1.40674730235624</v>
      </c>
      <c r="AD28" s="34">
        <v>13</v>
      </c>
      <c r="AE28" s="35" t="s">
        <v>71</v>
      </c>
      <c r="AF28" s="38">
        <v>6329239</v>
      </c>
      <c r="AG28" s="38">
        <v>6684337</v>
      </c>
      <c r="AH28" s="40">
        <v>5.6104375265336</v>
      </c>
    </row>
    <row r="29" spans="1:34" x14ac:dyDescent="0.2">
      <c r="A29" s="34">
        <v>14</v>
      </c>
      <c r="B29" s="35" t="s">
        <v>75</v>
      </c>
      <c r="C29" s="36">
        <v>366</v>
      </c>
      <c r="D29" s="37">
        <f t="shared" si="2"/>
        <v>39.322404371600001</v>
      </c>
      <c r="E29" s="38">
        <v>14392</v>
      </c>
      <c r="F29" s="39">
        <f t="shared" si="3"/>
        <v>0.31392934979999998</v>
      </c>
      <c r="G29" s="38">
        <v>2947830.13</v>
      </c>
      <c r="H29" s="38">
        <v>15958365</v>
      </c>
      <c r="I29" s="40">
        <v>73</v>
      </c>
      <c r="J29" s="34">
        <v>14</v>
      </c>
      <c r="K29" s="35" t="s">
        <v>75</v>
      </c>
      <c r="L29" s="41">
        <f t="shared" si="4"/>
        <v>0.6246373348807045</v>
      </c>
      <c r="M29" s="41">
        <f t="shared" si="5"/>
        <v>0.33411642400000002</v>
      </c>
      <c r="N29" s="41">
        <f t="shared" si="6"/>
        <v>0.53480362570666562</v>
      </c>
      <c r="O29" s="41">
        <f t="shared" si="7"/>
        <v>14.388262893493255</v>
      </c>
      <c r="P29" s="41">
        <f t="shared" si="8"/>
        <v>0.77437148615678375</v>
      </c>
      <c r="Q29" s="41">
        <f t="shared" si="9"/>
        <v>16.656191764237409</v>
      </c>
      <c r="R29" s="42">
        <f t="shared" si="11"/>
        <v>0.57435144010000005</v>
      </c>
      <c r="S29" s="2"/>
      <c r="T29" s="34">
        <v>14</v>
      </c>
      <c r="U29" s="43" t="s">
        <v>76</v>
      </c>
      <c r="V29" s="43">
        <v>0.29344540209999997</v>
      </c>
      <c r="W29" s="43">
        <v>0.28977987370000002</v>
      </c>
      <c r="X29" s="44">
        <v>-1.24913471936112</v>
      </c>
      <c r="Y29" s="34">
        <v>14</v>
      </c>
      <c r="Z29" s="43" t="s">
        <v>70</v>
      </c>
      <c r="AA29" s="45">
        <v>5905205.4299999997</v>
      </c>
      <c r="AB29" s="46">
        <v>5834185.1900000004</v>
      </c>
      <c r="AC29" s="47">
        <v>-1.20267179257131</v>
      </c>
      <c r="AD29" s="34">
        <v>14</v>
      </c>
      <c r="AE29" s="35" t="s">
        <v>73</v>
      </c>
      <c r="AF29" s="38">
        <v>26783773</v>
      </c>
      <c r="AG29" s="38">
        <v>28344379</v>
      </c>
      <c r="AH29" s="40">
        <v>5.82668468703047</v>
      </c>
    </row>
    <row r="30" spans="1:34" x14ac:dyDescent="0.2">
      <c r="A30" s="34">
        <v>15</v>
      </c>
      <c r="B30" s="38" t="s">
        <v>77</v>
      </c>
      <c r="C30" s="36">
        <v>2826</v>
      </c>
      <c r="D30" s="37">
        <f t="shared" si="2"/>
        <v>6.5265392780999996</v>
      </c>
      <c r="E30" s="38">
        <v>18444</v>
      </c>
      <c r="F30" s="39">
        <f t="shared" si="3"/>
        <v>0.4023146836</v>
      </c>
      <c r="G30" s="38">
        <v>2304168.46</v>
      </c>
      <c r="H30" s="38">
        <v>70493734</v>
      </c>
      <c r="I30" s="40">
        <v>413</v>
      </c>
      <c r="J30" s="34">
        <v>15</v>
      </c>
      <c r="K30" s="38" t="s">
        <v>77</v>
      </c>
      <c r="L30" s="41">
        <f t="shared" si="4"/>
        <v>4.8230194217838003</v>
      </c>
      <c r="M30" s="41">
        <f t="shared" si="5"/>
        <v>5.5455000800000001E-2</v>
      </c>
      <c r="N30" s="41">
        <f t="shared" si="6"/>
        <v>0.41802871681990172</v>
      </c>
      <c r="O30" s="41">
        <f t="shared" si="7"/>
        <v>63.558038504319448</v>
      </c>
      <c r="P30" s="41">
        <f t="shared" si="8"/>
        <v>4.3810332025034473</v>
      </c>
      <c r="Q30" s="41">
        <f t="shared" si="9"/>
        <v>73.235574846226598</v>
      </c>
      <c r="R30" s="42">
        <f t="shared" si="11"/>
        <v>2.5253646499000002</v>
      </c>
      <c r="S30" s="2"/>
      <c r="T30" s="34">
        <v>15</v>
      </c>
      <c r="U30" s="43" t="s">
        <v>72</v>
      </c>
      <c r="V30" s="43">
        <v>0.2608976154</v>
      </c>
      <c r="W30" s="43">
        <v>0.25765000059999998</v>
      </c>
      <c r="X30" s="44">
        <v>-1.2447851602709701</v>
      </c>
      <c r="Y30" s="34">
        <v>15</v>
      </c>
      <c r="Z30" s="43" t="s">
        <v>78</v>
      </c>
      <c r="AA30" s="45">
        <v>745518.4</v>
      </c>
      <c r="AB30" s="46">
        <v>739745.09</v>
      </c>
      <c r="AC30" s="47">
        <v>-0.77440208048522596</v>
      </c>
      <c r="AD30" s="34">
        <v>15</v>
      </c>
      <c r="AE30" s="35" t="s">
        <v>67</v>
      </c>
      <c r="AF30" s="38">
        <v>13039813</v>
      </c>
      <c r="AG30" s="38">
        <v>13801331</v>
      </c>
      <c r="AH30" s="40">
        <v>5.8399457108779096</v>
      </c>
    </row>
    <row r="31" spans="1:34" x14ac:dyDescent="0.2">
      <c r="A31" s="34">
        <v>16</v>
      </c>
      <c r="B31" s="35" t="s">
        <v>79</v>
      </c>
      <c r="C31" s="36">
        <v>394</v>
      </c>
      <c r="D31" s="37">
        <f t="shared" si="2"/>
        <v>52.662436548199999</v>
      </c>
      <c r="E31" s="38">
        <v>20749</v>
      </c>
      <c r="F31" s="39">
        <f t="shared" si="3"/>
        <v>0.45259311270000002</v>
      </c>
      <c r="G31" s="38">
        <v>2418305.4500000002</v>
      </c>
      <c r="H31" s="38">
        <v>13748923</v>
      </c>
      <c r="I31" s="40">
        <v>42</v>
      </c>
      <c r="J31" s="34">
        <v>16</v>
      </c>
      <c r="K31" s="35" t="s">
        <v>79</v>
      </c>
      <c r="L31" s="41">
        <f t="shared" si="4"/>
        <v>0.67242379765846327</v>
      </c>
      <c r="M31" s="41">
        <f t="shared" si="5"/>
        <v>0.4474646263</v>
      </c>
      <c r="N31" s="41">
        <f t="shared" si="6"/>
        <v>0.43873577027526672</v>
      </c>
      <c r="O31" s="41">
        <f t="shared" si="7"/>
        <v>12.396202156448732</v>
      </c>
      <c r="P31" s="41">
        <f t="shared" si="8"/>
        <v>0.44552880025458791</v>
      </c>
      <c r="Q31" s="41">
        <f t="shared" si="9"/>
        <v>14.400355150937049</v>
      </c>
      <c r="R31" s="42">
        <f t="shared" si="11"/>
        <v>0.49656397070000002</v>
      </c>
      <c r="S31" s="2"/>
      <c r="T31" s="34">
        <v>16</v>
      </c>
      <c r="U31" s="43" t="s">
        <v>67</v>
      </c>
      <c r="V31" s="43">
        <v>0.49698972740000003</v>
      </c>
      <c r="W31" s="43">
        <v>0.49120274819999998</v>
      </c>
      <c r="X31" s="44">
        <v>-1.1644062001592299</v>
      </c>
      <c r="Y31" s="34">
        <v>16</v>
      </c>
      <c r="Z31" s="43" t="s">
        <v>80</v>
      </c>
      <c r="AA31" s="45">
        <v>2028295.87</v>
      </c>
      <c r="AB31" s="46">
        <v>2012621.49</v>
      </c>
      <c r="AC31" s="47">
        <v>-0.77278567845229695</v>
      </c>
      <c r="AD31" s="34">
        <v>16</v>
      </c>
      <c r="AE31" s="35" t="s">
        <v>76</v>
      </c>
      <c r="AF31" s="38">
        <v>7692882</v>
      </c>
      <c r="AG31" s="38">
        <v>8145537</v>
      </c>
      <c r="AH31" s="40">
        <v>5.8840756949086197</v>
      </c>
    </row>
    <row r="32" spans="1:34" x14ac:dyDescent="0.2">
      <c r="A32" s="34">
        <v>17</v>
      </c>
      <c r="B32" s="35" t="s">
        <v>81</v>
      </c>
      <c r="C32" s="36">
        <v>379</v>
      </c>
      <c r="D32" s="37">
        <f t="shared" si="2"/>
        <v>90.218997361500001</v>
      </c>
      <c r="E32" s="38">
        <v>34193</v>
      </c>
      <c r="F32" s="39">
        <f t="shared" si="3"/>
        <v>0.74584395889999999</v>
      </c>
      <c r="G32" s="38">
        <v>2436162.9300000002</v>
      </c>
      <c r="H32" s="38">
        <v>16754532</v>
      </c>
      <c r="I32" s="40">
        <v>74</v>
      </c>
      <c r="J32" s="34">
        <v>17</v>
      </c>
      <c r="K32" s="35" t="s">
        <v>81</v>
      </c>
      <c r="L32" s="41">
        <f t="shared" si="4"/>
        <v>0.64682390688466385</v>
      </c>
      <c r="M32" s="41">
        <f t="shared" si="5"/>
        <v>0.76657694899999995</v>
      </c>
      <c r="N32" s="41">
        <f t="shared" si="6"/>
        <v>0.44197552447710881</v>
      </c>
      <c r="O32" s="41">
        <f t="shared" si="7"/>
        <v>15.106097089109399</v>
      </c>
      <c r="P32" s="41">
        <f t="shared" si="8"/>
        <v>0.78497931473427396</v>
      </c>
      <c r="Q32" s="41">
        <f t="shared" si="9"/>
        <v>17.746452784205445</v>
      </c>
      <c r="R32" s="42">
        <f t="shared" si="11"/>
        <v>0.61194664769999996</v>
      </c>
      <c r="S32" s="2"/>
      <c r="T32" s="34">
        <v>17</v>
      </c>
      <c r="U32" s="43" t="s">
        <v>82</v>
      </c>
      <c r="V32" s="43">
        <v>0.28565225700000002</v>
      </c>
      <c r="W32" s="43">
        <v>0.28262440690000001</v>
      </c>
      <c r="X32" s="44">
        <v>-1.05997765667926</v>
      </c>
      <c r="Y32" s="34">
        <v>17</v>
      </c>
      <c r="Z32" s="35" t="s">
        <v>83</v>
      </c>
      <c r="AA32" s="36">
        <v>1239640.55</v>
      </c>
      <c r="AB32" s="38">
        <v>1240229.29</v>
      </c>
      <c r="AC32" s="40">
        <v>4.7492799424781497E-2</v>
      </c>
      <c r="AD32" s="34">
        <v>17</v>
      </c>
      <c r="AE32" s="35" t="s">
        <v>72</v>
      </c>
      <c r="AF32" s="38">
        <v>6828225</v>
      </c>
      <c r="AG32" s="38">
        <v>7241100</v>
      </c>
      <c r="AH32" s="40">
        <v>6.0465933679689803</v>
      </c>
    </row>
    <row r="33" spans="1:34" x14ac:dyDescent="0.2">
      <c r="A33" s="34">
        <v>18</v>
      </c>
      <c r="B33" s="35" t="s">
        <v>82</v>
      </c>
      <c r="C33" s="36">
        <v>173</v>
      </c>
      <c r="D33" s="37">
        <f t="shared" si="2"/>
        <v>52.895953757199997</v>
      </c>
      <c r="E33" s="38">
        <v>9151</v>
      </c>
      <c r="F33" s="39">
        <f t="shared" si="3"/>
        <v>0.1996086353</v>
      </c>
      <c r="G33" s="38">
        <v>794506.82</v>
      </c>
      <c r="H33" s="38">
        <v>7928181</v>
      </c>
      <c r="I33" s="40">
        <v>15</v>
      </c>
      <c r="J33" s="34">
        <v>18</v>
      </c>
      <c r="K33" s="35" t="s">
        <v>82</v>
      </c>
      <c r="L33" s="41">
        <f t="shared" si="4"/>
        <v>0.29525207359115263</v>
      </c>
      <c r="M33" s="41">
        <f t="shared" si="5"/>
        <v>0.4494487861</v>
      </c>
      <c r="N33" s="41">
        <f t="shared" si="6"/>
        <v>0.14414165988074526</v>
      </c>
      <c r="O33" s="41">
        <f t="shared" si="7"/>
        <v>7.1481478519383561</v>
      </c>
      <c r="P33" s="41">
        <f t="shared" si="8"/>
        <v>0.15911742866235282</v>
      </c>
      <c r="Q33" s="41">
        <f t="shared" si="9"/>
        <v>8.1961078001726051</v>
      </c>
      <c r="R33" s="42">
        <f t="shared" si="11"/>
        <v>0.28262440690000001</v>
      </c>
      <c r="S33" s="2"/>
      <c r="T33" s="34">
        <v>18</v>
      </c>
      <c r="U33" s="43" t="s">
        <v>84</v>
      </c>
      <c r="V33" s="43">
        <v>1.9941068256000001</v>
      </c>
      <c r="W33" s="43">
        <v>1.9733012846</v>
      </c>
      <c r="X33" s="44">
        <v>-1.04335137580907</v>
      </c>
      <c r="Y33" s="34">
        <v>18</v>
      </c>
      <c r="Z33" s="35" t="s">
        <v>85</v>
      </c>
      <c r="AA33" s="36">
        <v>2322834.06</v>
      </c>
      <c r="AB33" s="38">
        <v>2332346.4</v>
      </c>
      <c r="AC33" s="40">
        <v>0.40951440155823499</v>
      </c>
      <c r="AD33" s="34">
        <v>18</v>
      </c>
      <c r="AE33" s="35" t="s">
        <v>82</v>
      </c>
      <c r="AF33" s="38">
        <v>7474902</v>
      </c>
      <c r="AG33" s="38">
        <v>7928181</v>
      </c>
      <c r="AH33" s="40">
        <v>6.0640126118041398</v>
      </c>
    </row>
    <row r="34" spans="1:34" x14ac:dyDescent="0.2">
      <c r="A34" s="34">
        <v>19</v>
      </c>
      <c r="B34" s="35" t="s">
        <v>86</v>
      </c>
      <c r="C34" s="36">
        <v>505</v>
      </c>
      <c r="D34" s="37">
        <f t="shared" si="2"/>
        <v>37.659405940600003</v>
      </c>
      <c r="E34" s="38">
        <v>19018</v>
      </c>
      <c r="F34" s="39">
        <f t="shared" si="3"/>
        <v>0.41483521220000003</v>
      </c>
      <c r="G34" s="38">
        <v>2632240.5499999998</v>
      </c>
      <c r="H34" s="38">
        <v>17207584</v>
      </c>
      <c r="I34" s="40">
        <v>80</v>
      </c>
      <c r="J34" s="34">
        <v>19</v>
      </c>
      <c r="K34" s="35" t="s">
        <v>86</v>
      </c>
      <c r="L34" s="41">
        <f t="shared" si="4"/>
        <v>0.8618629893845785</v>
      </c>
      <c r="M34" s="41">
        <f t="shared" si="5"/>
        <v>0.31998618200000001</v>
      </c>
      <c r="N34" s="41">
        <f t="shared" si="6"/>
        <v>0.47754847728356298</v>
      </c>
      <c r="O34" s="41">
        <f t="shared" si="7"/>
        <v>15.514574478893561</v>
      </c>
      <c r="P34" s="41">
        <f t="shared" si="8"/>
        <v>0.8486262861992151</v>
      </c>
      <c r="Q34" s="41">
        <f t="shared" si="9"/>
        <v>18.022598413760917</v>
      </c>
      <c r="R34" s="42">
        <f t="shared" si="11"/>
        <v>0.6214689108</v>
      </c>
      <c r="S34" s="2"/>
      <c r="T34" s="34">
        <v>19</v>
      </c>
      <c r="U34" s="43" t="s">
        <v>49</v>
      </c>
      <c r="V34" s="43">
        <v>0.61732831359999996</v>
      </c>
      <c r="W34" s="43">
        <v>0.61197957999999997</v>
      </c>
      <c r="X34" s="44">
        <v>-0.86643257439601595</v>
      </c>
      <c r="Y34" s="34">
        <v>19</v>
      </c>
      <c r="Z34" s="35" t="s">
        <v>57</v>
      </c>
      <c r="AA34" s="36">
        <v>23009083.559999999</v>
      </c>
      <c r="AB34" s="38">
        <v>23321009.899999999</v>
      </c>
      <c r="AC34" s="40">
        <v>1.3556660750377301</v>
      </c>
      <c r="AD34" s="34">
        <v>19</v>
      </c>
      <c r="AE34" s="35" t="s">
        <v>84</v>
      </c>
      <c r="AF34" s="38">
        <v>52118339</v>
      </c>
      <c r="AG34" s="38">
        <v>55340812</v>
      </c>
      <c r="AH34" s="40">
        <v>6.1829925163194499</v>
      </c>
    </row>
    <row r="35" spans="1:34" x14ac:dyDescent="0.2">
      <c r="A35" s="34">
        <v>20</v>
      </c>
      <c r="B35" s="35" t="s">
        <v>87</v>
      </c>
      <c r="C35" s="36">
        <v>254</v>
      </c>
      <c r="D35" s="37">
        <f t="shared" si="2"/>
        <v>116.8543307087</v>
      </c>
      <c r="E35" s="38">
        <v>29681</v>
      </c>
      <c r="F35" s="39">
        <f t="shared" si="3"/>
        <v>0.64742475200000005</v>
      </c>
      <c r="G35" s="38">
        <v>2833371.24</v>
      </c>
      <c r="H35" s="38">
        <v>14740632</v>
      </c>
      <c r="I35" s="40">
        <v>23</v>
      </c>
      <c r="J35" s="34">
        <v>20</v>
      </c>
      <c r="K35" s="35" t="s">
        <v>87</v>
      </c>
      <c r="L35" s="41">
        <f t="shared" si="4"/>
        <v>0.43349148376966923</v>
      </c>
      <c r="M35" s="41">
        <f t="shared" si="5"/>
        <v>0.99289328119999998</v>
      </c>
      <c r="N35" s="41">
        <f t="shared" si="6"/>
        <v>0.51403817224874859</v>
      </c>
      <c r="O35" s="41">
        <f t="shared" si="7"/>
        <v>13.290339482286518</v>
      </c>
      <c r="P35" s="41">
        <f t="shared" si="8"/>
        <v>0.24398005728227432</v>
      </c>
      <c r="Q35" s="41">
        <f t="shared" si="9"/>
        <v>15.47474247678721</v>
      </c>
      <c r="R35" s="42">
        <f t="shared" si="11"/>
        <v>0.53361180949999998</v>
      </c>
      <c r="S35" s="2"/>
      <c r="T35" s="34">
        <v>20</v>
      </c>
      <c r="U35" s="43" t="s">
        <v>88</v>
      </c>
      <c r="V35" s="43">
        <v>0.293909215</v>
      </c>
      <c r="W35" s="43">
        <v>0.29145139250000002</v>
      </c>
      <c r="X35" s="44">
        <v>-0.83625227606422103</v>
      </c>
      <c r="Y35" s="34">
        <v>20</v>
      </c>
      <c r="Z35" s="35" t="s">
        <v>89</v>
      </c>
      <c r="AA35" s="36">
        <v>3326271.7</v>
      </c>
      <c r="AB35" s="38">
        <v>3376210.22</v>
      </c>
      <c r="AC35" s="40">
        <v>1.50133616565358</v>
      </c>
      <c r="AD35" s="34">
        <v>20</v>
      </c>
      <c r="AE35" s="35" t="s">
        <v>88</v>
      </c>
      <c r="AF35" s="38">
        <v>7666133</v>
      </c>
      <c r="AG35" s="38">
        <v>8155506</v>
      </c>
      <c r="AH35" s="40">
        <v>6.3835704389683796</v>
      </c>
    </row>
    <row r="36" spans="1:34" x14ac:dyDescent="0.2">
      <c r="A36" s="34">
        <v>21</v>
      </c>
      <c r="B36" s="35" t="s">
        <v>88</v>
      </c>
      <c r="C36" s="36">
        <v>234</v>
      </c>
      <c r="D36" s="37">
        <f t="shared" si="2"/>
        <v>52.876068376100001</v>
      </c>
      <c r="E36" s="38">
        <v>12373</v>
      </c>
      <c r="F36" s="39">
        <f t="shared" si="3"/>
        <v>0.26988937219999998</v>
      </c>
      <c r="G36" s="38">
        <v>970608.53</v>
      </c>
      <c r="H36" s="38">
        <v>8155506</v>
      </c>
      <c r="I36" s="40">
        <v>7</v>
      </c>
      <c r="J36" s="34">
        <v>21</v>
      </c>
      <c r="K36" s="35" t="s">
        <v>88</v>
      </c>
      <c r="L36" s="41">
        <f t="shared" si="4"/>
        <v>0.39935829607127005</v>
      </c>
      <c r="M36" s="41">
        <f t="shared" si="5"/>
        <v>0.44927982309999998</v>
      </c>
      <c r="N36" s="41">
        <f t="shared" si="6"/>
        <v>0.17609052696188329</v>
      </c>
      <c r="O36" s="41">
        <f t="shared" si="7"/>
        <v>7.3531069352945373</v>
      </c>
      <c r="P36" s="41">
        <f t="shared" si="8"/>
        <v>7.4254800042431318E-2</v>
      </c>
      <c r="Q36" s="41">
        <f t="shared" si="9"/>
        <v>8.4520903814701231</v>
      </c>
      <c r="R36" s="42">
        <f t="shared" si="11"/>
        <v>0.29145139250000002</v>
      </c>
      <c r="S36" s="2"/>
      <c r="T36" s="34">
        <v>21</v>
      </c>
      <c r="U36" s="43" t="s">
        <v>90</v>
      </c>
      <c r="V36" s="43">
        <v>0.98935354269999998</v>
      </c>
      <c r="W36" s="43">
        <v>0.9813406173</v>
      </c>
      <c r="X36" s="44">
        <v>-0.80991526832079397</v>
      </c>
      <c r="Y36" s="34">
        <v>21</v>
      </c>
      <c r="Z36" s="35" t="s">
        <v>49</v>
      </c>
      <c r="AA36" s="36">
        <v>2127292.62</v>
      </c>
      <c r="AB36" s="38">
        <v>2163561.9900000002</v>
      </c>
      <c r="AC36" s="40">
        <v>1.70495444110548</v>
      </c>
      <c r="AD36" s="34">
        <v>21</v>
      </c>
      <c r="AE36" s="35" t="s">
        <v>90</v>
      </c>
      <c r="AF36" s="38">
        <v>25804882</v>
      </c>
      <c r="AG36" s="38">
        <v>27453392</v>
      </c>
      <c r="AH36" s="40">
        <v>6.38836480631843</v>
      </c>
    </row>
    <row r="37" spans="1:34" x14ac:dyDescent="0.2">
      <c r="A37" s="34">
        <v>22</v>
      </c>
      <c r="B37" s="35" t="s">
        <v>91</v>
      </c>
      <c r="C37" s="36">
        <v>323</v>
      </c>
      <c r="D37" s="37">
        <f t="shared" si="2"/>
        <v>67.442724458200004</v>
      </c>
      <c r="E37" s="38">
        <v>21784</v>
      </c>
      <c r="F37" s="39">
        <f t="shared" si="3"/>
        <v>0.47516932709999998</v>
      </c>
      <c r="G37" s="38">
        <v>2149948.0499999998</v>
      </c>
      <c r="H37" s="38">
        <v>15663673</v>
      </c>
      <c r="I37" s="40">
        <v>76</v>
      </c>
      <c r="J37" s="34">
        <v>22</v>
      </c>
      <c r="K37" s="35" t="s">
        <v>91</v>
      </c>
      <c r="L37" s="41">
        <f t="shared" si="4"/>
        <v>0.55125098132914629</v>
      </c>
      <c r="M37" s="41">
        <f t="shared" si="5"/>
        <v>0.57305046010000005</v>
      </c>
      <c r="N37" s="41">
        <f t="shared" si="6"/>
        <v>0.39004961667210297</v>
      </c>
      <c r="O37" s="41">
        <f t="shared" si="7"/>
        <v>14.122564874391092</v>
      </c>
      <c r="P37" s="41">
        <f t="shared" si="8"/>
        <v>0.80619497188925426</v>
      </c>
      <c r="Q37" s="41">
        <f t="shared" si="9"/>
        <v>16.443110904381594</v>
      </c>
      <c r="R37" s="42">
        <f t="shared" si="11"/>
        <v>0.56700382429999996</v>
      </c>
      <c r="S37" s="2"/>
      <c r="T37" s="34">
        <v>22</v>
      </c>
      <c r="U37" s="43" t="s">
        <v>58</v>
      </c>
      <c r="V37" s="43">
        <v>3.1306696899999999</v>
      </c>
      <c r="W37" s="43">
        <v>3.1092053179999999</v>
      </c>
      <c r="X37" s="44">
        <v>-0.68561599036019905</v>
      </c>
      <c r="Y37" s="34">
        <v>22</v>
      </c>
      <c r="Z37" s="35" t="s">
        <v>92</v>
      </c>
      <c r="AA37" s="36">
        <v>950688.02</v>
      </c>
      <c r="AB37" s="38">
        <v>967090.3</v>
      </c>
      <c r="AC37" s="40">
        <v>1.7253062681909099</v>
      </c>
      <c r="AD37" s="34">
        <v>22</v>
      </c>
      <c r="AE37" s="35" t="s">
        <v>49</v>
      </c>
      <c r="AF37" s="38">
        <v>16097777</v>
      </c>
      <c r="AG37" s="38">
        <v>17129397</v>
      </c>
      <c r="AH37" s="40">
        <v>6.4084624852238896</v>
      </c>
    </row>
    <row r="38" spans="1:34" x14ac:dyDescent="0.2">
      <c r="A38" s="34">
        <v>23</v>
      </c>
      <c r="B38" s="35" t="s">
        <v>60</v>
      </c>
      <c r="C38" s="36">
        <v>152</v>
      </c>
      <c r="D38" s="37">
        <f t="shared" si="2"/>
        <v>67.486842105299999</v>
      </c>
      <c r="E38" s="38">
        <v>10258</v>
      </c>
      <c r="F38" s="39">
        <f t="shared" si="3"/>
        <v>0.2237553689</v>
      </c>
      <c r="G38" s="38">
        <v>1335624.46</v>
      </c>
      <c r="H38" s="38">
        <v>9759935</v>
      </c>
      <c r="I38" s="40">
        <v>8</v>
      </c>
      <c r="J38" s="34">
        <v>23</v>
      </c>
      <c r="K38" s="35" t="s">
        <v>60</v>
      </c>
      <c r="L38" s="41">
        <f t="shared" si="4"/>
        <v>0.25941222650783352</v>
      </c>
      <c r="M38" s="41">
        <f t="shared" si="5"/>
        <v>0.57342532099999999</v>
      </c>
      <c r="N38" s="41">
        <f t="shared" si="6"/>
        <v>0.24231274269203135</v>
      </c>
      <c r="O38" s="41">
        <f t="shared" si="7"/>
        <v>8.7996803308738762</v>
      </c>
      <c r="P38" s="41">
        <f t="shared" si="8"/>
        <v>8.4862628619921512E-2</v>
      </c>
      <c r="Q38" s="41">
        <f t="shared" si="9"/>
        <v>9.9596932496936628</v>
      </c>
      <c r="R38" s="42">
        <f t="shared" si="11"/>
        <v>0.34343769829999998</v>
      </c>
      <c r="S38" s="2"/>
      <c r="T38" s="34">
        <v>23</v>
      </c>
      <c r="U38" s="43" t="s">
        <v>93</v>
      </c>
      <c r="V38" s="43">
        <v>0.44687050119999999</v>
      </c>
      <c r="W38" s="43">
        <v>0.44383108380000003</v>
      </c>
      <c r="X38" s="44">
        <v>-0.680156195550633</v>
      </c>
      <c r="Y38" s="34">
        <v>23</v>
      </c>
      <c r="Z38" s="35" t="s">
        <v>60</v>
      </c>
      <c r="AA38" s="36">
        <v>1311626.69</v>
      </c>
      <c r="AB38" s="38">
        <v>1335624.46</v>
      </c>
      <c r="AC38" s="40">
        <v>1.8296189138999399</v>
      </c>
      <c r="AD38" s="34">
        <v>23</v>
      </c>
      <c r="AE38" s="35" t="s">
        <v>94</v>
      </c>
      <c r="AF38" s="38">
        <v>8057238</v>
      </c>
      <c r="AG38" s="38">
        <v>8583636</v>
      </c>
      <c r="AH38" s="40">
        <v>6.5332313629062497</v>
      </c>
    </row>
    <row r="39" spans="1:34" x14ac:dyDescent="0.2">
      <c r="A39" s="34">
        <v>24</v>
      </c>
      <c r="B39" s="35" t="s">
        <v>95</v>
      </c>
      <c r="C39" s="36">
        <v>222</v>
      </c>
      <c r="D39" s="37">
        <f t="shared" si="2"/>
        <v>85.9504504505</v>
      </c>
      <c r="E39" s="38">
        <v>19081</v>
      </c>
      <c r="F39" s="39">
        <f t="shared" si="3"/>
        <v>0.41620941649999998</v>
      </c>
      <c r="G39" s="38">
        <v>1412969.27</v>
      </c>
      <c r="H39" s="38">
        <v>10145906</v>
      </c>
      <c r="I39" s="40">
        <v>12</v>
      </c>
      <c r="J39" s="34">
        <v>24</v>
      </c>
      <c r="K39" s="35" t="s">
        <v>95</v>
      </c>
      <c r="L39" s="41">
        <f t="shared" si="4"/>
        <v>0.37887838345223057</v>
      </c>
      <c r="M39" s="41">
        <f t="shared" si="5"/>
        <v>0.73030776220000004</v>
      </c>
      <c r="N39" s="41">
        <f t="shared" si="6"/>
        <v>0.25634485546428026</v>
      </c>
      <c r="O39" s="41">
        <f t="shared" si="7"/>
        <v>9.1476766461144727</v>
      </c>
      <c r="P39" s="41">
        <f t="shared" si="8"/>
        <v>0.12729394292988225</v>
      </c>
      <c r="Q39" s="41">
        <f t="shared" si="9"/>
        <v>10.640501590160865</v>
      </c>
      <c r="R39" s="42">
        <f t="shared" si="11"/>
        <v>0.36691384789999998</v>
      </c>
      <c r="S39" s="2"/>
      <c r="T39" s="34">
        <v>24</v>
      </c>
      <c r="U39" s="43" t="s">
        <v>94</v>
      </c>
      <c r="V39" s="43">
        <v>0.30937860859999999</v>
      </c>
      <c r="W39" s="43">
        <v>0.30730573849999998</v>
      </c>
      <c r="X39" s="44">
        <v>-0.67001080306753102</v>
      </c>
      <c r="Y39" s="34">
        <v>24</v>
      </c>
      <c r="Z39" s="35" t="s">
        <v>96</v>
      </c>
      <c r="AA39" s="36">
        <v>1453791.24</v>
      </c>
      <c r="AB39" s="38">
        <v>1482804.14</v>
      </c>
      <c r="AC39" s="40">
        <v>1.9956716756664401</v>
      </c>
      <c r="AD39" s="34">
        <v>24</v>
      </c>
      <c r="AE39" s="35" t="s">
        <v>93</v>
      </c>
      <c r="AF39" s="38">
        <v>11632901</v>
      </c>
      <c r="AG39" s="38">
        <v>12398927</v>
      </c>
      <c r="AH39" s="40">
        <v>6.5849954366499004</v>
      </c>
    </row>
    <row r="40" spans="1:34" x14ac:dyDescent="0.2">
      <c r="A40" s="34">
        <v>25</v>
      </c>
      <c r="B40" s="35" t="s">
        <v>97</v>
      </c>
      <c r="C40" s="36">
        <v>305</v>
      </c>
      <c r="D40" s="37">
        <f t="shared" si="2"/>
        <v>127.98360655739999</v>
      </c>
      <c r="E40" s="38">
        <v>39035</v>
      </c>
      <c r="F40" s="39">
        <f t="shared" si="3"/>
        <v>0.85146137909999997</v>
      </c>
      <c r="G40" s="38">
        <v>2689283.04</v>
      </c>
      <c r="H40" s="38">
        <v>15327350</v>
      </c>
      <c r="I40" s="40">
        <v>22</v>
      </c>
      <c r="J40" s="34">
        <v>25</v>
      </c>
      <c r="K40" s="35" t="s">
        <v>97</v>
      </c>
      <c r="L40" s="41">
        <f t="shared" si="4"/>
        <v>0.52053111240058703</v>
      </c>
      <c r="M40" s="41">
        <f t="shared" si="5"/>
        <v>1.0874570268999999</v>
      </c>
      <c r="N40" s="41">
        <f t="shared" si="6"/>
        <v>0.48789728611107036</v>
      </c>
      <c r="O40" s="41">
        <f t="shared" si="7"/>
        <v>13.819331821310257</v>
      </c>
      <c r="P40" s="41">
        <f t="shared" si="8"/>
        <v>0.23337222870478413</v>
      </c>
      <c r="Q40" s="41">
        <f t="shared" si="9"/>
        <v>16.148589475426697</v>
      </c>
      <c r="R40" s="42">
        <f t="shared" si="11"/>
        <v>0.55684791290000002</v>
      </c>
      <c r="S40" s="2"/>
      <c r="T40" s="34">
        <v>25</v>
      </c>
      <c r="U40" s="43" t="s">
        <v>98</v>
      </c>
      <c r="V40" s="43">
        <v>0.51490428529999999</v>
      </c>
      <c r="W40" s="43">
        <v>0.5116305109</v>
      </c>
      <c r="X40" s="44">
        <v>-0.63580251581953295</v>
      </c>
      <c r="Y40" s="34">
        <v>25</v>
      </c>
      <c r="Z40" s="35" t="s">
        <v>44</v>
      </c>
      <c r="AA40" s="36">
        <v>329423.44</v>
      </c>
      <c r="AB40" s="38">
        <v>336181.16</v>
      </c>
      <c r="AC40" s="40">
        <v>2.0513780075880499</v>
      </c>
      <c r="AD40" s="34">
        <v>25</v>
      </c>
      <c r="AE40" s="35" t="s">
        <v>98</v>
      </c>
      <c r="AF40" s="38">
        <v>13395751</v>
      </c>
      <c r="AG40" s="38">
        <v>14285107</v>
      </c>
      <c r="AH40" s="40">
        <v>6.63909026078493</v>
      </c>
    </row>
    <row r="41" spans="1:34" x14ac:dyDescent="0.2">
      <c r="A41" s="34">
        <v>26</v>
      </c>
      <c r="B41" s="35" t="s">
        <v>90</v>
      </c>
      <c r="C41" s="36">
        <v>1022</v>
      </c>
      <c r="D41" s="37">
        <f t="shared" si="2"/>
        <v>4.9236790606999996</v>
      </c>
      <c r="E41" s="38">
        <v>5032</v>
      </c>
      <c r="F41" s="39">
        <f t="shared" si="3"/>
        <v>0.109761846</v>
      </c>
      <c r="G41" s="38">
        <v>412021.33</v>
      </c>
      <c r="H41" s="38">
        <v>27453392</v>
      </c>
      <c r="I41" s="40">
        <v>174</v>
      </c>
      <c r="J41" s="34">
        <v>26</v>
      </c>
      <c r="K41" s="35" t="s">
        <v>90</v>
      </c>
      <c r="L41" s="41">
        <f t="shared" si="4"/>
        <v>1.7442058913881966</v>
      </c>
      <c r="M41" s="41">
        <f t="shared" si="5"/>
        <v>4.18357439E-2</v>
      </c>
      <c r="N41" s="41">
        <f t="shared" si="6"/>
        <v>7.4750067485226002E-2</v>
      </c>
      <c r="O41" s="41">
        <f t="shared" si="7"/>
        <v>24.75232402656065</v>
      </c>
      <c r="P41" s="41">
        <f t="shared" si="8"/>
        <v>1.8457621724832927</v>
      </c>
      <c r="Q41" s="41">
        <f t="shared" si="9"/>
        <v>28.458877901817367</v>
      </c>
      <c r="R41" s="42">
        <f t="shared" si="11"/>
        <v>0.9813406173</v>
      </c>
      <c r="S41" s="2"/>
      <c r="T41" s="34">
        <v>26</v>
      </c>
      <c r="U41" s="43" t="s">
        <v>48</v>
      </c>
      <c r="V41" s="43">
        <v>0.55380217870000004</v>
      </c>
      <c r="W41" s="43">
        <v>0.55039992380000002</v>
      </c>
      <c r="X41" s="44">
        <v>-0.61434480232390798</v>
      </c>
      <c r="Y41" s="34">
        <v>26</v>
      </c>
      <c r="Z41" s="35" t="s">
        <v>99</v>
      </c>
      <c r="AA41" s="36">
        <v>8978287.9900000002</v>
      </c>
      <c r="AB41" s="38">
        <v>9169802.5600000005</v>
      </c>
      <c r="AC41" s="40">
        <v>2.13308561958929</v>
      </c>
      <c r="AD41" s="34">
        <v>26</v>
      </c>
      <c r="AE41" s="38" t="s">
        <v>77</v>
      </c>
      <c r="AF41" s="38">
        <v>66096643</v>
      </c>
      <c r="AG41" s="38">
        <v>70493734</v>
      </c>
      <c r="AH41" s="40">
        <v>6.6525178895999302</v>
      </c>
    </row>
    <row r="42" spans="1:34" x14ac:dyDescent="0.2">
      <c r="A42" s="34">
        <v>27</v>
      </c>
      <c r="B42" s="35" t="s">
        <v>71</v>
      </c>
      <c r="C42" s="36">
        <v>192</v>
      </c>
      <c r="D42" s="37">
        <f t="shared" si="2"/>
        <v>23.744791666699999</v>
      </c>
      <c r="E42" s="38">
        <v>4559</v>
      </c>
      <c r="F42" s="39">
        <f t="shared" si="3"/>
        <v>9.9444406999999999E-2</v>
      </c>
      <c r="G42" s="38">
        <v>550212.5</v>
      </c>
      <c r="H42" s="38">
        <v>6684337</v>
      </c>
      <c r="I42" s="40">
        <v>21</v>
      </c>
      <c r="J42" s="34">
        <v>27</v>
      </c>
      <c r="K42" s="35" t="s">
        <v>71</v>
      </c>
      <c r="L42" s="41">
        <f t="shared" si="4"/>
        <v>0.32767860190463183</v>
      </c>
      <c r="M42" s="41">
        <f t="shared" si="5"/>
        <v>0.20175584390000001</v>
      </c>
      <c r="N42" s="41">
        <f t="shared" si="6"/>
        <v>9.9821097869411068E-2</v>
      </c>
      <c r="O42" s="41">
        <f t="shared" si="7"/>
        <v>6.0266824342408531</v>
      </c>
      <c r="P42" s="41">
        <f t="shared" si="8"/>
        <v>0.22276440012729395</v>
      </c>
      <c r="Q42" s="41">
        <f t="shared" si="9"/>
        <v>6.8787023780421901</v>
      </c>
      <c r="R42" s="42">
        <f t="shared" si="11"/>
        <v>0.23719663369999999</v>
      </c>
      <c r="S42" s="2"/>
      <c r="T42" s="34">
        <v>27</v>
      </c>
      <c r="U42" s="46" t="s">
        <v>77</v>
      </c>
      <c r="V42" s="43">
        <v>2.5409218920000001</v>
      </c>
      <c r="W42" s="43">
        <v>2.5253646499000002</v>
      </c>
      <c r="X42" s="44">
        <v>-0.61226762416354796</v>
      </c>
      <c r="Y42" s="34">
        <v>27</v>
      </c>
      <c r="Z42" s="35" t="s">
        <v>100</v>
      </c>
      <c r="AA42" s="36">
        <v>1777321.03</v>
      </c>
      <c r="AB42" s="38">
        <v>1817019.69</v>
      </c>
      <c r="AC42" s="40">
        <v>2.2336234889427802</v>
      </c>
      <c r="AD42" s="34">
        <v>27</v>
      </c>
      <c r="AE42" s="35" t="s">
        <v>101</v>
      </c>
      <c r="AF42" s="38">
        <v>15194216</v>
      </c>
      <c r="AG42" s="38">
        <v>16206781</v>
      </c>
      <c r="AH42" s="40">
        <v>6.6641477256871999</v>
      </c>
    </row>
    <row r="43" spans="1:34" x14ac:dyDescent="0.2">
      <c r="A43" s="34">
        <v>28</v>
      </c>
      <c r="B43" s="35" t="s">
        <v>72</v>
      </c>
      <c r="C43" s="36">
        <v>229</v>
      </c>
      <c r="D43" s="37">
        <f t="shared" si="2"/>
        <v>21.903930130999999</v>
      </c>
      <c r="E43" s="38">
        <v>5016</v>
      </c>
      <c r="F43" s="39">
        <f t="shared" si="3"/>
        <v>0.1094128417</v>
      </c>
      <c r="G43" s="38">
        <v>907796.44</v>
      </c>
      <c r="H43" s="38">
        <v>7241100</v>
      </c>
      <c r="I43" s="40">
        <v>19</v>
      </c>
      <c r="J43" s="34">
        <v>28</v>
      </c>
      <c r="K43" s="35" t="s">
        <v>72</v>
      </c>
      <c r="L43" s="41">
        <f t="shared" si="4"/>
        <v>0.39082499914667029</v>
      </c>
      <c r="M43" s="41">
        <f t="shared" si="5"/>
        <v>0.18611432650000001</v>
      </c>
      <c r="N43" s="41">
        <f t="shared" si="6"/>
        <v>0.16469498108956621</v>
      </c>
      <c r="O43" s="41">
        <f t="shared" si="7"/>
        <v>6.528666967955302</v>
      </c>
      <c r="P43" s="41">
        <f t="shared" si="8"/>
        <v>0.20154874297231357</v>
      </c>
      <c r="Q43" s="41">
        <f t="shared" si="9"/>
        <v>7.4718500176638525</v>
      </c>
      <c r="R43" s="42">
        <f t="shared" si="11"/>
        <v>0.25765000059999998</v>
      </c>
      <c r="S43" s="2"/>
      <c r="T43" s="34">
        <v>28</v>
      </c>
      <c r="U43" s="43" t="s">
        <v>92</v>
      </c>
      <c r="V43" s="43">
        <v>0.29970191959999998</v>
      </c>
      <c r="W43" s="43">
        <v>0.29802693270000002</v>
      </c>
      <c r="X43" s="44">
        <v>-0.55888427482729797</v>
      </c>
      <c r="Y43" s="34">
        <v>28</v>
      </c>
      <c r="Z43" s="35" t="s">
        <v>68</v>
      </c>
      <c r="AA43" s="36">
        <v>2974943.4</v>
      </c>
      <c r="AB43" s="38">
        <v>3042710.26</v>
      </c>
      <c r="AC43" s="40">
        <v>2.2779209849841302</v>
      </c>
      <c r="AD43" s="34">
        <v>28</v>
      </c>
      <c r="AE43" s="35" t="s">
        <v>102</v>
      </c>
      <c r="AF43" s="38">
        <v>9705419</v>
      </c>
      <c r="AG43" s="38">
        <v>10358453</v>
      </c>
      <c r="AH43" s="40">
        <v>6.7285503078228803</v>
      </c>
    </row>
    <row r="44" spans="1:34" x14ac:dyDescent="0.2">
      <c r="A44" s="34">
        <v>29</v>
      </c>
      <c r="B44" s="35" t="s">
        <v>61</v>
      </c>
      <c r="C44" s="36">
        <v>1109</v>
      </c>
      <c r="D44" s="37">
        <f t="shared" si="2"/>
        <v>13.9359783589</v>
      </c>
      <c r="E44" s="38">
        <v>15455</v>
      </c>
      <c r="F44" s="39">
        <f t="shared" si="3"/>
        <v>0.33711632159999999</v>
      </c>
      <c r="G44" s="38">
        <v>1288991.95</v>
      </c>
      <c r="H44" s="38">
        <v>22857977</v>
      </c>
      <c r="I44" s="40">
        <v>87</v>
      </c>
      <c r="J44" s="34">
        <v>29</v>
      </c>
      <c r="K44" s="35" t="s">
        <v>61</v>
      </c>
      <c r="L44" s="41">
        <f t="shared" si="4"/>
        <v>1.892685257876233</v>
      </c>
      <c r="M44" s="41">
        <f t="shared" si="5"/>
        <v>0.1184118654</v>
      </c>
      <c r="N44" s="41">
        <f t="shared" si="6"/>
        <v>0.23385254168858943</v>
      </c>
      <c r="O44" s="41">
        <f t="shared" si="7"/>
        <v>20.609039979310054</v>
      </c>
      <c r="P44" s="41">
        <f t="shared" si="8"/>
        <v>0.92288108624164633</v>
      </c>
      <c r="Q44" s="41">
        <f t="shared" si="9"/>
        <v>23.776870730516521</v>
      </c>
      <c r="R44" s="42">
        <f t="shared" si="11"/>
        <v>0.81989209419999998</v>
      </c>
      <c r="S44" s="2"/>
      <c r="T44" s="34">
        <v>29</v>
      </c>
      <c r="U44" s="43" t="s">
        <v>102</v>
      </c>
      <c r="V44" s="43">
        <v>0.37339962249999997</v>
      </c>
      <c r="W44" s="43">
        <v>0.37139728869999999</v>
      </c>
      <c r="X44" s="44">
        <v>-0.53624419505137</v>
      </c>
      <c r="Y44" s="34">
        <v>29</v>
      </c>
      <c r="Z44" s="35" t="s">
        <v>103</v>
      </c>
      <c r="AA44" s="36">
        <v>108597050.51000001</v>
      </c>
      <c r="AB44" s="38">
        <v>111087015.72</v>
      </c>
      <c r="AC44" s="40">
        <v>2.2928479165009099</v>
      </c>
      <c r="AD44" s="34">
        <v>29</v>
      </c>
      <c r="AE44" s="35" t="s">
        <v>43</v>
      </c>
      <c r="AF44" s="38">
        <v>10149826</v>
      </c>
      <c r="AG44" s="38">
        <v>10837295</v>
      </c>
      <c r="AH44" s="40">
        <v>6.77320970822554</v>
      </c>
    </row>
    <row r="45" spans="1:34" x14ac:dyDescent="0.2">
      <c r="A45" s="34">
        <v>30</v>
      </c>
      <c r="B45" s="35" t="s">
        <v>104</v>
      </c>
      <c r="C45" s="36">
        <v>304</v>
      </c>
      <c r="D45" s="37">
        <f t="shared" si="2"/>
        <v>42.065789473700001</v>
      </c>
      <c r="E45" s="38">
        <v>12788</v>
      </c>
      <c r="F45" s="39">
        <f t="shared" si="3"/>
        <v>0.27894167069999998</v>
      </c>
      <c r="G45" s="38">
        <v>1701546.11</v>
      </c>
      <c r="H45" s="38">
        <v>10375279</v>
      </c>
      <c r="I45" s="40">
        <v>25</v>
      </c>
      <c r="J45" s="34">
        <v>30</v>
      </c>
      <c r="K45" s="35" t="s">
        <v>104</v>
      </c>
      <c r="L45" s="41">
        <f t="shared" si="4"/>
        <v>0.51882445301566704</v>
      </c>
      <c r="M45" s="41">
        <f t="shared" si="5"/>
        <v>0.35742654540000002</v>
      </c>
      <c r="N45" s="41">
        <f t="shared" si="6"/>
        <v>0.30869927668968933</v>
      </c>
      <c r="O45" s="41">
        <f t="shared" si="7"/>
        <v>9.354482232066994</v>
      </c>
      <c r="P45" s="41">
        <f t="shared" si="8"/>
        <v>0.2651957144372547</v>
      </c>
      <c r="Q45" s="41">
        <f t="shared" si="9"/>
        <v>10.804628221609605</v>
      </c>
      <c r="R45" s="42">
        <f t="shared" si="11"/>
        <v>0.37257338699999998</v>
      </c>
      <c r="S45" s="2"/>
      <c r="T45" s="34">
        <v>30</v>
      </c>
      <c r="U45" s="43" t="s">
        <v>101</v>
      </c>
      <c r="V45" s="43">
        <v>0.58418382680000003</v>
      </c>
      <c r="W45" s="43">
        <v>0.58108927070000005</v>
      </c>
      <c r="X45" s="44">
        <v>-0.52972300122567795</v>
      </c>
      <c r="Y45" s="34">
        <v>30</v>
      </c>
      <c r="Z45" s="35" t="s">
        <v>105</v>
      </c>
      <c r="AA45" s="36">
        <v>723007.49</v>
      </c>
      <c r="AB45" s="38">
        <v>739677.21</v>
      </c>
      <c r="AC45" s="40">
        <v>2.3056082033119498</v>
      </c>
      <c r="AD45" s="34">
        <v>30</v>
      </c>
      <c r="AE45" s="35" t="s">
        <v>92</v>
      </c>
      <c r="AF45" s="38">
        <v>7785759</v>
      </c>
      <c r="AG45" s="38">
        <v>8313731</v>
      </c>
      <c r="AH45" s="40">
        <v>6.7812527975756796</v>
      </c>
    </row>
    <row r="46" spans="1:34" x14ac:dyDescent="0.2">
      <c r="A46" s="34">
        <v>31</v>
      </c>
      <c r="B46" s="35" t="s">
        <v>48</v>
      </c>
      <c r="C46" s="36">
        <v>424</v>
      </c>
      <c r="D46" s="37">
        <f t="shared" si="2"/>
        <v>39.202830188699998</v>
      </c>
      <c r="E46" s="38">
        <v>16622</v>
      </c>
      <c r="F46" s="39">
        <f t="shared" si="3"/>
        <v>0.36257182129999999</v>
      </c>
      <c r="G46" s="38">
        <v>1021884.85</v>
      </c>
      <c r="H46" s="38">
        <v>15360964</v>
      </c>
      <c r="I46" s="40">
        <v>82</v>
      </c>
      <c r="J46" s="34">
        <v>31</v>
      </c>
      <c r="K46" s="35" t="s">
        <v>48</v>
      </c>
      <c r="L46" s="41">
        <f t="shared" si="4"/>
        <v>0.72362357920606202</v>
      </c>
      <c r="M46" s="41">
        <f t="shared" si="5"/>
        <v>0.33310042049999999</v>
      </c>
      <c r="N46" s="41">
        <f t="shared" si="6"/>
        <v>0.18539322102481939</v>
      </c>
      <c r="O46" s="41">
        <f t="shared" si="7"/>
        <v>13.849638627107835</v>
      </c>
      <c r="P46" s="41">
        <f t="shared" si="8"/>
        <v>0.8698419433541954</v>
      </c>
      <c r="Q46" s="41">
        <f t="shared" si="9"/>
        <v>15.961597791192911</v>
      </c>
      <c r="R46" s="42">
        <f t="shared" si="11"/>
        <v>0.55039992380000002</v>
      </c>
      <c r="S46" s="2"/>
      <c r="T46" s="34">
        <v>31</v>
      </c>
      <c r="U46" s="43" t="s">
        <v>43</v>
      </c>
      <c r="V46" s="43">
        <v>0.3906667452</v>
      </c>
      <c r="W46" s="43">
        <v>0.38862425839999998</v>
      </c>
      <c r="X46" s="44">
        <v>-0.52282074814286505</v>
      </c>
      <c r="Y46" s="34">
        <v>31</v>
      </c>
      <c r="Z46" s="35" t="s">
        <v>106</v>
      </c>
      <c r="AA46" s="36">
        <v>8158659.21</v>
      </c>
      <c r="AB46" s="38">
        <v>8348761.2699999996</v>
      </c>
      <c r="AC46" s="40">
        <v>2.33006496664298</v>
      </c>
      <c r="AD46" s="34">
        <v>31</v>
      </c>
      <c r="AE46" s="35" t="s">
        <v>75</v>
      </c>
      <c r="AF46" s="38">
        <v>14938488</v>
      </c>
      <c r="AG46" s="38">
        <v>15958365</v>
      </c>
      <c r="AH46" s="40">
        <v>6.82717688697812</v>
      </c>
    </row>
    <row r="47" spans="1:34" x14ac:dyDescent="0.2">
      <c r="A47" s="34">
        <v>32</v>
      </c>
      <c r="B47" s="35" t="s">
        <v>83</v>
      </c>
      <c r="C47" s="36">
        <v>244</v>
      </c>
      <c r="D47" s="37">
        <f t="shared" si="2"/>
        <v>62.6680327869</v>
      </c>
      <c r="E47" s="38">
        <v>15291</v>
      </c>
      <c r="F47" s="39">
        <f t="shared" si="3"/>
        <v>0.33353902769999999</v>
      </c>
      <c r="G47" s="38">
        <v>1240229.29</v>
      </c>
      <c r="H47" s="38">
        <v>9416708</v>
      </c>
      <c r="I47" s="40">
        <v>21</v>
      </c>
      <c r="J47" s="34">
        <v>32</v>
      </c>
      <c r="K47" s="35" t="s">
        <v>83</v>
      </c>
      <c r="L47" s="41">
        <f t="shared" si="4"/>
        <v>0.41642488992046961</v>
      </c>
      <c r="M47" s="41">
        <f t="shared" si="5"/>
        <v>0.53248063909999999</v>
      </c>
      <c r="N47" s="41">
        <f t="shared" si="6"/>
        <v>0.22500588288633974</v>
      </c>
      <c r="O47" s="41">
        <f t="shared" si="7"/>
        <v>8.4902225444311537</v>
      </c>
      <c r="P47" s="41">
        <f t="shared" si="8"/>
        <v>0.22276440012729395</v>
      </c>
      <c r="Q47" s="41">
        <f t="shared" si="9"/>
        <v>9.8868983564652577</v>
      </c>
      <c r="R47" s="42">
        <f t="shared" si="11"/>
        <v>0.34092752949999999</v>
      </c>
      <c r="S47" s="2"/>
      <c r="T47" s="34">
        <v>32</v>
      </c>
      <c r="U47" s="43" t="s">
        <v>61</v>
      </c>
      <c r="V47" s="43">
        <v>0.82405154700000005</v>
      </c>
      <c r="W47" s="43">
        <v>0.81989209419999998</v>
      </c>
      <c r="X47" s="44">
        <v>-0.50475638510027299</v>
      </c>
      <c r="Y47" s="34">
        <v>32</v>
      </c>
      <c r="Z47" s="35" t="s">
        <v>107</v>
      </c>
      <c r="AA47" s="36">
        <v>2086705.77</v>
      </c>
      <c r="AB47" s="38">
        <v>2136419.4700000002</v>
      </c>
      <c r="AC47" s="40">
        <v>2.38240104161877</v>
      </c>
      <c r="AD47" s="34">
        <v>32</v>
      </c>
      <c r="AE47" s="35" t="s">
        <v>104</v>
      </c>
      <c r="AF47" s="38">
        <v>9706796</v>
      </c>
      <c r="AG47" s="38">
        <v>10375279</v>
      </c>
      <c r="AH47" s="40">
        <v>6.8867523331076503</v>
      </c>
    </row>
    <row r="48" spans="1:34" x14ac:dyDescent="0.2">
      <c r="A48" s="34">
        <v>33</v>
      </c>
      <c r="B48" s="35" t="s">
        <v>108</v>
      </c>
      <c r="C48" s="36">
        <v>367</v>
      </c>
      <c r="D48" s="37">
        <f t="shared" ref="D48:D79" si="12">ROUND(E48/C48,10)</f>
        <v>61.871934604899998</v>
      </c>
      <c r="E48" s="38">
        <v>22707</v>
      </c>
      <c r="F48" s="39">
        <f t="shared" ref="F48:F79" si="13">ROUND(E48/$E$15%,10)</f>
        <v>0.49530251149999999</v>
      </c>
      <c r="G48" s="38">
        <v>2386952.65</v>
      </c>
      <c r="H48" s="38">
        <v>13616008</v>
      </c>
      <c r="I48" s="40">
        <v>41</v>
      </c>
      <c r="J48" s="34">
        <v>33</v>
      </c>
      <c r="K48" s="35" t="s">
        <v>108</v>
      </c>
      <c r="L48" s="41">
        <f t="shared" ref="L48:L79" si="14">C48/$C$15%</f>
        <v>0.62634399426562437</v>
      </c>
      <c r="M48" s="41">
        <f t="shared" ref="M48:M79" si="15">ROUND(D48/$D$15%,10)</f>
        <v>0.52571631529999996</v>
      </c>
      <c r="N48" s="41">
        <f t="shared" ref="N48:N79" si="16">G48/$G$15%</f>
        <v>0.43304765719662874</v>
      </c>
      <c r="O48" s="41">
        <f t="shared" ref="O48:O79" si="17">(H48/$H$15%)*25</f>
        <v>12.276364318268653</v>
      </c>
      <c r="P48" s="41">
        <f t="shared" ref="P48:P79" si="18">I48/$I$15%</f>
        <v>0.4349209716770977</v>
      </c>
      <c r="Q48" s="41">
        <f t="shared" ref="Q48:Q79" si="19">SUM(L48:P48)</f>
        <v>14.296393256708004</v>
      </c>
      <c r="R48" s="42">
        <f t="shared" si="11"/>
        <v>0.4929790778</v>
      </c>
      <c r="S48" s="2"/>
      <c r="T48" s="34">
        <v>33</v>
      </c>
      <c r="U48" s="43" t="s">
        <v>85</v>
      </c>
      <c r="V48" s="43">
        <v>0.54110116009999998</v>
      </c>
      <c r="W48" s="43">
        <v>0.53864260279999998</v>
      </c>
      <c r="X48" s="44">
        <v>-0.45436186082943097</v>
      </c>
      <c r="Y48" s="34">
        <v>33</v>
      </c>
      <c r="Z48" s="35" t="s">
        <v>109</v>
      </c>
      <c r="AA48" s="36">
        <v>1660468.21</v>
      </c>
      <c r="AB48" s="38">
        <v>1700948.77</v>
      </c>
      <c r="AC48" s="40">
        <v>2.4379003317383598</v>
      </c>
      <c r="AD48" s="34">
        <v>33</v>
      </c>
      <c r="AE48" s="35" t="s">
        <v>61</v>
      </c>
      <c r="AF48" s="38">
        <v>21383736</v>
      </c>
      <c r="AG48" s="38">
        <v>22857977</v>
      </c>
      <c r="AH48" s="40">
        <v>6.89421623985631</v>
      </c>
    </row>
    <row r="49" spans="1:34" x14ac:dyDescent="0.2">
      <c r="A49" s="34">
        <v>34</v>
      </c>
      <c r="B49" s="35" t="s">
        <v>110</v>
      </c>
      <c r="C49" s="36">
        <v>1143</v>
      </c>
      <c r="D49" s="37">
        <f t="shared" si="12"/>
        <v>107.27821522310001</v>
      </c>
      <c r="E49" s="38">
        <v>122619</v>
      </c>
      <c r="F49" s="39">
        <f t="shared" si="13"/>
        <v>2.6746597371999998</v>
      </c>
      <c r="G49" s="38">
        <v>12343338.51</v>
      </c>
      <c r="H49" s="38">
        <v>53326553</v>
      </c>
      <c r="I49" s="40">
        <v>285</v>
      </c>
      <c r="J49" s="34">
        <v>34</v>
      </c>
      <c r="K49" s="35" t="s">
        <v>110</v>
      </c>
      <c r="L49" s="41">
        <f t="shared" si="14"/>
        <v>1.9507116769635113</v>
      </c>
      <c r="M49" s="41">
        <f t="shared" si="15"/>
        <v>0.91152650020000003</v>
      </c>
      <c r="N49" s="41">
        <f t="shared" si="16"/>
        <v>2.2393631577653732</v>
      </c>
      <c r="O49" s="41">
        <f t="shared" si="17"/>
        <v>48.079891879136831</v>
      </c>
      <c r="P49" s="41">
        <f t="shared" si="18"/>
        <v>3.0232311445847038</v>
      </c>
      <c r="Q49" s="41">
        <f t="shared" si="19"/>
        <v>56.204724358650424</v>
      </c>
      <c r="R49" s="42">
        <f t="shared" si="11"/>
        <v>1.9380939434</v>
      </c>
      <c r="S49" s="2"/>
      <c r="T49" s="34">
        <v>34</v>
      </c>
      <c r="U49" s="43" t="s">
        <v>66</v>
      </c>
      <c r="V49" s="43">
        <v>1.2073659678999999</v>
      </c>
      <c r="W49" s="43">
        <v>1.2019509257000001</v>
      </c>
      <c r="X49" s="44">
        <v>-0.448500483198015</v>
      </c>
      <c r="Y49" s="34">
        <v>34</v>
      </c>
      <c r="Z49" s="35" t="s">
        <v>111</v>
      </c>
      <c r="AA49" s="36">
        <v>5658055.04</v>
      </c>
      <c r="AB49" s="38">
        <v>5796163.0599999996</v>
      </c>
      <c r="AC49" s="40">
        <v>2.4409098006936101</v>
      </c>
      <c r="AD49" s="34">
        <v>34</v>
      </c>
      <c r="AE49" s="35" t="s">
        <v>66</v>
      </c>
      <c r="AF49" s="38">
        <v>31328807</v>
      </c>
      <c r="AG49" s="38">
        <v>33490521</v>
      </c>
      <c r="AH49" s="40">
        <v>6.9000840025603303</v>
      </c>
    </row>
    <row r="50" spans="1:34" x14ac:dyDescent="0.2">
      <c r="A50" s="34">
        <v>35</v>
      </c>
      <c r="B50" s="35" t="s">
        <v>112</v>
      </c>
      <c r="C50" s="36">
        <v>1952</v>
      </c>
      <c r="D50" s="37">
        <f t="shared" si="12"/>
        <v>17.542520491800001</v>
      </c>
      <c r="E50" s="38">
        <v>34243</v>
      </c>
      <c r="F50" s="39">
        <f t="shared" si="13"/>
        <v>0.7469345973</v>
      </c>
      <c r="G50" s="38">
        <v>3618128.71</v>
      </c>
      <c r="H50" s="38">
        <v>38256275</v>
      </c>
      <c r="I50" s="40">
        <v>139</v>
      </c>
      <c r="J50" s="34">
        <v>35</v>
      </c>
      <c r="K50" s="35" t="s">
        <v>112</v>
      </c>
      <c r="L50" s="41">
        <f t="shared" si="14"/>
        <v>3.3313991193637569</v>
      </c>
      <c r="M50" s="41">
        <f t="shared" si="15"/>
        <v>0.1490560994</v>
      </c>
      <c r="N50" s="41">
        <f t="shared" si="16"/>
        <v>0.65641107765642548</v>
      </c>
      <c r="O50" s="41">
        <f t="shared" si="17"/>
        <v>34.492339411072102</v>
      </c>
      <c r="P50" s="41">
        <f t="shared" si="18"/>
        <v>1.4744881722711363</v>
      </c>
      <c r="Q50" s="41">
        <f t="shared" si="19"/>
        <v>40.103693879763419</v>
      </c>
      <c r="R50" s="42">
        <f t="shared" si="11"/>
        <v>1.3828859958999999</v>
      </c>
      <c r="S50" s="2"/>
      <c r="T50" s="34">
        <v>35</v>
      </c>
      <c r="U50" s="43" t="s">
        <v>100</v>
      </c>
      <c r="V50" s="43">
        <v>0.50342206219999996</v>
      </c>
      <c r="W50" s="43">
        <v>0.50124300980000003</v>
      </c>
      <c r="X50" s="44">
        <v>-0.43284801434352699</v>
      </c>
      <c r="Y50" s="34">
        <v>35</v>
      </c>
      <c r="Z50" s="35" t="s">
        <v>112</v>
      </c>
      <c r="AA50" s="36">
        <v>3526727.39</v>
      </c>
      <c r="AB50" s="38">
        <v>3618128.71</v>
      </c>
      <c r="AC50" s="40">
        <v>2.5916752244351899</v>
      </c>
      <c r="AD50" s="34">
        <v>35</v>
      </c>
      <c r="AE50" s="35" t="s">
        <v>113</v>
      </c>
      <c r="AF50" s="38">
        <v>12415481</v>
      </c>
      <c r="AG50" s="38">
        <v>13272405</v>
      </c>
      <c r="AH50" s="40">
        <v>6.9020604195681203</v>
      </c>
    </row>
    <row r="51" spans="1:34" x14ac:dyDescent="0.2">
      <c r="A51" s="34">
        <v>36</v>
      </c>
      <c r="B51" s="35" t="s">
        <v>114</v>
      </c>
      <c r="C51" s="36">
        <v>96</v>
      </c>
      <c r="D51" s="37">
        <f t="shared" si="12"/>
        <v>122.1145833333</v>
      </c>
      <c r="E51" s="38">
        <v>11723</v>
      </c>
      <c r="F51" s="39">
        <f t="shared" si="13"/>
        <v>0.25571107329999998</v>
      </c>
      <c r="G51" s="38">
        <v>1481278.61</v>
      </c>
      <c r="H51" s="38">
        <v>10482658</v>
      </c>
      <c r="I51" s="40">
        <v>12</v>
      </c>
      <c r="J51" s="34">
        <v>36</v>
      </c>
      <c r="K51" s="35" t="s">
        <v>114</v>
      </c>
      <c r="L51" s="41">
        <f t="shared" si="14"/>
        <v>0.16383930095231591</v>
      </c>
      <c r="M51" s="41">
        <f t="shared" si="15"/>
        <v>1.0375888389000001</v>
      </c>
      <c r="N51" s="41">
        <f t="shared" si="16"/>
        <v>0.2687377278790925</v>
      </c>
      <c r="O51" s="41">
        <f t="shared" si="17"/>
        <v>9.451296490998935</v>
      </c>
      <c r="P51" s="41">
        <f t="shared" si="18"/>
        <v>0.12729394292988225</v>
      </c>
      <c r="Q51" s="41">
        <f t="shared" si="19"/>
        <v>11.048756301660225</v>
      </c>
      <c r="R51" s="42">
        <f t="shared" si="11"/>
        <v>0.38099159659999998</v>
      </c>
      <c r="S51" s="2"/>
      <c r="T51" s="34">
        <v>36</v>
      </c>
      <c r="U51" s="43" t="s">
        <v>113</v>
      </c>
      <c r="V51" s="43">
        <v>0.47849630469999999</v>
      </c>
      <c r="W51" s="43">
        <v>0.47657134909999999</v>
      </c>
      <c r="X51" s="44">
        <v>-0.40229267835346799</v>
      </c>
      <c r="Y51" s="34">
        <v>36</v>
      </c>
      <c r="Z51" s="35" t="s">
        <v>115</v>
      </c>
      <c r="AA51" s="36">
        <v>1401318.09</v>
      </c>
      <c r="AB51" s="38">
        <v>1439547.05</v>
      </c>
      <c r="AC51" s="40">
        <v>2.7280715401312099</v>
      </c>
      <c r="AD51" s="34">
        <v>36</v>
      </c>
      <c r="AE51" s="35" t="s">
        <v>116</v>
      </c>
      <c r="AF51" s="38">
        <v>11207313</v>
      </c>
      <c r="AG51" s="38">
        <v>11981637</v>
      </c>
      <c r="AH51" s="40">
        <v>6.9090958733819603</v>
      </c>
    </row>
    <row r="52" spans="1:34" x14ac:dyDescent="0.2">
      <c r="A52" s="34">
        <v>37</v>
      </c>
      <c r="B52" s="35" t="s">
        <v>92</v>
      </c>
      <c r="C52" s="36">
        <v>201</v>
      </c>
      <c r="D52" s="37">
        <f t="shared" si="12"/>
        <v>40.263681591999998</v>
      </c>
      <c r="E52" s="38">
        <v>8093</v>
      </c>
      <c r="F52" s="39">
        <f t="shared" si="13"/>
        <v>0.1765307273</v>
      </c>
      <c r="G52" s="38">
        <v>967090.3</v>
      </c>
      <c r="H52" s="38">
        <v>8313731</v>
      </c>
      <c r="I52" s="40">
        <v>27</v>
      </c>
      <c r="J52" s="34">
        <v>37</v>
      </c>
      <c r="K52" s="35" t="s">
        <v>92</v>
      </c>
      <c r="L52" s="41">
        <f t="shared" si="14"/>
        <v>0.34303853636891146</v>
      </c>
      <c r="M52" s="41">
        <f t="shared" si="15"/>
        <v>0.34211431180000001</v>
      </c>
      <c r="N52" s="41">
        <f t="shared" si="16"/>
        <v>0.17545223978891447</v>
      </c>
      <c r="O52" s="41">
        <f t="shared" si="17"/>
        <v>7.4957645882760913</v>
      </c>
      <c r="P52" s="41">
        <f t="shared" si="18"/>
        <v>0.28641137159223506</v>
      </c>
      <c r="Q52" s="41">
        <f t="shared" si="19"/>
        <v>8.6427810478261531</v>
      </c>
      <c r="R52" s="42">
        <f t="shared" si="11"/>
        <v>0.29802693270000002</v>
      </c>
      <c r="S52" s="2"/>
      <c r="T52" s="34">
        <v>37</v>
      </c>
      <c r="U52" s="43" t="s">
        <v>116</v>
      </c>
      <c r="V52" s="43">
        <v>0.4319541106</v>
      </c>
      <c r="W52" s="43">
        <v>0.43025744399999999</v>
      </c>
      <c r="X52" s="44">
        <v>-0.39278862230139999</v>
      </c>
      <c r="Y52" s="34">
        <v>37</v>
      </c>
      <c r="Z52" s="35" t="s">
        <v>52</v>
      </c>
      <c r="AA52" s="36">
        <v>1630312.2</v>
      </c>
      <c r="AB52" s="38">
        <v>1675232.04</v>
      </c>
      <c r="AC52" s="40">
        <v>2.7552906737740099</v>
      </c>
      <c r="AD52" s="34">
        <v>37</v>
      </c>
      <c r="AE52" s="35" t="s">
        <v>48</v>
      </c>
      <c r="AF52" s="38">
        <v>14366740</v>
      </c>
      <c r="AG52" s="38">
        <v>15360964</v>
      </c>
      <c r="AH52" s="40">
        <v>6.9203173440877999</v>
      </c>
    </row>
    <row r="53" spans="1:34" x14ac:dyDescent="0.2">
      <c r="A53" s="34">
        <v>38</v>
      </c>
      <c r="B53" s="35" t="s">
        <v>51</v>
      </c>
      <c r="C53" s="36">
        <v>2057</v>
      </c>
      <c r="D53" s="37">
        <f t="shared" si="12"/>
        <v>19.8434613515</v>
      </c>
      <c r="E53" s="38">
        <v>40818</v>
      </c>
      <c r="F53" s="39">
        <f t="shared" si="13"/>
        <v>0.89035354349999996</v>
      </c>
      <c r="G53" s="38">
        <v>7732516.0499999998</v>
      </c>
      <c r="H53" s="38">
        <v>51136190</v>
      </c>
      <c r="I53" s="40">
        <v>287</v>
      </c>
      <c r="J53" s="34">
        <v>38</v>
      </c>
      <c r="K53" s="35" t="s">
        <v>51</v>
      </c>
      <c r="L53" s="41">
        <f t="shared" si="14"/>
        <v>3.5105983547803525</v>
      </c>
      <c r="M53" s="41">
        <f t="shared" si="15"/>
        <v>0.16860684009999999</v>
      </c>
      <c r="N53" s="41">
        <f t="shared" si="16"/>
        <v>1.4028547904743018</v>
      </c>
      <c r="O53" s="41">
        <f t="shared" si="17"/>
        <v>46.105033008808917</v>
      </c>
      <c r="P53" s="41">
        <f t="shared" si="18"/>
        <v>3.0444468017396842</v>
      </c>
      <c r="Q53" s="41">
        <f t="shared" si="19"/>
        <v>54.231539795903252</v>
      </c>
      <c r="R53" s="42">
        <f t="shared" si="11"/>
        <v>1.8700530963999999</v>
      </c>
      <c r="S53" s="2"/>
      <c r="T53" s="34">
        <v>38</v>
      </c>
      <c r="U53" s="43" t="s">
        <v>104</v>
      </c>
      <c r="V53" s="43">
        <v>0.3740336896</v>
      </c>
      <c r="W53" s="43">
        <v>0.37257338699999998</v>
      </c>
      <c r="X53" s="44">
        <v>-0.39042007193568601</v>
      </c>
      <c r="Y53" s="34">
        <v>38</v>
      </c>
      <c r="Z53" s="35" t="s">
        <v>117</v>
      </c>
      <c r="AA53" s="36">
        <v>39701891.479999997</v>
      </c>
      <c r="AB53" s="38">
        <v>40801302.729999997</v>
      </c>
      <c r="AC53" s="40">
        <v>2.7691659238801201</v>
      </c>
      <c r="AD53" s="34">
        <v>38</v>
      </c>
      <c r="AE53" s="35" t="s">
        <v>100</v>
      </c>
      <c r="AF53" s="38">
        <v>13059020</v>
      </c>
      <c r="AG53" s="38">
        <v>13963665</v>
      </c>
      <c r="AH53" s="40">
        <v>6.9273574893062397</v>
      </c>
    </row>
    <row r="54" spans="1:34" x14ac:dyDescent="0.2">
      <c r="A54" s="34">
        <v>39</v>
      </c>
      <c r="B54" s="35" t="s">
        <v>105</v>
      </c>
      <c r="C54" s="36">
        <v>79</v>
      </c>
      <c r="D54" s="37">
        <f t="shared" si="12"/>
        <v>111.8734177215</v>
      </c>
      <c r="E54" s="38">
        <v>8838</v>
      </c>
      <c r="F54" s="39">
        <f t="shared" si="13"/>
        <v>0.1927812391</v>
      </c>
      <c r="G54" s="38">
        <v>739677.21</v>
      </c>
      <c r="H54" s="38">
        <v>8073227</v>
      </c>
      <c r="I54" s="40">
        <v>17</v>
      </c>
      <c r="J54" s="34">
        <v>39</v>
      </c>
      <c r="K54" s="35" t="s">
        <v>105</v>
      </c>
      <c r="L54" s="41">
        <f t="shared" si="14"/>
        <v>0.13482609140867666</v>
      </c>
      <c r="M54" s="41">
        <f t="shared" si="15"/>
        <v>0.95057122930000004</v>
      </c>
      <c r="N54" s="41">
        <f t="shared" si="16"/>
        <v>0.13419431796112033</v>
      </c>
      <c r="O54" s="41">
        <f t="shared" si="17"/>
        <v>7.2789231525189377</v>
      </c>
      <c r="P54" s="41">
        <f t="shared" si="18"/>
        <v>0.18033308581733321</v>
      </c>
      <c r="Q54" s="41">
        <f t="shared" si="19"/>
        <v>8.6788478770060671</v>
      </c>
      <c r="R54" s="42">
        <f t="shared" si="11"/>
        <v>0.29927061640000002</v>
      </c>
      <c r="S54" s="2"/>
      <c r="T54" s="34">
        <v>39</v>
      </c>
      <c r="U54" s="43" t="s">
        <v>59</v>
      </c>
      <c r="V54" s="43">
        <v>2.4190900055000002</v>
      </c>
      <c r="W54" s="43">
        <v>2.4100396664999999</v>
      </c>
      <c r="X54" s="44">
        <v>-0.37412163166412199</v>
      </c>
      <c r="Y54" s="34">
        <v>39</v>
      </c>
      <c r="Z54" s="35" t="s">
        <v>84</v>
      </c>
      <c r="AA54" s="36">
        <v>14204439.35</v>
      </c>
      <c r="AB54" s="38">
        <v>14598125.060000001</v>
      </c>
      <c r="AC54" s="40">
        <v>2.7715681013485298</v>
      </c>
      <c r="AD54" s="34">
        <v>39</v>
      </c>
      <c r="AE54" s="35" t="s">
        <v>85</v>
      </c>
      <c r="AF54" s="38">
        <v>14030525</v>
      </c>
      <c r="AG54" s="38">
        <v>15008202</v>
      </c>
      <c r="AH54" s="40">
        <v>6.9682139478030898</v>
      </c>
    </row>
    <row r="55" spans="1:34" x14ac:dyDescent="0.2">
      <c r="A55" s="34">
        <v>40</v>
      </c>
      <c r="B55" s="35" t="s">
        <v>96</v>
      </c>
      <c r="C55" s="36">
        <v>176</v>
      </c>
      <c r="D55" s="37">
        <f t="shared" si="12"/>
        <v>96.534090909100001</v>
      </c>
      <c r="E55" s="38">
        <v>16990</v>
      </c>
      <c r="F55" s="39">
        <f t="shared" si="13"/>
        <v>0.37059891969999997</v>
      </c>
      <c r="G55" s="38">
        <v>1482804.14</v>
      </c>
      <c r="H55" s="38">
        <v>12657460</v>
      </c>
      <c r="I55" s="40">
        <v>39</v>
      </c>
      <c r="J55" s="34">
        <v>40</v>
      </c>
      <c r="K55" s="35" t="s">
        <v>96</v>
      </c>
      <c r="L55" s="41">
        <f t="shared" si="14"/>
        <v>0.30037205174591253</v>
      </c>
      <c r="M55" s="41">
        <f t="shared" si="15"/>
        <v>0.82023532789999998</v>
      </c>
      <c r="N55" s="41">
        <f t="shared" si="16"/>
        <v>0.26901449381849357</v>
      </c>
      <c r="O55" s="41">
        <f t="shared" si="17"/>
        <v>11.412125367722517</v>
      </c>
      <c r="P55" s="41">
        <f t="shared" si="18"/>
        <v>0.41370531452211734</v>
      </c>
      <c r="Q55" s="41">
        <f t="shared" si="19"/>
        <v>13.215452555709041</v>
      </c>
      <c r="R55" s="42">
        <f t="shared" ref="R55:R86" si="20">ROUND(Q55/$Q$129%,10)</f>
        <v>0.45570526049999999</v>
      </c>
      <c r="S55" s="2"/>
      <c r="T55" s="34">
        <v>40</v>
      </c>
      <c r="U55" s="43" t="s">
        <v>118</v>
      </c>
      <c r="V55" s="43">
        <v>1.3281067741999999</v>
      </c>
      <c r="W55" s="43">
        <v>1.3247963435000001</v>
      </c>
      <c r="X55" s="44">
        <v>-0.24925937916353799</v>
      </c>
      <c r="Y55" s="34">
        <v>40</v>
      </c>
      <c r="Z55" s="35" t="s">
        <v>119</v>
      </c>
      <c r="AA55" s="36">
        <v>1385990.81</v>
      </c>
      <c r="AB55" s="38">
        <v>1427997.82</v>
      </c>
      <c r="AC55" s="40">
        <v>3.0308288984975098</v>
      </c>
      <c r="AD55" s="34">
        <v>40</v>
      </c>
      <c r="AE55" s="35" t="s">
        <v>59</v>
      </c>
      <c r="AF55" s="38">
        <v>62705853</v>
      </c>
      <c r="AG55" s="38">
        <v>67096938</v>
      </c>
      <c r="AH55" s="40">
        <v>7.0026716644776403</v>
      </c>
    </row>
    <row r="56" spans="1:34" x14ac:dyDescent="0.2">
      <c r="A56" s="34">
        <v>41</v>
      </c>
      <c r="B56" s="35" t="s">
        <v>98</v>
      </c>
      <c r="C56" s="36">
        <v>127</v>
      </c>
      <c r="D56" s="37">
        <f t="shared" si="12"/>
        <v>119.8031496063</v>
      </c>
      <c r="E56" s="38">
        <v>15215</v>
      </c>
      <c r="F56" s="39">
        <f t="shared" si="13"/>
        <v>0.33188125740000002</v>
      </c>
      <c r="G56" s="38">
        <v>1587654.59</v>
      </c>
      <c r="H56" s="38">
        <v>14285107</v>
      </c>
      <c r="I56" s="40">
        <v>41</v>
      </c>
      <c r="J56" s="34">
        <v>41</v>
      </c>
      <c r="K56" s="35" t="s">
        <v>98</v>
      </c>
      <c r="L56" s="41">
        <f t="shared" si="14"/>
        <v>0.21674574188483461</v>
      </c>
      <c r="M56" s="41">
        <f t="shared" si="15"/>
        <v>1.0179489419000001</v>
      </c>
      <c r="N56" s="41">
        <f t="shared" si="16"/>
        <v>0.288036757091505</v>
      </c>
      <c r="O56" s="41">
        <f t="shared" si="17"/>
        <v>12.879632404552769</v>
      </c>
      <c r="P56" s="41">
        <f t="shared" si="18"/>
        <v>0.4349209716770977</v>
      </c>
      <c r="Q56" s="41">
        <f t="shared" si="19"/>
        <v>14.837284817106207</v>
      </c>
      <c r="R56" s="42">
        <f t="shared" si="20"/>
        <v>0.5116305109</v>
      </c>
      <c r="S56" s="2"/>
      <c r="T56" s="34">
        <v>41</v>
      </c>
      <c r="U56" s="43" t="s">
        <v>70</v>
      </c>
      <c r="V56" s="43">
        <v>1.0264004520000001</v>
      </c>
      <c r="W56" s="43">
        <v>1.0240052487</v>
      </c>
      <c r="X56" s="44">
        <v>-0.23335953285415101</v>
      </c>
      <c r="Y56" s="34">
        <v>41</v>
      </c>
      <c r="Z56" s="35" t="s">
        <v>120</v>
      </c>
      <c r="AA56" s="36">
        <v>1983823.56</v>
      </c>
      <c r="AB56" s="38">
        <v>2045899.81</v>
      </c>
      <c r="AC56" s="40">
        <v>3.1291215232870799</v>
      </c>
      <c r="AD56" s="34">
        <v>41</v>
      </c>
      <c r="AE56" s="35" t="s">
        <v>121</v>
      </c>
      <c r="AF56" s="38">
        <v>14578769</v>
      </c>
      <c r="AG56" s="38">
        <v>15612020</v>
      </c>
      <c r="AH56" s="40">
        <v>7.0873679389528697</v>
      </c>
    </row>
    <row r="57" spans="1:34" x14ac:dyDescent="0.2">
      <c r="A57" s="34">
        <v>42</v>
      </c>
      <c r="B57" s="35" t="s">
        <v>122</v>
      </c>
      <c r="C57" s="36">
        <v>124</v>
      </c>
      <c r="D57" s="37">
        <f t="shared" si="12"/>
        <v>102.5806451613</v>
      </c>
      <c r="E57" s="38">
        <v>12720</v>
      </c>
      <c r="F57" s="39">
        <f t="shared" si="13"/>
        <v>0.27745840249999998</v>
      </c>
      <c r="G57" s="38">
        <v>1583393.95</v>
      </c>
      <c r="H57" s="38">
        <v>10461467</v>
      </c>
      <c r="I57" s="40">
        <v>22</v>
      </c>
      <c r="J57" s="34">
        <v>42</v>
      </c>
      <c r="K57" s="35" t="s">
        <v>122</v>
      </c>
      <c r="L57" s="41">
        <f t="shared" si="14"/>
        <v>0.21162576373007475</v>
      </c>
      <c r="M57" s="41">
        <f t="shared" si="15"/>
        <v>0.87161196969999999</v>
      </c>
      <c r="N57" s="41">
        <f t="shared" si="16"/>
        <v>0.28726377981013401</v>
      </c>
      <c r="O57" s="41">
        <f t="shared" si="17"/>
        <v>9.4321904184798502</v>
      </c>
      <c r="P57" s="41">
        <f t="shared" si="18"/>
        <v>0.23337222870478413</v>
      </c>
      <c r="Q57" s="41">
        <f t="shared" si="19"/>
        <v>11.036064160424843</v>
      </c>
      <c r="R57" s="42">
        <f t="shared" si="20"/>
        <v>0.38055393659999998</v>
      </c>
      <c r="S57" s="2"/>
      <c r="T57" s="34">
        <v>42</v>
      </c>
      <c r="U57" s="43" t="s">
        <v>123</v>
      </c>
      <c r="V57" s="43">
        <v>0.40793412709999999</v>
      </c>
      <c r="W57" s="43">
        <v>0.40715560049999999</v>
      </c>
      <c r="X57" s="44">
        <v>-0.19084615585720499</v>
      </c>
      <c r="Y57" s="34">
        <v>42</v>
      </c>
      <c r="Z57" s="35" t="s">
        <v>124</v>
      </c>
      <c r="AA57" s="36">
        <v>3612531.9</v>
      </c>
      <c r="AB57" s="38">
        <v>3733441.89</v>
      </c>
      <c r="AC57" s="40">
        <v>3.34695978740011</v>
      </c>
      <c r="AD57" s="34">
        <v>42</v>
      </c>
      <c r="AE57" s="35" t="s">
        <v>118</v>
      </c>
      <c r="AF57" s="38">
        <v>34389891</v>
      </c>
      <c r="AG57" s="38">
        <v>36832474</v>
      </c>
      <c r="AH57" s="40">
        <v>7.1026191970192603</v>
      </c>
    </row>
    <row r="58" spans="1:34" x14ac:dyDescent="0.2">
      <c r="A58" s="34">
        <v>43</v>
      </c>
      <c r="B58" s="35" t="s">
        <v>63</v>
      </c>
      <c r="C58" s="36">
        <v>119</v>
      </c>
      <c r="D58" s="37">
        <f t="shared" si="12"/>
        <v>586.08403361340004</v>
      </c>
      <c r="E58" s="38">
        <v>69744</v>
      </c>
      <c r="F58" s="39">
        <f t="shared" si="13"/>
        <v>1.5213096559999999</v>
      </c>
      <c r="G58" s="38">
        <v>7530607.5300000003</v>
      </c>
      <c r="H58" s="38">
        <v>57866589</v>
      </c>
      <c r="I58" s="40">
        <v>37</v>
      </c>
      <c r="J58" s="34">
        <v>43</v>
      </c>
      <c r="K58" s="35" t="s">
        <v>63</v>
      </c>
      <c r="L58" s="41">
        <f t="shared" si="14"/>
        <v>0.20309246680547494</v>
      </c>
      <c r="M58" s="41">
        <f t="shared" si="15"/>
        <v>4.9798659206</v>
      </c>
      <c r="N58" s="41">
        <f t="shared" si="16"/>
        <v>1.3662239794047826</v>
      </c>
      <c r="O58" s="41">
        <f t="shared" si="17"/>
        <v>52.173245522440737</v>
      </c>
      <c r="P58" s="41">
        <f t="shared" si="18"/>
        <v>0.39248965736713698</v>
      </c>
      <c r="Q58" s="41">
        <f t="shared" si="19"/>
        <v>59.11491754661813</v>
      </c>
      <c r="R58" s="42">
        <f t="shared" si="20"/>
        <v>2.0384454326000001</v>
      </c>
      <c r="S58" s="2"/>
      <c r="T58" s="34">
        <v>43</v>
      </c>
      <c r="U58" s="43" t="s">
        <v>121</v>
      </c>
      <c r="V58" s="43">
        <v>0.56291430990000002</v>
      </c>
      <c r="W58" s="43">
        <v>0.56184049170000006</v>
      </c>
      <c r="X58" s="44">
        <v>-0.19076050850274601</v>
      </c>
      <c r="Y58" s="34">
        <v>43</v>
      </c>
      <c r="Z58" s="35" t="s">
        <v>110</v>
      </c>
      <c r="AA58" s="36">
        <v>11941803.23</v>
      </c>
      <c r="AB58" s="38">
        <v>12343338.51</v>
      </c>
      <c r="AC58" s="40">
        <v>3.3624342343145202</v>
      </c>
      <c r="AD58" s="34">
        <v>43</v>
      </c>
      <c r="AE58" s="35" t="s">
        <v>123</v>
      </c>
      <c r="AF58" s="38">
        <v>10562001</v>
      </c>
      <c r="AG58" s="38">
        <v>11313386</v>
      </c>
      <c r="AH58" s="40">
        <v>7.1140402277939598</v>
      </c>
    </row>
    <row r="59" spans="1:34" x14ac:dyDescent="0.2">
      <c r="A59" s="34">
        <v>44</v>
      </c>
      <c r="B59" s="35" t="s">
        <v>102</v>
      </c>
      <c r="C59" s="36">
        <v>194</v>
      </c>
      <c r="D59" s="37">
        <f t="shared" si="12"/>
        <v>64.051546391800002</v>
      </c>
      <c r="E59" s="38">
        <v>12426</v>
      </c>
      <c r="F59" s="39">
        <f t="shared" si="13"/>
        <v>0.27104544889999999</v>
      </c>
      <c r="G59" s="38">
        <v>1602256.62</v>
      </c>
      <c r="H59" s="38">
        <v>10358453</v>
      </c>
      <c r="I59" s="40">
        <v>25</v>
      </c>
      <c r="J59" s="34">
        <v>44</v>
      </c>
      <c r="K59" s="35" t="s">
        <v>102</v>
      </c>
      <c r="L59" s="41">
        <f t="shared" si="14"/>
        <v>0.33109192067447174</v>
      </c>
      <c r="M59" s="41">
        <f t="shared" si="15"/>
        <v>0.54423614149999999</v>
      </c>
      <c r="N59" s="41">
        <f t="shared" si="16"/>
        <v>0.29068589840640074</v>
      </c>
      <c r="O59" s="41">
        <f t="shared" si="17"/>
        <v>9.3393116985288831</v>
      </c>
      <c r="P59" s="41">
        <f t="shared" si="18"/>
        <v>0.2651957144372547</v>
      </c>
      <c r="Q59" s="41">
        <f t="shared" si="19"/>
        <v>10.770521373547011</v>
      </c>
      <c r="R59" s="42">
        <f t="shared" si="20"/>
        <v>0.37139728869999999</v>
      </c>
      <c r="S59" s="2"/>
      <c r="T59" s="34">
        <v>44</v>
      </c>
      <c r="U59" s="43" t="s">
        <v>125</v>
      </c>
      <c r="V59" s="43">
        <v>0.40597086290000001</v>
      </c>
      <c r="W59" s="43">
        <v>0.40521939210000002</v>
      </c>
      <c r="X59" s="44">
        <v>-0.18510461431442499</v>
      </c>
      <c r="Y59" s="34">
        <v>44</v>
      </c>
      <c r="Z59" s="35" t="s">
        <v>50</v>
      </c>
      <c r="AA59" s="36">
        <v>559436.68999999994</v>
      </c>
      <c r="AB59" s="38">
        <v>578611.13</v>
      </c>
      <c r="AC59" s="40">
        <v>3.4274548564199399</v>
      </c>
      <c r="AD59" s="34">
        <v>44</v>
      </c>
      <c r="AE59" s="35" t="s">
        <v>126</v>
      </c>
      <c r="AF59" s="38">
        <v>10254136</v>
      </c>
      <c r="AG59" s="38">
        <v>10987899</v>
      </c>
      <c r="AH59" s="40">
        <v>7.1557759717639797</v>
      </c>
    </row>
    <row r="60" spans="1:34" x14ac:dyDescent="0.2">
      <c r="A60" s="34">
        <v>45</v>
      </c>
      <c r="B60" s="35" t="s">
        <v>127</v>
      </c>
      <c r="C60" s="36">
        <v>243</v>
      </c>
      <c r="D60" s="37">
        <f t="shared" si="12"/>
        <v>135.5967078189</v>
      </c>
      <c r="E60" s="38">
        <v>32950</v>
      </c>
      <c r="F60" s="39">
        <f t="shared" si="13"/>
        <v>0.71873068890000003</v>
      </c>
      <c r="G60" s="38">
        <v>5466416.0599999996</v>
      </c>
      <c r="H60" s="38">
        <v>20148764</v>
      </c>
      <c r="I60" s="40">
        <v>35</v>
      </c>
      <c r="J60" s="34">
        <v>45</v>
      </c>
      <c r="K60" s="35" t="s">
        <v>127</v>
      </c>
      <c r="L60" s="41">
        <f t="shared" si="14"/>
        <v>0.41471823053554968</v>
      </c>
      <c r="M60" s="41">
        <f t="shared" si="15"/>
        <v>1.1521443777</v>
      </c>
      <c r="N60" s="41">
        <f t="shared" si="16"/>
        <v>0.99173256245574282</v>
      </c>
      <c r="O60" s="41">
        <f t="shared" si="17"/>
        <v>18.166379413614912</v>
      </c>
      <c r="P60" s="41">
        <f t="shared" si="18"/>
        <v>0.37127400021215656</v>
      </c>
      <c r="Q60" s="41">
        <f t="shared" si="19"/>
        <v>21.09624858451836</v>
      </c>
      <c r="R60" s="42">
        <f t="shared" si="20"/>
        <v>0.72745684769999996</v>
      </c>
      <c r="S60" s="2"/>
      <c r="T60" s="34">
        <v>45</v>
      </c>
      <c r="U60" s="43" t="s">
        <v>126</v>
      </c>
      <c r="V60" s="43">
        <v>0.39620482569999999</v>
      </c>
      <c r="W60" s="43">
        <v>0.39547560599999998</v>
      </c>
      <c r="X60" s="44">
        <v>-0.18405119087372199</v>
      </c>
      <c r="Y60" s="34">
        <v>45</v>
      </c>
      <c r="Z60" s="35" t="s">
        <v>128</v>
      </c>
      <c r="AA60" s="36">
        <v>2131956.4</v>
      </c>
      <c r="AB60" s="38">
        <v>2207064.69</v>
      </c>
      <c r="AC60" s="40">
        <v>3.5229749538967901</v>
      </c>
      <c r="AD60" s="34">
        <v>45</v>
      </c>
      <c r="AE60" s="35" t="s">
        <v>125</v>
      </c>
      <c r="AF60" s="38">
        <v>10505844</v>
      </c>
      <c r="AG60" s="38">
        <v>11258616</v>
      </c>
      <c r="AH60" s="40">
        <v>7.1652691587653496</v>
      </c>
    </row>
    <row r="61" spans="1:34" x14ac:dyDescent="0.2">
      <c r="A61" s="34">
        <v>46</v>
      </c>
      <c r="B61" s="35" t="s">
        <v>119</v>
      </c>
      <c r="C61" s="36">
        <v>141</v>
      </c>
      <c r="D61" s="37">
        <f t="shared" si="12"/>
        <v>102.0354609929</v>
      </c>
      <c r="E61" s="38">
        <v>14387</v>
      </c>
      <c r="F61" s="39">
        <f t="shared" si="13"/>
        <v>0.3138202859</v>
      </c>
      <c r="G61" s="38">
        <v>1427997.82</v>
      </c>
      <c r="H61" s="38">
        <v>11609444</v>
      </c>
      <c r="I61" s="40">
        <v>46</v>
      </c>
      <c r="J61" s="34">
        <v>46</v>
      </c>
      <c r="K61" s="35" t="s">
        <v>119</v>
      </c>
      <c r="L61" s="41">
        <f t="shared" si="14"/>
        <v>0.240638973273714</v>
      </c>
      <c r="M61" s="41">
        <f t="shared" si="15"/>
        <v>0.86697962370000003</v>
      </c>
      <c r="N61" s="41">
        <f t="shared" si="16"/>
        <v>0.25907137723611451</v>
      </c>
      <c r="O61" s="41">
        <f t="shared" si="17"/>
        <v>10.467220941449073</v>
      </c>
      <c r="P61" s="41">
        <f t="shared" si="18"/>
        <v>0.48796011456454863</v>
      </c>
      <c r="Q61" s="41">
        <f t="shared" si="19"/>
        <v>12.32187103022345</v>
      </c>
      <c r="R61" s="42">
        <f t="shared" si="20"/>
        <v>0.42489210449999998</v>
      </c>
      <c r="S61" s="2"/>
      <c r="T61" s="34">
        <v>46</v>
      </c>
      <c r="U61" s="43" t="s">
        <v>75</v>
      </c>
      <c r="V61" s="43">
        <v>0.57529863309999996</v>
      </c>
      <c r="W61" s="43">
        <v>0.57435144010000005</v>
      </c>
      <c r="X61" s="44">
        <v>-0.16464370772027501</v>
      </c>
      <c r="Y61" s="34">
        <v>46</v>
      </c>
      <c r="Z61" s="35" t="s">
        <v>98</v>
      </c>
      <c r="AA61" s="36">
        <v>1531009.44</v>
      </c>
      <c r="AB61" s="38">
        <v>1587654.59</v>
      </c>
      <c r="AC61" s="40">
        <v>3.6998563509837101</v>
      </c>
      <c r="AD61" s="34">
        <v>46</v>
      </c>
      <c r="AE61" s="35" t="s">
        <v>129</v>
      </c>
      <c r="AF61" s="38">
        <v>10188079</v>
      </c>
      <c r="AG61" s="38">
        <v>10920086</v>
      </c>
      <c r="AH61" s="40">
        <v>7.1849364340421804</v>
      </c>
    </row>
    <row r="62" spans="1:34" x14ac:dyDescent="0.2">
      <c r="A62" s="34">
        <v>47</v>
      </c>
      <c r="B62" s="35" t="s">
        <v>121</v>
      </c>
      <c r="C62" s="36">
        <v>265</v>
      </c>
      <c r="D62" s="37">
        <f t="shared" si="12"/>
        <v>81.313207547199994</v>
      </c>
      <c r="E62" s="38">
        <v>21548</v>
      </c>
      <c r="F62" s="39">
        <f t="shared" si="13"/>
        <v>0.47002151390000002</v>
      </c>
      <c r="G62" s="38">
        <v>1652704.72</v>
      </c>
      <c r="H62" s="38">
        <v>15612020</v>
      </c>
      <c r="I62" s="40">
        <v>73</v>
      </c>
      <c r="J62" s="34">
        <v>47</v>
      </c>
      <c r="K62" s="35" t="s">
        <v>121</v>
      </c>
      <c r="L62" s="41">
        <f t="shared" si="14"/>
        <v>0.45226473700378872</v>
      </c>
      <c r="M62" s="41">
        <f t="shared" si="15"/>
        <v>0.69090582229999997</v>
      </c>
      <c r="N62" s="41">
        <f t="shared" si="16"/>
        <v>0.29983833446960512</v>
      </c>
      <c r="O62" s="41">
        <f t="shared" si="17"/>
        <v>14.075993878976611</v>
      </c>
      <c r="P62" s="41">
        <f t="shared" si="18"/>
        <v>0.77437148615678375</v>
      </c>
      <c r="Q62" s="41">
        <f t="shared" si="19"/>
        <v>16.293374258906788</v>
      </c>
      <c r="R62" s="42">
        <f t="shared" si="20"/>
        <v>0.56184049170000006</v>
      </c>
      <c r="S62" s="2"/>
      <c r="T62" s="34">
        <v>47</v>
      </c>
      <c r="U62" s="43" t="s">
        <v>96</v>
      </c>
      <c r="V62" s="43">
        <v>0.45644497499999998</v>
      </c>
      <c r="W62" s="43">
        <v>0.45570526049999999</v>
      </c>
      <c r="X62" s="44">
        <v>-0.16205995038065399</v>
      </c>
      <c r="Y62" s="34">
        <v>47</v>
      </c>
      <c r="Z62" s="35" t="s">
        <v>114</v>
      </c>
      <c r="AA62" s="36">
        <v>1427532.9</v>
      </c>
      <c r="AB62" s="38">
        <v>1481278.61</v>
      </c>
      <c r="AC62" s="40">
        <v>3.7649366960299102</v>
      </c>
      <c r="AD62" s="34">
        <v>47</v>
      </c>
      <c r="AE62" s="35" t="s">
        <v>96</v>
      </c>
      <c r="AF62" s="38">
        <v>11800148</v>
      </c>
      <c r="AG62" s="38">
        <v>12657460</v>
      </c>
      <c r="AH62" s="40">
        <v>7.2652648085430798</v>
      </c>
    </row>
    <row r="63" spans="1:34" x14ac:dyDescent="0.2">
      <c r="A63" s="34">
        <v>48</v>
      </c>
      <c r="B63" s="35" t="s">
        <v>47</v>
      </c>
      <c r="C63" s="36">
        <v>73</v>
      </c>
      <c r="D63" s="37">
        <f t="shared" si="12"/>
        <v>76.315068493200002</v>
      </c>
      <c r="E63" s="38">
        <v>5571</v>
      </c>
      <c r="F63" s="39">
        <f t="shared" si="13"/>
        <v>0.1215189277</v>
      </c>
      <c r="G63" s="38">
        <v>729065.47</v>
      </c>
      <c r="H63" s="38">
        <v>10696399</v>
      </c>
      <c r="I63" s="40">
        <v>9</v>
      </c>
      <c r="J63" s="34">
        <v>48</v>
      </c>
      <c r="K63" s="35" t="s">
        <v>47</v>
      </c>
      <c r="L63" s="41">
        <f t="shared" si="14"/>
        <v>0.12458613509915691</v>
      </c>
      <c r="M63" s="41">
        <f t="shared" si="15"/>
        <v>0.64843740319999998</v>
      </c>
      <c r="N63" s="41">
        <f t="shared" si="16"/>
        <v>0.1322691062709011</v>
      </c>
      <c r="O63" s="41">
        <f t="shared" si="17"/>
        <v>9.6440080688528163</v>
      </c>
      <c r="P63" s="41">
        <f t="shared" si="18"/>
        <v>9.5470457197411693E-2</v>
      </c>
      <c r="Q63" s="41">
        <f t="shared" si="19"/>
        <v>10.644771170620285</v>
      </c>
      <c r="R63" s="42">
        <f t="shared" si="20"/>
        <v>0.3670610748</v>
      </c>
      <c r="S63" s="2"/>
      <c r="T63" s="34">
        <v>48</v>
      </c>
      <c r="U63" s="43" t="s">
        <v>129</v>
      </c>
      <c r="V63" s="43">
        <v>0.39376842369999998</v>
      </c>
      <c r="W63" s="43">
        <v>0.39326311429999999</v>
      </c>
      <c r="X63" s="44">
        <v>-0.12832654158804899</v>
      </c>
      <c r="Y63" s="34">
        <v>48</v>
      </c>
      <c r="Z63" s="35" t="s">
        <v>118</v>
      </c>
      <c r="AA63" s="36">
        <v>9488541.7200000007</v>
      </c>
      <c r="AB63" s="38">
        <v>9845849.6600000001</v>
      </c>
      <c r="AC63" s="40">
        <v>3.7656781257215299</v>
      </c>
      <c r="AD63" s="34">
        <v>48</v>
      </c>
      <c r="AE63" s="35" t="s">
        <v>130</v>
      </c>
      <c r="AF63" s="38">
        <v>42039690</v>
      </c>
      <c r="AG63" s="38">
        <v>45110355</v>
      </c>
      <c r="AH63" s="40">
        <v>7.3042046694445197</v>
      </c>
    </row>
    <row r="64" spans="1:34" x14ac:dyDescent="0.2">
      <c r="A64" s="34">
        <v>49</v>
      </c>
      <c r="B64" s="35" t="s">
        <v>115</v>
      </c>
      <c r="C64" s="36">
        <v>1020</v>
      </c>
      <c r="D64" s="37">
        <f t="shared" si="12"/>
        <v>17.676470588200001</v>
      </c>
      <c r="E64" s="38">
        <v>18030</v>
      </c>
      <c r="F64" s="39">
        <f t="shared" si="13"/>
        <v>0.39328419790000002</v>
      </c>
      <c r="G64" s="38">
        <v>1439547.05</v>
      </c>
      <c r="H64" s="38">
        <v>35787290</v>
      </c>
      <c r="I64" s="40">
        <v>297</v>
      </c>
      <c r="J64" s="34">
        <v>49</v>
      </c>
      <c r="K64" s="35" t="s">
        <v>115</v>
      </c>
      <c r="L64" s="41">
        <f t="shared" si="14"/>
        <v>1.7407925726183566</v>
      </c>
      <c r="M64" s="41">
        <f t="shared" si="15"/>
        <v>0.15019425280000001</v>
      </c>
      <c r="N64" s="41">
        <f t="shared" si="16"/>
        <v>0.26116667099651858</v>
      </c>
      <c r="O64" s="41">
        <f t="shared" si="17"/>
        <v>32.266271436057657</v>
      </c>
      <c r="P64" s="41">
        <f t="shared" si="18"/>
        <v>3.1505250875145858</v>
      </c>
      <c r="Q64" s="41">
        <f t="shared" si="19"/>
        <v>37.56895001998712</v>
      </c>
      <c r="R64" s="42">
        <f t="shared" si="20"/>
        <v>1.2954810351999999</v>
      </c>
      <c r="S64" s="2"/>
      <c r="T64" s="34">
        <v>49</v>
      </c>
      <c r="U64" s="43" t="s">
        <v>106</v>
      </c>
      <c r="V64" s="43">
        <v>1.0605482921</v>
      </c>
      <c r="W64" s="43">
        <v>1.0595299594000001</v>
      </c>
      <c r="X64" s="44">
        <v>-9.6019455934773998E-2</v>
      </c>
      <c r="Y64" s="34">
        <v>49</v>
      </c>
      <c r="Z64" s="35" t="s">
        <v>131</v>
      </c>
      <c r="AA64" s="36">
        <v>6893419.3300000001</v>
      </c>
      <c r="AB64" s="38">
        <v>7163304.3399999999</v>
      </c>
      <c r="AC64" s="40">
        <v>3.9151108772023702</v>
      </c>
      <c r="AD64" s="34">
        <v>49</v>
      </c>
      <c r="AE64" s="35" t="s">
        <v>132</v>
      </c>
      <c r="AF64" s="38">
        <v>9747721</v>
      </c>
      <c r="AG64" s="38">
        <v>10462384</v>
      </c>
      <c r="AH64" s="40">
        <v>7.3315906353905698</v>
      </c>
    </row>
    <row r="65" spans="1:34" x14ac:dyDescent="0.2">
      <c r="A65" s="34">
        <v>50</v>
      </c>
      <c r="B65" s="35" t="s">
        <v>69</v>
      </c>
      <c r="C65" s="36">
        <v>698</v>
      </c>
      <c r="D65" s="37">
        <f t="shared" si="12"/>
        <v>126.84097421200001</v>
      </c>
      <c r="E65" s="38">
        <v>88535</v>
      </c>
      <c r="F65" s="39">
        <f t="shared" si="13"/>
        <v>1.9311933699999999</v>
      </c>
      <c r="G65" s="38">
        <v>5440445.8899999997</v>
      </c>
      <c r="H65" s="38">
        <v>31086908</v>
      </c>
      <c r="I65" s="40">
        <v>141</v>
      </c>
      <c r="J65" s="34">
        <v>50</v>
      </c>
      <c r="K65" s="35" t="s">
        <v>69</v>
      </c>
      <c r="L65" s="41">
        <f t="shared" si="14"/>
        <v>1.1912482506741304</v>
      </c>
      <c r="M65" s="41">
        <f t="shared" si="15"/>
        <v>1.0777482555</v>
      </c>
      <c r="N65" s="41">
        <f t="shared" si="16"/>
        <v>0.98702098123711324</v>
      </c>
      <c r="O65" s="41">
        <f t="shared" si="17"/>
        <v>28.028347819456357</v>
      </c>
      <c r="P65" s="41">
        <f t="shared" si="18"/>
        <v>1.4957038294261165</v>
      </c>
      <c r="Q65" s="41">
        <f t="shared" si="19"/>
        <v>32.780069136293719</v>
      </c>
      <c r="R65" s="42">
        <f t="shared" si="20"/>
        <v>1.1303472116</v>
      </c>
      <c r="S65" s="2"/>
      <c r="T65" s="34">
        <v>50</v>
      </c>
      <c r="U65" s="43" t="s">
        <v>109</v>
      </c>
      <c r="V65" s="43">
        <v>0.45815365870000002</v>
      </c>
      <c r="W65" s="43">
        <v>0.45777207549999999</v>
      </c>
      <c r="X65" s="44">
        <v>-8.3287166380547603E-2</v>
      </c>
      <c r="Y65" s="34">
        <v>50</v>
      </c>
      <c r="Z65" s="35" t="s">
        <v>43</v>
      </c>
      <c r="AA65" s="36">
        <v>1068987.01</v>
      </c>
      <c r="AB65" s="38">
        <v>1111161.94</v>
      </c>
      <c r="AC65" s="40">
        <v>3.9453173523596101</v>
      </c>
      <c r="AD65" s="34">
        <v>50</v>
      </c>
      <c r="AE65" s="35" t="s">
        <v>70</v>
      </c>
      <c r="AF65" s="38">
        <v>26513150</v>
      </c>
      <c r="AG65" s="38">
        <v>28461359</v>
      </c>
      <c r="AH65" s="40">
        <v>7.3480857612166002</v>
      </c>
    </row>
    <row r="66" spans="1:34" x14ac:dyDescent="0.2">
      <c r="A66" s="34">
        <v>51</v>
      </c>
      <c r="B66" s="35" t="s">
        <v>126</v>
      </c>
      <c r="C66" s="36">
        <v>233</v>
      </c>
      <c r="D66" s="37">
        <f t="shared" si="12"/>
        <v>59.012875536499998</v>
      </c>
      <c r="E66" s="38">
        <v>13750</v>
      </c>
      <c r="F66" s="39">
        <f t="shared" si="13"/>
        <v>0.29992555300000001</v>
      </c>
      <c r="G66" s="38">
        <v>1782790.99</v>
      </c>
      <c r="H66" s="38">
        <v>10987899</v>
      </c>
      <c r="I66" s="40">
        <v>32</v>
      </c>
      <c r="J66" s="34">
        <v>51</v>
      </c>
      <c r="K66" s="35" t="s">
        <v>126</v>
      </c>
      <c r="L66" s="41">
        <f t="shared" si="14"/>
        <v>0.39765163668635012</v>
      </c>
      <c r="M66" s="41">
        <f t="shared" si="15"/>
        <v>0.50142332990000005</v>
      </c>
      <c r="N66" s="41">
        <f t="shared" si="16"/>
        <v>0.32343895112069287</v>
      </c>
      <c r="O66" s="41">
        <f t="shared" si="17"/>
        <v>9.9068281405489618</v>
      </c>
      <c r="P66" s="41">
        <f t="shared" si="18"/>
        <v>0.33945051447968605</v>
      </c>
      <c r="Q66" s="41">
        <f t="shared" si="19"/>
        <v>11.468792572735691</v>
      </c>
      <c r="R66" s="42">
        <f t="shared" si="20"/>
        <v>0.39547560599999998</v>
      </c>
      <c r="S66" s="2"/>
      <c r="T66" s="34">
        <v>51</v>
      </c>
      <c r="U66" s="43" t="s">
        <v>130</v>
      </c>
      <c r="V66" s="43">
        <v>1.6267455669999999</v>
      </c>
      <c r="W66" s="43">
        <v>1.6258343095000001</v>
      </c>
      <c r="X66" s="44">
        <v>-5.6017211202879703E-2</v>
      </c>
      <c r="Y66" s="34">
        <v>51</v>
      </c>
      <c r="Z66" s="38" t="s">
        <v>133</v>
      </c>
      <c r="AA66" s="36">
        <v>982033.9</v>
      </c>
      <c r="AB66" s="38">
        <v>1021011.96</v>
      </c>
      <c r="AC66" s="40">
        <v>3.96911552645994</v>
      </c>
      <c r="AD66" s="34">
        <v>51</v>
      </c>
      <c r="AE66" s="35" t="s">
        <v>109</v>
      </c>
      <c r="AF66" s="38">
        <v>11833655</v>
      </c>
      <c r="AG66" s="38">
        <v>12704089</v>
      </c>
      <c r="AH66" s="40">
        <v>7.3555803342247197</v>
      </c>
    </row>
    <row r="67" spans="1:34" x14ac:dyDescent="0.2">
      <c r="A67" s="34">
        <v>52</v>
      </c>
      <c r="B67" s="35" t="s">
        <v>58</v>
      </c>
      <c r="C67" s="36">
        <v>1150</v>
      </c>
      <c r="D67" s="37">
        <f t="shared" si="12"/>
        <v>159.29130434780001</v>
      </c>
      <c r="E67" s="38">
        <v>183185</v>
      </c>
      <c r="F67" s="39">
        <f t="shared" si="13"/>
        <v>3.9957718131000002</v>
      </c>
      <c r="G67" s="38">
        <v>37818901.119999997</v>
      </c>
      <c r="H67" s="38">
        <v>86777092</v>
      </c>
      <c r="I67" s="40">
        <v>165</v>
      </c>
      <c r="J67" s="34">
        <v>52</v>
      </c>
      <c r="K67" s="35" t="s">
        <v>58</v>
      </c>
      <c r="L67" s="41">
        <f t="shared" si="14"/>
        <v>1.9626582926579512</v>
      </c>
      <c r="M67" s="41">
        <f t="shared" si="15"/>
        <v>1.3534737213000001</v>
      </c>
      <c r="N67" s="41">
        <f t="shared" si="16"/>
        <v>6.8612113138343815</v>
      </c>
      <c r="O67" s="41">
        <f t="shared" si="17"/>
        <v>78.239319180182335</v>
      </c>
      <c r="P67" s="41">
        <f t="shared" si="18"/>
        <v>1.750291715285881</v>
      </c>
      <c r="Q67" s="41">
        <f t="shared" si="19"/>
        <v>90.166954223260547</v>
      </c>
      <c r="R67" s="42">
        <f t="shared" si="20"/>
        <v>3.1092053179999999</v>
      </c>
      <c r="S67" s="2"/>
      <c r="T67" s="34">
        <v>52</v>
      </c>
      <c r="U67" s="43" t="s">
        <v>132</v>
      </c>
      <c r="V67" s="43">
        <v>0.37729960969999998</v>
      </c>
      <c r="W67" s="43">
        <v>0.37715560409999999</v>
      </c>
      <c r="X67" s="44">
        <v>-3.81674394295025E-2</v>
      </c>
      <c r="Y67" s="34">
        <v>52</v>
      </c>
      <c r="Z67" s="35" t="s">
        <v>76</v>
      </c>
      <c r="AA67" s="36">
        <v>995526.42</v>
      </c>
      <c r="AB67" s="38">
        <v>1035275.35</v>
      </c>
      <c r="AC67" s="40">
        <v>3.9927549085035898</v>
      </c>
      <c r="AD67" s="34">
        <v>52</v>
      </c>
      <c r="AE67" s="35" t="s">
        <v>106</v>
      </c>
      <c r="AF67" s="38">
        <v>27386548</v>
      </c>
      <c r="AG67" s="38">
        <v>29406894</v>
      </c>
      <c r="AH67" s="40">
        <v>7.3771473498595004</v>
      </c>
    </row>
    <row r="68" spans="1:34" x14ac:dyDescent="0.2">
      <c r="A68" s="34">
        <v>53</v>
      </c>
      <c r="B68" s="35" t="s">
        <v>103</v>
      </c>
      <c r="C68" s="36">
        <v>1192</v>
      </c>
      <c r="D68" s="37">
        <f t="shared" si="12"/>
        <v>658.36912751679995</v>
      </c>
      <c r="E68" s="38">
        <v>784776</v>
      </c>
      <c r="F68" s="39">
        <f t="shared" si="13"/>
        <v>17.118136421799999</v>
      </c>
      <c r="G68" s="38">
        <v>111087015.72</v>
      </c>
      <c r="H68" s="38">
        <v>208527269</v>
      </c>
      <c r="I68" s="40">
        <v>290</v>
      </c>
      <c r="J68" s="34">
        <v>53</v>
      </c>
      <c r="K68" s="35" t="s">
        <v>103</v>
      </c>
      <c r="L68" s="41">
        <f t="shared" si="14"/>
        <v>2.0343379868245894</v>
      </c>
      <c r="M68" s="41">
        <f t="shared" si="15"/>
        <v>5.5940612493000001</v>
      </c>
      <c r="N68" s="41">
        <f t="shared" si="16"/>
        <v>20.153718550936095</v>
      </c>
      <c r="O68" s="41">
        <f t="shared" si="17"/>
        <v>188.01081231280187</v>
      </c>
      <c r="P68" s="41">
        <f t="shared" si="18"/>
        <v>3.0762702874721546</v>
      </c>
      <c r="Q68" s="41">
        <f t="shared" si="19"/>
        <v>218.8692003873347</v>
      </c>
      <c r="R68" s="42">
        <f t="shared" si="20"/>
        <v>7.5472138065000003</v>
      </c>
      <c r="S68" s="2"/>
      <c r="T68" s="34">
        <v>53</v>
      </c>
      <c r="U68" s="43" t="s">
        <v>124</v>
      </c>
      <c r="V68" s="43">
        <v>0.65233885160000005</v>
      </c>
      <c r="W68" s="43">
        <v>0.65223962319999995</v>
      </c>
      <c r="X68" s="44">
        <v>-1.52111743393355E-2</v>
      </c>
      <c r="Y68" s="34">
        <v>53</v>
      </c>
      <c r="Z68" s="35" t="s">
        <v>64</v>
      </c>
      <c r="AA68" s="36">
        <v>2244630.9500000002</v>
      </c>
      <c r="AB68" s="38">
        <v>2336696.65</v>
      </c>
      <c r="AC68" s="40">
        <v>4.1015963002738003</v>
      </c>
      <c r="AD68" s="34">
        <v>53</v>
      </c>
      <c r="AE68" s="35" t="s">
        <v>124</v>
      </c>
      <c r="AF68" s="38">
        <v>16839033</v>
      </c>
      <c r="AG68" s="38">
        <v>18087764</v>
      </c>
      <c r="AH68" s="40">
        <v>7.4156930507826697</v>
      </c>
    </row>
    <row r="69" spans="1:34" x14ac:dyDescent="0.2">
      <c r="A69" s="34">
        <v>54</v>
      </c>
      <c r="B69" s="35" t="s">
        <v>94</v>
      </c>
      <c r="C69" s="36">
        <v>183</v>
      </c>
      <c r="D69" s="37">
        <f t="shared" si="12"/>
        <v>42.655737704899998</v>
      </c>
      <c r="E69" s="38">
        <v>7806</v>
      </c>
      <c r="F69" s="39">
        <f t="shared" si="13"/>
        <v>0.17027046300000001</v>
      </c>
      <c r="G69" s="38">
        <v>932360.62</v>
      </c>
      <c r="H69" s="38">
        <v>8583636</v>
      </c>
      <c r="I69" s="40">
        <v>31</v>
      </c>
      <c r="J69" s="34">
        <v>54</v>
      </c>
      <c r="K69" s="35" t="s">
        <v>94</v>
      </c>
      <c r="L69" s="41">
        <f t="shared" si="14"/>
        <v>0.31231866744035225</v>
      </c>
      <c r="M69" s="41">
        <f t="shared" si="15"/>
        <v>0.3624392448</v>
      </c>
      <c r="N69" s="41">
        <f t="shared" si="16"/>
        <v>0.16915148365150698</v>
      </c>
      <c r="O69" s="41">
        <f t="shared" si="17"/>
        <v>7.7391143359644223</v>
      </c>
      <c r="P69" s="41">
        <f t="shared" si="18"/>
        <v>0.32884268590219584</v>
      </c>
      <c r="Q69" s="41">
        <f t="shared" si="19"/>
        <v>8.9118664177584765</v>
      </c>
      <c r="R69" s="42">
        <f t="shared" si="20"/>
        <v>0.30730573849999998</v>
      </c>
      <c r="S69" s="2"/>
      <c r="T69" s="34">
        <v>54</v>
      </c>
      <c r="U69" s="35" t="s">
        <v>107</v>
      </c>
      <c r="V69" s="35">
        <v>0.48329328379999997</v>
      </c>
      <c r="W69" s="35">
        <v>0.48372521270000002</v>
      </c>
      <c r="X69" s="48">
        <v>8.9372005462999296E-2</v>
      </c>
      <c r="Y69" s="34">
        <v>54</v>
      </c>
      <c r="Z69" s="35" t="s">
        <v>88</v>
      </c>
      <c r="AA69" s="36">
        <v>932324.91</v>
      </c>
      <c r="AB69" s="38">
        <v>970608.53</v>
      </c>
      <c r="AC69" s="40">
        <v>4.10625304433837</v>
      </c>
      <c r="AD69" s="34">
        <v>54</v>
      </c>
      <c r="AE69" s="35" t="s">
        <v>79</v>
      </c>
      <c r="AF69" s="38">
        <v>12789301</v>
      </c>
      <c r="AG69" s="38">
        <v>13748923</v>
      </c>
      <c r="AH69" s="40">
        <v>7.5033185941905698</v>
      </c>
    </row>
    <row r="70" spans="1:34" s="5" customFormat="1" ht="9" x14ac:dyDescent="0.15">
      <c r="A70" s="34">
        <v>55</v>
      </c>
      <c r="B70" s="35" t="s">
        <v>131</v>
      </c>
      <c r="C70" s="36">
        <v>378</v>
      </c>
      <c r="D70" s="37">
        <f t="shared" si="12"/>
        <v>120.328042328</v>
      </c>
      <c r="E70" s="38">
        <v>45484</v>
      </c>
      <c r="F70" s="39">
        <f t="shared" si="13"/>
        <v>0.9921319166</v>
      </c>
      <c r="G70" s="38">
        <v>7163304.3399999999</v>
      </c>
      <c r="H70" s="38">
        <v>22186311</v>
      </c>
      <c r="I70" s="40">
        <v>52</v>
      </c>
      <c r="J70" s="34">
        <v>55</v>
      </c>
      <c r="K70" s="35" t="s">
        <v>131</v>
      </c>
      <c r="L70" s="41">
        <f t="shared" si="14"/>
        <v>0.64511724749974397</v>
      </c>
      <c r="M70" s="41">
        <f t="shared" si="15"/>
        <v>1.0224088747</v>
      </c>
      <c r="N70" s="41">
        <f t="shared" si="16"/>
        <v>1.2995868025381412</v>
      </c>
      <c r="O70" s="41">
        <f t="shared" si="17"/>
        <v>20.003457453492338</v>
      </c>
      <c r="P70" s="41">
        <f t="shared" si="18"/>
        <v>0.55160708602948982</v>
      </c>
      <c r="Q70" s="41">
        <f t="shared" si="19"/>
        <v>23.522177464259713</v>
      </c>
      <c r="R70" s="42">
        <f t="shared" si="20"/>
        <v>0.81110956769999998</v>
      </c>
      <c r="S70" s="2"/>
      <c r="T70" s="34">
        <v>55</v>
      </c>
      <c r="U70" s="35" t="s">
        <v>127</v>
      </c>
      <c r="V70" s="35">
        <v>0.72671688899999998</v>
      </c>
      <c r="W70" s="35">
        <v>0.72745684769999996</v>
      </c>
      <c r="X70" s="48">
        <v>0.10182214163457901</v>
      </c>
      <c r="Y70" s="34">
        <v>55</v>
      </c>
      <c r="Z70" s="35" t="s">
        <v>71</v>
      </c>
      <c r="AA70" s="36">
        <v>528300.11</v>
      </c>
      <c r="AB70" s="38">
        <v>550212.5</v>
      </c>
      <c r="AC70" s="40">
        <v>4.1477163425159604</v>
      </c>
      <c r="AD70" s="34">
        <v>55</v>
      </c>
      <c r="AE70" s="35" t="s">
        <v>127</v>
      </c>
      <c r="AF70" s="38">
        <v>18742034</v>
      </c>
      <c r="AG70" s="38">
        <v>20148764</v>
      </c>
      <c r="AH70" s="40">
        <v>7.5057488424148602</v>
      </c>
    </row>
    <row r="71" spans="1:34" s="5" customFormat="1" ht="9" x14ac:dyDescent="0.15">
      <c r="A71" s="34">
        <v>56</v>
      </c>
      <c r="B71" s="35" t="s">
        <v>80</v>
      </c>
      <c r="C71" s="36">
        <v>304</v>
      </c>
      <c r="D71" s="37">
        <f t="shared" si="12"/>
        <v>92.348684210499997</v>
      </c>
      <c r="E71" s="38">
        <v>28074</v>
      </c>
      <c r="F71" s="39">
        <f t="shared" si="13"/>
        <v>0.61237163459999999</v>
      </c>
      <c r="G71" s="38">
        <v>2012621.49</v>
      </c>
      <c r="H71" s="38">
        <v>12173802</v>
      </c>
      <c r="I71" s="40">
        <v>10</v>
      </c>
      <c r="J71" s="34">
        <v>56</v>
      </c>
      <c r="K71" s="35" t="s">
        <v>80</v>
      </c>
      <c r="L71" s="41">
        <f t="shared" si="14"/>
        <v>0.51882445301566704</v>
      </c>
      <c r="M71" s="41">
        <f t="shared" si="15"/>
        <v>0.78467257069999996</v>
      </c>
      <c r="N71" s="41">
        <f t="shared" si="16"/>
        <v>0.36513544626370703</v>
      </c>
      <c r="O71" s="41">
        <f t="shared" si="17"/>
        <v>10.976053222829155</v>
      </c>
      <c r="P71" s="41">
        <f t="shared" si="18"/>
        <v>0.10607828577490189</v>
      </c>
      <c r="Q71" s="41">
        <f t="shared" si="19"/>
        <v>12.75076397858343</v>
      </c>
      <c r="R71" s="42">
        <f t="shared" si="20"/>
        <v>0.43968151649999998</v>
      </c>
      <c r="S71" s="2"/>
      <c r="T71" s="34">
        <v>56</v>
      </c>
      <c r="U71" s="35" t="s">
        <v>64</v>
      </c>
      <c r="V71" s="35">
        <v>2.5715150040000001</v>
      </c>
      <c r="W71" s="35">
        <v>2.5742197434</v>
      </c>
      <c r="X71" s="48">
        <v>0.105180774593681</v>
      </c>
      <c r="Y71" s="34">
        <v>56</v>
      </c>
      <c r="Z71" s="35" t="s">
        <v>91</v>
      </c>
      <c r="AA71" s="36">
        <v>2062978.74</v>
      </c>
      <c r="AB71" s="38">
        <v>2149948.0499999998</v>
      </c>
      <c r="AC71" s="40">
        <v>4.2157152816804899</v>
      </c>
      <c r="AD71" s="34">
        <v>56</v>
      </c>
      <c r="AE71" s="35" t="s">
        <v>86</v>
      </c>
      <c r="AF71" s="38">
        <v>15999724</v>
      </c>
      <c r="AG71" s="38">
        <v>17207584</v>
      </c>
      <c r="AH71" s="40">
        <v>7.5492552246526303</v>
      </c>
    </row>
    <row r="72" spans="1:34" x14ac:dyDescent="0.2">
      <c r="A72" s="34">
        <v>57</v>
      </c>
      <c r="B72" s="35" t="s">
        <v>65</v>
      </c>
      <c r="C72" s="36">
        <v>546</v>
      </c>
      <c r="D72" s="37">
        <f t="shared" si="12"/>
        <v>15.0091575092</v>
      </c>
      <c r="E72" s="38">
        <v>8195</v>
      </c>
      <c r="F72" s="39">
        <f t="shared" si="13"/>
        <v>0.17875562959999999</v>
      </c>
      <c r="G72" s="38">
        <v>802426.74</v>
      </c>
      <c r="H72" s="38">
        <v>21943879</v>
      </c>
      <c r="I72" s="40">
        <v>142</v>
      </c>
      <c r="J72" s="34">
        <v>57</v>
      </c>
      <c r="K72" s="35" t="s">
        <v>65</v>
      </c>
      <c r="L72" s="41">
        <f t="shared" si="14"/>
        <v>0.93183602416629685</v>
      </c>
      <c r="M72" s="41">
        <f t="shared" si="15"/>
        <v>0.12753050360000001</v>
      </c>
      <c r="N72" s="41">
        <f t="shared" si="16"/>
        <v>0.14557851402244126</v>
      </c>
      <c r="O72" s="41">
        <f t="shared" si="17"/>
        <v>19.784877708650349</v>
      </c>
      <c r="P72" s="41">
        <f t="shared" si="18"/>
        <v>1.5063116580036067</v>
      </c>
      <c r="Q72" s="41">
        <f t="shared" si="19"/>
        <v>22.496134408442696</v>
      </c>
      <c r="R72" s="42">
        <f t="shared" si="20"/>
        <v>0.77572877269999996</v>
      </c>
      <c r="S72" s="2"/>
      <c r="T72" s="34">
        <v>57</v>
      </c>
      <c r="U72" s="35" t="s">
        <v>80</v>
      </c>
      <c r="V72" s="35">
        <v>0.43914914049999998</v>
      </c>
      <c r="W72" s="35">
        <v>0.43968151649999998</v>
      </c>
      <c r="X72" s="48">
        <v>0.121228974601625</v>
      </c>
      <c r="Y72" s="34">
        <v>57</v>
      </c>
      <c r="Z72" s="35" t="s">
        <v>113</v>
      </c>
      <c r="AA72" s="36">
        <v>2176930.0299999998</v>
      </c>
      <c r="AB72" s="38">
        <v>2270370.84</v>
      </c>
      <c r="AC72" s="40">
        <v>4.2923203186278096</v>
      </c>
      <c r="AD72" s="34">
        <v>57</v>
      </c>
      <c r="AE72" s="35" t="s">
        <v>64</v>
      </c>
      <c r="AF72" s="38">
        <v>66286600</v>
      </c>
      <c r="AG72" s="38">
        <v>71296722</v>
      </c>
      <c r="AH72" s="40">
        <v>7.5582727127352998</v>
      </c>
    </row>
    <row r="73" spans="1:34" x14ac:dyDescent="0.2">
      <c r="A73" s="34">
        <v>58</v>
      </c>
      <c r="B73" s="35" t="s">
        <v>134</v>
      </c>
      <c r="C73" s="36">
        <v>235</v>
      </c>
      <c r="D73" s="37">
        <f t="shared" si="12"/>
        <v>83.382978723400001</v>
      </c>
      <c r="E73" s="38">
        <v>19595</v>
      </c>
      <c r="F73" s="39">
        <f t="shared" si="13"/>
        <v>0.42742117899999998</v>
      </c>
      <c r="G73" s="38">
        <v>1838535.5</v>
      </c>
      <c r="H73" s="38">
        <v>13461061</v>
      </c>
      <c r="I73" s="40">
        <v>59</v>
      </c>
      <c r="J73" s="34">
        <v>58</v>
      </c>
      <c r="K73" s="35" t="s">
        <v>134</v>
      </c>
      <c r="L73" s="41">
        <f t="shared" si="14"/>
        <v>0.40106495545619003</v>
      </c>
      <c r="M73" s="41">
        <f t="shared" si="15"/>
        <v>0.70849234969999997</v>
      </c>
      <c r="N73" s="41">
        <f t="shared" si="16"/>
        <v>0.33355227676922389</v>
      </c>
      <c r="O73" s="41">
        <f t="shared" si="17"/>
        <v>12.136662151376362</v>
      </c>
      <c r="P73" s="41">
        <f t="shared" si="18"/>
        <v>0.62586188607192106</v>
      </c>
      <c r="Q73" s="41">
        <f t="shared" si="19"/>
        <v>14.205633619373696</v>
      </c>
      <c r="R73" s="42">
        <f t="shared" si="20"/>
        <v>0.48984943520000002</v>
      </c>
      <c r="S73" s="2"/>
      <c r="T73" s="34">
        <v>58</v>
      </c>
      <c r="U73" s="35" t="s">
        <v>86</v>
      </c>
      <c r="V73" s="35">
        <v>0.62064942040000004</v>
      </c>
      <c r="W73" s="35">
        <v>0.6214689108</v>
      </c>
      <c r="X73" s="48">
        <v>0.13203756791906901</v>
      </c>
      <c r="Y73" s="34">
        <v>58</v>
      </c>
      <c r="Z73" s="35" t="s">
        <v>135</v>
      </c>
      <c r="AA73" s="36">
        <v>1394425.43</v>
      </c>
      <c r="AB73" s="38">
        <v>1455119.15</v>
      </c>
      <c r="AC73" s="40">
        <v>4.3525970406319798</v>
      </c>
      <c r="AD73" s="34">
        <v>58</v>
      </c>
      <c r="AE73" s="35" t="s">
        <v>136</v>
      </c>
      <c r="AF73" s="38">
        <v>8711329</v>
      </c>
      <c r="AG73" s="38">
        <v>9369823</v>
      </c>
      <c r="AH73" s="40">
        <v>7.5590532741904299</v>
      </c>
    </row>
    <row r="74" spans="1:34" x14ac:dyDescent="0.2">
      <c r="A74" s="34">
        <v>59</v>
      </c>
      <c r="B74" s="35" t="s">
        <v>136</v>
      </c>
      <c r="C74" s="36">
        <v>330</v>
      </c>
      <c r="D74" s="37">
        <f t="shared" si="12"/>
        <v>24.206060606099999</v>
      </c>
      <c r="E74" s="38">
        <v>7988</v>
      </c>
      <c r="F74" s="39">
        <f t="shared" si="13"/>
        <v>0.1742403867</v>
      </c>
      <c r="G74" s="38">
        <v>953589.6</v>
      </c>
      <c r="H74" s="38">
        <v>9369823</v>
      </c>
      <c r="I74" s="40">
        <v>40</v>
      </c>
      <c r="J74" s="34">
        <v>59</v>
      </c>
      <c r="K74" s="35" t="s">
        <v>136</v>
      </c>
      <c r="L74" s="41">
        <f t="shared" si="14"/>
        <v>0.56319759702358596</v>
      </c>
      <c r="M74" s="41">
        <f t="shared" si="15"/>
        <v>0.2056751752</v>
      </c>
      <c r="N74" s="41">
        <f t="shared" si="16"/>
        <v>0.17300290485740064</v>
      </c>
      <c r="O74" s="41">
        <f t="shared" si="17"/>
        <v>8.4479504378737822</v>
      </c>
      <c r="P74" s="41">
        <f t="shared" si="18"/>
        <v>0.42431314309960755</v>
      </c>
      <c r="Q74" s="41">
        <f t="shared" si="19"/>
        <v>9.8141392580543769</v>
      </c>
      <c r="R74" s="42">
        <f t="shared" si="20"/>
        <v>0.3384185951</v>
      </c>
      <c r="S74" s="2"/>
      <c r="T74" s="34">
        <v>59</v>
      </c>
      <c r="U74" s="35" t="s">
        <v>79</v>
      </c>
      <c r="V74" s="35">
        <v>0.49589994949999999</v>
      </c>
      <c r="W74" s="35">
        <v>0.49656397070000002</v>
      </c>
      <c r="X74" s="48">
        <v>0.133902251990455</v>
      </c>
      <c r="Y74" s="34">
        <v>59</v>
      </c>
      <c r="Z74" s="35" t="s">
        <v>127</v>
      </c>
      <c r="AA74" s="36">
        <v>5238211.26</v>
      </c>
      <c r="AB74" s="38">
        <v>5466416.0599999996</v>
      </c>
      <c r="AC74" s="40">
        <v>4.3565405951190996</v>
      </c>
      <c r="AD74" s="34">
        <v>59</v>
      </c>
      <c r="AE74" s="35" t="s">
        <v>107</v>
      </c>
      <c r="AF74" s="38">
        <v>12455216</v>
      </c>
      <c r="AG74" s="38">
        <v>13399080</v>
      </c>
      <c r="AH74" s="40">
        <v>7.5780620745557501</v>
      </c>
    </row>
    <row r="75" spans="1:34" x14ac:dyDescent="0.2">
      <c r="A75" s="34">
        <v>60</v>
      </c>
      <c r="B75" s="35" t="s">
        <v>137</v>
      </c>
      <c r="C75" s="36">
        <v>77</v>
      </c>
      <c r="D75" s="37">
        <f t="shared" si="12"/>
        <v>127.1948051948</v>
      </c>
      <c r="E75" s="38">
        <v>9794</v>
      </c>
      <c r="F75" s="39">
        <f t="shared" si="13"/>
        <v>0.21363424480000001</v>
      </c>
      <c r="G75" s="38">
        <v>1596378.47</v>
      </c>
      <c r="H75" s="38">
        <v>11259200</v>
      </c>
      <c r="I75" s="40">
        <v>24</v>
      </c>
      <c r="J75" s="34">
        <v>60</v>
      </c>
      <c r="K75" s="35" t="s">
        <v>137</v>
      </c>
      <c r="L75" s="41">
        <f t="shared" si="14"/>
        <v>0.13141277263883672</v>
      </c>
      <c r="M75" s="41">
        <f t="shared" si="15"/>
        <v>1.080754703</v>
      </c>
      <c r="N75" s="41">
        <f t="shared" si="16"/>
        <v>0.28961946791556115</v>
      </c>
      <c r="O75" s="41">
        <f t="shared" si="17"/>
        <v>10.151436539421129</v>
      </c>
      <c r="P75" s="41">
        <f t="shared" si="18"/>
        <v>0.2545878858597645</v>
      </c>
      <c r="Q75" s="41">
        <f t="shared" si="19"/>
        <v>11.907811368835292</v>
      </c>
      <c r="R75" s="42">
        <f t="shared" si="20"/>
        <v>0.41061418509999997</v>
      </c>
      <c r="S75" s="2"/>
      <c r="T75" s="34">
        <v>60</v>
      </c>
      <c r="U75" s="35" t="s">
        <v>136</v>
      </c>
      <c r="V75" s="35">
        <v>0.33795431910000001</v>
      </c>
      <c r="W75" s="35">
        <v>0.3384185951</v>
      </c>
      <c r="X75" s="48">
        <v>0.13737833007620401</v>
      </c>
      <c r="Y75" s="34">
        <v>60</v>
      </c>
      <c r="Z75" s="35" t="s">
        <v>138</v>
      </c>
      <c r="AA75" s="36">
        <v>4111323.65</v>
      </c>
      <c r="AB75" s="38">
        <v>4291252.04</v>
      </c>
      <c r="AC75" s="40">
        <v>4.3764102590172396</v>
      </c>
      <c r="AD75" s="34">
        <v>60</v>
      </c>
      <c r="AE75" s="35" t="s">
        <v>139</v>
      </c>
      <c r="AF75" s="38">
        <v>25886448</v>
      </c>
      <c r="AG75" s="38">
        <v>27849516</v>
      </c>
      <c r="AH75" s="40">
        <v>7.58338108032435</v>
      </c>
    </row>
    <row r="76" spans="1:34" x14ac:dyDescent="0.2">
      <c r="A76" s="34">
        <v>61</v>
      </c>
      <c r="B76" s="35" t="s">
        <v>135</v>
      </c>
      <c r="C76" s="36">
        <v>142</v>
      </c>
      <c r="D76" s="37">
        <f t="shared" si="12"/>
        <v>172</v>
      </c>
      <c r="E76" s="38">
        <v>24424</v>
      </c>
      <c r="F76" s="39">
        <f t="shared" si="13"/>
        <v>0.53275503319999995</v>
      </c>
      <c r="G76" s="38">
        <v>1455119.15</v>
      </c>
      <c r="H76" s="38">
        <v>16323445</v>
      </c>
      <c r="I76" s="40">
        <v>40</v>
      </c>
      <c r="J76" s="34">
        <v>61</v>
      </c>
      <c r="K76" s="35" t="s">
        <v>135</v>
      </c>
      <c r="L76" s="41">
        <f t="shared" si="14"/>
        <v>0.24234563265863396</v>
      </c>
      <c r="M76" s="41">
        <f t="shared" si="15"/>
        <v>1.4614575541999999</v>
      </c>
      <c r="N76" s="41">
        <f t="shared" si="16"/>
        <v>0.2639918051367503</v>
      </c>
      <c r="O76" s="41">
        <f t="shared" si="17"/>
        <v>14.717423619993527</v>
      </c>
      <c r="P76" s="41">
        <f t="shared" si="18"/>
        <v>0.42431314309960755</v>
      </c>
      <c r="Q76" s="41">
        <f t="shared" si="19"/>
        <v>17.109531755088518</v>
      </c>
      <c r="R76" s="42">
        <f t="shared" si="20"/>
        <v>0.58998385360000005</v>
      </c>
      <c r="S76" s="2"/>
      <c r="T76" s="34">
        <v>61</v>
      </c>
      <c r="U76" s="35" t="s">
        <v>139</v>
      </c>
      <c r="V76" s="35">
        <v>1.0044794963000001</v>
      </c>
      <c r="W76" s="35">
        <v>1.0061416170999999</v>
      </c>
      <c r="X76" s="48">
        <v>0.165470853922082</v>
      </c>
      <c r="Y76" s="34">
        <v>61</v>
      </c>
      <c r="Z76" s="35" t="s">
        <v>140</v>
      </c>
      <c r="AA76" s="36">
        <v>2066348.66</v>
      </c>
      <c r="AB76" s="38">
        <v>2157066.85</v>
      </c>
      <c r="AC76" s="40">
        <v>4.3902653872556003</v>
      </c>
      <c r="AD76" s="34">
        <v>61</v>
      </c>
      <c r="AE76" s="35" t="s">
        <v>141</v>
      </c>
      <c r="AF76" s="38">
        <v>10261307</v>
      </c>
      <c r="AG76" s="38">
        <v>11044230</v>
      </c>
      <c r="AH76" s="40">
        <v>7.6298565085324901</v>
      </c>
    </row>
    <row r="77" spans="1:34" x14ac:dyDescent="0.2">
      <c r="A77" s="34">
        <v>62</v>
      </c>
      <c r="B77" s="35" t="s">
        <v>113</v>
      </c>
      <c r="C77" s="36">
        <v>170</v>
      </c>
      <c r="D77" s="37">
        <f t="shared" si="12"/>
        <v>114.3529411765</v>
      </c>
      <c r="E77" s="38">
        <v>19440</v>
      </c>
      <c r="F77" s="39">
        <f t="shared" si="13"/>
        <v>0.42404020009999999</v>
      </c>
      <c r="G77" s="38">
        <v>2270370.84</v>
      </c>
      <c r="H77" s="38">
        <v>13272405</v>
      </c>
      <c r="I77" s="40">
        <v>17</v>
      </c>
      <c r="J77" s="34">
        <v>62</v>
      </c>
      <c r="K77" s="35" t="s">
        <v>113</v>
      </c>
      <c r="L77" s="41">
        <f t="shared" si="14"/>
        <v>0.29013209543639279</v>
      </c>
      <c r="M77" s="41">
        <f t="shared" si="15"/>
        <v>0.97163935889999997</v>
      </c>
      <c r="N77" s="41">
        <f t="shared" si="16"/>
        <v>0.41189705762682055</v>
      </c>
      <c r="O77" s="41">
        <f t="shared" si="17"/>
        <v>11.966567525489882</v>
      </c>
      <c r="P77" s="41">
        <f t="shared" si="18"/>
        <v>0.18033308581733321</v>
      </c>
      <c r="Q77" s="41">
        <f t="shared" si="19"/>
        <v>13.820569123270429</v>
      </c>
      <c r="R77" s="42">
        <f t="shared" si="20"/>
        <v>0.47657134909999999</v>
      </c>
      <c r="S77" s="2"/>
      <c r="T77" s="34">
        <v>62</v>
      </c>
      <c r="U77" s="35" t="s">
        <v>120</v>
      </c>
      <c r="V77" s="35">
        <v>0.48689410509999997</v>
      </c>
      <c r="W77" s="35">
        <v>0.4877636441</v>
      </c>
      <c r="X77" s="48">
        <v>0.17858893564165099</v>
      </c>
      <c r="Y77" s="34">
        <v>62</v>
      </c>
      <c r="Z77" s="35" t="s">
        <v>87</v>
      </c>
      <c r="AA77" s="36">
        <v>2711821.78</v>
      </c>
      <c r="AB77" s="38">
        <v>2833371.24</v>
      </c>
      <c r="AC77" s="40">
        <v>4.4822067916277497</v>
      </c>
      <c r="AD77" s="34">
        <v>62</v>
      </c>
      <c r="AE77" s="35" t="s">
        <v>120</v>
      </c>
      <c r="AF77" s="38">
        <v>12537055</v>
      </c>
      <c r="AG77" s="38">
        <v>13497882</v>
      </c>
      <c r="AH77" s="40">
        <v>7.6638971433083798</v>
      </c>
    </row>
    <row r="78" spans="1:34" x14ac:dyDescent="0.2">
      <c r="A78" s="34">
        <v>63</v>
      </c>
      <c r="B78" s="35" t="s">
        <v>123</v>
      </c>
      <c r="C78" s="36">
        <v>289</v>
      </c>
      <c r="D78" s="37">
        <f t="shared" si="12"/>
        <v>54.342560553600002</v>
      </c>
      <c r="E78" s="38">
        <v>15705</v>
      </c>
      <c r="F78" s="39">
        <f t="shared" si="13"/>
        <v>0.34256951349999998</v>
      </c>
      <c r="G78" s="38">
        <v>1724180.31</v>
      </c>
      <c r="H78" s="38">
        <v>11313386</v>
      </c>
      <c r="I78" s="40">
        <v>32</v>
      </c>
      <c r="J78" s="34">
        <v>63</v>
      </c>
      <c r="K78" s="35" t="s">
        <v>123</v>
      </c>
      <c r="L78" s="41">
        <f t="shared" si="14"/>
        <v>0.49322456224186773</v>
      </c>
      <c r="M78" s="41">
        <f t="shared" si="15"/>
        <v>0.46174038160000003</v>
      </c>
      <c r="N78" s="41">
        <f t="shared" si="16"/>
        <v>0.31280563685670809</v>
      </c>
      <c r="O78" s="41">
        <f t="shared" si="17"/>
        <v>10.200291319540948</v>
      </c>
      <c r="P78" s="41">
        <f t="shared" si="18"/>
        <v>0.33945051447968605</v>
      </c>
      <c r="Q78" s="41">
        <f t="shared" si="19"/>
        <v>11.807512414719211</v>
      </c>
      <c r="R78" s="42">
        <f t="shared" si="20"/>
        <v>0.40715560049999999</v>
      </c>
      <c r="S78" s="2"/>
      <c r="T78" s="34">
        <v>63</v>
      </c>
      <c r="U78" s="35" t="s">
        <v>135</v>
      </c>
      <c r="V78" s="35">
        <v>0.58880720779999995</v>
      </c>
      <c r="W78" s="35">
        <v>0.58998385360000005</v>
      </c>
      <c r="X78" s="48">
        <v>0.199835495288259</v>
      </c>
      <c r="Y78" s="34">
        <v>63</v>
      </c>
      <c r="Z78" s="35" t="s">
        <v>142</v>
      </c>
      <c r="AA78" s="36">
        <v>12510558.9</v>
      </c>
      <c r="AB78" s="38">
        <v>13071920.359999999</v>
      </c>
      <c r="AC78" s="40">
        <v>4.4871013716261503</v>
      </c>
      <c r="AD78" s="34">
        <v>63</v>
      </c>
      <c r="AE78" s="35" t="s">
        <v>135</v>
      </c>
      <c r="AF78" s="38">
        <v>15161473</v>
      </c>
      <c r="AG78" s="38">
        <v>16323445</v>
      </c>
      <c r="AH78" s="40">
        <v>7.6639782955125799</v>
      </c>
    </row>
    <row r="79" spans="1:34" x14ac:dyDescent="0.2">
      <c r="A79" s="34">
        <v>64</v>
      </c>
      <c r="B79" s="35" t="s">
        <v>74</v>
      </c>
      <c r="C79" s="36">
        <v>503</v>
      </c>
      <c r="D79" s="37">
        <f t="shared" si="12"/>
        <v>53.258449304199999</v>
      </c>
      <c r="E79" s="38">
        <v>26789</v>
      </c>
      <c r="F79" s="39">
        <f t="shared" si="13"/>
        <v>0.58434222840000005</v>
      </c>
      <c r="G79" s="38">
        <v>3425627.82</v>
      </c>
      <c r="H79" s="38">
        <v>18040864</v>
      </c>
      <c r="I79" s="40">
        <v>80</v>
      </c>
      <c r="J79" s="34">
        <v>64</v>
      </c>
      <c r="K79" s="35" t="s">
        <v>74</v>
      </c>
      <c r="L79" s="41">
        <f t="shared" si="14"/>
        <v>0.85844967061473865</v>
      </c>
      <c r="M79" s="41">
        <f t="shared" si="15"/>
        <v>0.45252885500000001</v>
      </c>
      <c r="N79" s="41">
        <f t="shared" si="16"/>
        <v>0.62148702525732735</v>
      </c>
      <c r="O79" s="41">
        <f t="shared" si="17"/>
        <v>16.265870222780237</v>
      </c>
      <c r="P79" s="41">
        <f t="shared" si="18"/>
        <v>0.8486262861992151</v>
      </c>
      <c r="Q79" s="41">
        <f t="shared" si="19"/>
        <v>19.04696205985152</v>
      </c>
      <c r="R79" s="42">
        <f t="shared" si="20"/>
        <v>0.65679179519999997</v>
      </c>
      <c r="S79" s="2"/>
      <c r="T79" s="34">
        <v>64</v>
      </c>
      <c r="U79" s="35" t="s">
        <v>141</v>
      </c>
      <c r="V79" s="35">
        <v>0.39835887650000001</v>
      </c>
      <c r="W79" s="35">
        <v>0.39916270230000001</v>
      </c>
      <c r="X79" s="48">
        <v>0.20178433252509501</v>
      </c>
      <c r="Y79" s="34">
        <v>64</v>
      </c>
      <c r="Z79" s="35" t="s">
        <v>143</v>
      </c>
      <c r="AA79" s="36">
        <v>7889686.1900000004</v>
      </c>
      <c r="AB79" s="38">
        <v>8256278.8799999999</v>
      </c>
      <c r="AC79" s="40">
        <v>4.6464799888321098</v>
      </c>
      <c r="AD79" s="34">
        <v>64</v>
      </c>
      <c r="AE79" s="35" t="s">
        <v>95</v>
      </c>
      <c r="AF79" s="38">
        <v>9422900</v>
      </c>
      <c r="AG79" s="38">
        <v>10145906</v>
      </c>
      <c r="AH79" s="40">
        <v>7.6728607965700597</v>
      </c>
    </row>
    <row r="80" spans="1:34" x14ac:dyDescent="0.2">
      <c r="A80" s="34">
        <v>65</v>
      </c>
      <c r="B80" s="35" t="s">
        <v>89</v>
      </c>
      <c r="C80" s="36">
        <v>244</v>
      </c>
      <c r="D80" s="37">
        <f t="shared" ref="D80:D111" si="21">ROUND(E80/C80,10)</f>
        <v>153.54098360660001</v>
      </c>
      <c r="E80" s="38">
        <v>37464</v>
      </c>
      <c r="F80" s="39">
        <f t="shared" ref="F80:F111" si="22">ROUND(E80/$E$15%,10)</f>
        <v>0.8171935213</v>
      </c>
      <c r="G80" s="38">
        <v>3376210.22</v>
      </c>
      <c r="H80" s="38">
        <v>16191051</v>
      </c>
      <c r="I80" s="40">
        <v>15</v>
      </c>
      <c r="J80" s="34">
        <v>65</v>
      </c>
      <c r="K80" s="35" t="s">
        <v>89</v>
      </c>
      <c r="L80" s="41">
        <f t="shared" ref="L80:L111" si="23">C80/$C$15%</f>
        <v>0.41642488992046961</v>
      </c>
      <c r="M80" s="41">
        <f t="shared" ref="M80:M111" si="24">ROUND(D80/$D$15%,10)</f>
        <v>1.3046141301</v>
      </c>
      <c r="N80" s="41">
        <f t="shared" ref="N80:N111" si="25">G80/$G$15%</f>
        <v>0.6125215453998698</v>
      </c>
      <c r="O80" s="41">
        <f t="shared" ref="O80:O111" si="26">(H80/$H$15%)*25</f>
        <v>14.598055521975894</v>
      </c>
      <c r="P80" s="41">
        <f t="shared" ref="P80:P111" si="27">I80/$I$15%</f>
        <v>0.15911742866235282</v>
      </c>
      <c r="Q80" s="41">
        <f t="shared" ref="Q80:Q111" si="28">SUM(L80:P80)</f>
        <v>17.090733516058584</v>
      </c>
      <c r="R80" s="42">
        <f t="shared" si="20"/>
        <v>0.58933563850000004</v>
      </c>
      <c r="S80" s="2"/>
      <c r="T80" s="34">
        <v>65</v>
      </c>
      <c r="U80" s="35" t="s">
        <v>112</v>
      </c>
      <c r="V80" s="35">
        <v>1.3799840860000001</v>
      </c>
      <c r="W80" s="35">
        <v>1.3828859958999999</v>
      </c>
      <c r="X80" s="48">
        <v>0.210285751077845</v>
      </c>
      <c r="Y80" s="34">
        <v>65</v>
      </c>
      <c r="Z80" s="35" t="s">
        <v>102</v>
      </c>
      <c r="AA80" s="36">
        <v>1530891.85</v>
      </c>
      <c r="AB80" s="38">
        <v>1602256.62</v>
      </c>
      <c r="AC80" s="40">
        <v>4.6616467387947802</v>
      </c>
      <c r="AD80" s="34">
        <v>65</v>
      </c>
      <c r="AE80" s="35" t="s">
        <v>143</v>
      </c>
      <c r="AF80" s="38">
        <v>25480045</v>
      </c>
      <c r="AG80" s="38">
        <v>27441377</v>
      </c>
      <c r="AH80" s="40">
        <v>7.69752172729679</v>
      </c>
    </row>
    <row r="81" spans="1:34" x14ac:dyDescent="0.2">
      <c r="A81" s="34">
        <v>66</v>
      </c>
      <c r="B81" s="35" t="s">
        <v>118</v>
      </c>
      <c r="C81" s="36">
        <v>439</v>
      </c>
      <c r="D81" s="37">
        <f t="shared" si="21"/>
        <v>212.44874715259999</v>
      </c>
      <c r="E81" s="38">
        <v>93265</v>
      </c>
      <c r="F81" s="39">
        <f t="shared" si="22"/>
        <v>2.0343677601999999</v>
      </c>
      <c r="G81" s="38">
        <v>9845849.6600000001</v>
      </c>
      <c r="H81" s="38">
        <v>36832474</v>
      </c>
      <c r="I81" s="40">
        <v>82</v>
      </c>
      <c r="J81" s="34">
        <v>66</v>
      </c>
      <c r="K81" s="35" t="s">
        <v>118</v>
      </c>
      <c r="L81" s="41">
        <f t="shared" si="23"/>
        <v>0.74922346997986133</v>
      </c>
      <c r="M81" s="41">
        <f t="shared" si="24"/>
        <v>1.8051443396</v>
      </c>
      <c r="N81" s="41">
        <f t="shared" si="25"/>
        <v>1.7862617125535456</v>
      </c>
      <c r="O81" s="41">
        <f t="shared" si="26"/>
        <v>33.208622495459601</v>
      </c>
      <c r="P81" s="41">
        <f t="shared" si="27"/>
        <v>0.8698419433541954</v>
      </c>
      <c r="Q81" s="41">
        <f t="shared" si="28"/>
        <v>38.419093960947201</v>
      </c>
      <c r="R81" s="42">
        <f t="shared" si="20"/>
        <v>1.3247963435000001</v>
      </c>
      <c r="S81" s="2"/>
      <c r="T81" s="34">
        <v>66</v>
      </c>
      <c r="U81" s="35" t="s">
        <v>95</v>
      </c>
      <c r="V81" s="35">
        <v>0.3659785257</v>
      </c>
      <c r="W81" s="35">
        <v>0.36691384789999998</v>
      </c>
      <c r="X81" s="48">
        <v>0.25556750856105698</v>
      </c>
      <c r="Y81" s="34">
        <v>66</v>
      </c>
      <c r="Z81" s="35" t="s">
        <v>126</v>
      </c>
      <c r="AA81" s="36">
        <v>1700662.58</v>
      </c>
      <c r="AB81" s="38">
        <v>1782790.99</v>
      </c>
      <c r="AC81" s="40">
        <v>4.82920074598219</v>
      </c>
      <c r="AD81" s="34">
        <v>66</v>
      </c>
      <c r="AE81" s="35" t="s">
        <v>112</v>
      </c>
      <c r="AF81" s="38">
        <v>35517534</v>
      </c>
      <c r="AG81" s="38">
        <v>38256275</v>
      </c>
      <c r="AH81" s="40">
        <v>7.7109548202304801</v>
      </c>
    </row>
    <row r="82" spans="1:34" x14ac:dyDescent="0.2">
      <c r="A82" s="34">
        <v>67</v>
      </c>
      <c r="B82" s="35" t="s">
        <v>120</v>
      </c>
      <c r="C82" s="36">
        <v>371</v>
      </c>
      <c r="D82" s="37">
        <f t="shared" si="21"/>
        <v>45.606469002700003</v>
      </c>
      <c r="E82" s="38">
        <v>16920</v>
      </c>
      <c r="F82" s="39">
        <f t="shared" si="22"/>
        <v>0.369072026</v>
      </c>
      <c r="G82" s="38">
        <v>2045899.81</v>
      </c>
      <c r="H82" s="38">
        <v>13497882</v>
      </c>
      <c r="I82" s="40">
        <v>55</v>
      </c>
      <c r="J82" s="34">
        <v>67</v>
      </c>
      <c r="K82" s="35" t="s">
        <v>120</v>
      </c>
      <c r="L82" s="41">
        <f t="shared" si="23"/>
        <v>0.6331706318053042</v>
      </c>
      <c r="M82" s="41">
        <f t="shared" si="24"/>
        <v>0.38751115489999999</v>
      </c>
      <c r="N82" s="41">
        <f t="shared" si="25"/>
        <v>0.37117289259153419</v>
      </c>
      <c r="O82" s="41">
        <f t="shared" si="26"/>
        <v>12.169860428768896</v>
      </c>
      <c r="P82" s="41">
        <f t="shared" si="27"/>
        <v>0.58343057176196034</v>
      </c>
      <c r="Q82" s="41">
        <f t="shared" si="28"/>
        <v>14.145145679827694</v>
      </c>
      <c r="R82" s="42">
        <f t="shared" si="20"/>
        <v>0.4877636441</v>
      </c>
      <c r="S82" s="2"/>
      <c r="T82" s="34">
        <v>67</v>
      </c>
      <c r="U82" s="35" t="s">
        <v>143</v>
      </c>
      <c r="V82" s="35">
        <v>0.98989437979999995</v>
      </c>
      <c r="W82" s="35">
        <v>0.99260790109999997</v>
      </c>
      <c r="X82" s="48">
        <v>0.27412230591189601</v>
      </c>
      <c r="Y82" s="34">
        <v>67</v>
      </c>
      <c r="Z82" s="35" t="s">
        <v>86</v>
      </c>
      <c r="AA82" s="36">
        <v>2509028.69</v>
      </c>
      <c r="AB82" s="38">
        <v>2632240.5499999998</v>
      </c>
      <c r="AC82" s="40">
        <v>4.9107393825775603</v>
      </c>
      <c r="AD82" s="34">
        <v>67</v>
      </c>
      <c r="AE82" s="35" t="s">
        <v>58</v>
      </c>
      <c r="AF82" s="38">
        <v>80557803</v>
      </c>
      <c r="AG82" s="38">
        <v>86777092</v>
      </c>
      <c r="AH82" s="40">
        <v>7.7202812991312602</v>
      </c>
    </row>
    <row r="83" spans="1:34" x14ac:dyDescent="0.2">
      <c r="A83" s="34">
        <v>68</v>
      </c>
      <c r="B83" s="35" t="s">
        <v>144</v>
      </c>
      <c r="C83" s="36">
        <v>332</v>
      </c>
      <c r="D83" s="37">
        <f t="shared" si="21"/>
        <v>83.831325301199996</v>
      </c>
      <c r="E83" s="38">
        <v>27832</v>
      </c>
      <c r="F83" s="39">
        <f t="shared" si="22"/>
        <v>0.60709294489999999</v>
      </c>
      <c r="G83" s="38">
        <v>3728579.21</v>
      </c>
      <c r="H83" s="38">
        <v>18084612</v>
      </c>
      <c r="I83" s="40">
        <v>91</v>
      </c>
      <c r="J83" s="34">
        <v>68</v>
      </c>
      <c r="K83" s="35" t="s">
        <v>144</v>
      </c>
      <c r="L83" s="41">
        <f t="shared" si="23"/>
        <v>0.56661091579342593</v>
      </c>
      <c r="M83" s="41">
        <f t="shared" si="24"/>
        <v>0.71230188159999996</v>
      </c>
      <c r="N83" s="41">
        <f t="shared" si="25"/>
        <v>0.67644931773680417</v>
      </c>
      <c r="O83" s="41">
        <f t="shared" si="26"/>
        <v>16.305313970624365</v>
      </c>
      <c r="P83" s="41">
        <f t="shared" si="27"/>
        <v>0.96531240055160716</v>
      </c>
      <c r="Q83" s="41">
        <f t="shared" si="28"/>
        <v>19.225988486306203</v>
      </c>
      <c r="R83" s="42">
        <f t="shared" si="20"/>
        <v>0.66296512019999998</v>
      </c>
      <c r="S83" s="2"/>
      <c r="T83" s="34">
        <v>68</v>
      </c>
      <c r="U83" s="35" t="s">
        <v>52</v>
      </c>
      <c r="V83" s="35">
        <v>0.38099616530000002</v>
      </c>
      <c r="W83" s="35">
        <v>0.38210346000000001</v>
      </c>
      <c r="X83" s="48">
        <v>0.290631455339738</v>
      </c>
      <c r="Y83" s="34">
        <v>68</v>
      </c>
      <c r="Z83" s="35" t="s">
        <v>125</v>
      </c>
      <c r="AA83" s="36">
        <v>1250687.07</v>
      </c>
      <c r="AB83" s="38">
        <v>1312386.95</v>
      </c>
      <c r="AC83" s="40">
        <v>4.9332787937113904</v>
      </c>
      <c r="AD83" s="34">
        <v>68</v>
      </c>
      <c r="AE83" s="35" t="s">
        <v>80</v>
      </c>
      <c r="AF83" s="38">
        <v>11299817</v>
      </c>
      <c r="AG83" s="38">
        <v>12173802</v>
      </c>
      <c r="AH83" s="40">
        <v>7.7345057888990603</v>
      </c>
    </row>
    <row r="84" spans="1:34" x14ac:dyDescent="0.2">
      <c r="A84" s="34">
        <v>69</v>
      </c>
      <c r="B84" s="35" t="s">
        <v>84</v>
      </c>
      <c r="C84" s="36">
        <v>285</v>
      </c>
      <c r="D84" s="37">
        <f t="shared" si="21"/>
        <v>363.86666666669998</v>
      </c>
      <c r="E84" s="38">
        <v>103702</v>
      </c>
      <c r="F84" s="39">
        <f t="shared" si="22"/>
        <v>2.2620276145</v>
      </c>
      <c r="G84" s="38">
        <v>14598125.060000001</v>
      </c>
      <c r="H84" s="38">
        <v>55340812</v>
      </c>
      <c r="I84" s="40">
        <v>104</v>
      </c>
      <c r="J84" s="34">
        <v>69</v>
      </c>
      <c r="K84" s="35" t="s">
        <v>84</v>
      </c>
      <c r="L84" s="41">
        <f t="shared" si="23"/>
        <v>0.4863979247021879</v>
      </c>
      <c r="M84" s="41">
        <f t="shared" si="24"/>
        <v>3.0917191206000001</v>
      </c>
      <c r="N84" s="41">
        <f t="shared" si="25"/>
        <v>2.648432869707908</v>
      </c>
      <c r="O84" s="41">
        <f t="shared" si="26"/>
        <v>49.895973164881639</v>
      </c>
      <c r="P84" s="41">
        <f t="shared" si="27"/>
        <v>1.1032141720589796</v>
      </c>
      <c r="Q84" s="41">
        <f t="shared" si="28"/>
        <v>57.225737251950711</v>
      </c>
      <c r="R84" s="42">
        <f t="shared" si="20"/>
        <v>1.9733012846</v>
      </c>
      <c r="S84" s="2"/>
      <c r="T84" s="34">
        <v>69</v>
      </c>
      <c r="U84" s="35" t="s">
        <v>45</v>
      </c>
      <c r="V84" s="35">
        <v>0.62316614910000001</v>
      </c>
      <c r="W84" s="35">
        <v>0.62523170279999996</v>
      </c>
      <c r="X84" s="48">
        <v>0.33146115253260999</v>
      </c>
      <c r="Y84" s="34">
        <v>69</v>
      </c>
      <c r="Z84" s="35" t="s">
        <v>137</v>
      </c>
      <c r="AA84" s="36">
        <v>1519975.74</v>
      </c>
      <c r="AB84" s="38">
        <v>1596378.47</v>
      </c>
      <c r="AC84" s="40">
        <v>5.0265756215293003</v>
      </c>
      <c r="AD84" s="34">
        <v>69</v>
      </c>
      <c r="AE84" s="35" t="s">
        <v>108</v>
      </c>
      <c r="AF84" s="38">
        <v>12629459</v>
      </c>
      <c r="AG84" s="38">
        <v>13616008</v>
      </c>
      <c r="AH84" s="40">
        <v>7.8114905792876801</v>
      </c>
    </row>
    <row r="85" spans="1:34" x14ac:dyDescent="0.2">
      <c r="A85" s="34">
        <v>70</v>
      </c>
      <c r="B85" s="35" t="s">
        <v>53</v>
      </c>
      <c r="C85" s="36">
        <v>193</v>
      </c>
      <c r="D85" s="37">
        <f t="shared" si="21"/>
        <v>79.041450777199998</v>
      </c>
      <c r="E85" s="38">
        <v>15255</v>
      </c>
      <c r="F85" s="39">
        <f t="shared" si="22"/>
        <v>0.33275376810000001</v>
      </c>
      <c r="G85" s="38">
        <v>2229203.04</v>
      </c>
      <c r="H85" s="38">
        <v>13706034</v>
      </c>
      <c r="I85" s="40">
        <v>8</v>
      </c>
      <c r="J85" s="34">
        <v>70</v>
      </c>
      <c r="K85" s="35" t="s">
        <v>53</v>
      </c>
      <c r="L85" s="41">
        <f t="shared" si="23"/>
        <v>0.32938526128955181</v>
      </c>
      <c r="M85" s="41">
        <f t="shared" si="24"/>
        <v>0.6716030543</v>
      </c>
      <c r="N85" s="41">
        <f t="shared" si="25"/>
        <v>0.40442827966763506</v>
      </c>
      <c r="O85" s="41">
        <f t="shared" si="26"/>
        <v>12.357532893824457</v>
      </c>
      <c r="P85" s="41">
        <f t="shared" si="27"/>
        <v>8.4862628619921512E-2</v>
      </c>
      <c r="Q85" s="41">
        <f t="shared" si="28"/>
        <v>13.847812117701565</v>
      </c>
      <c r="R85" s="42">
        <f t="shared" si="20"/>
        <v>0.47751076269999998</v>
      </c>
      <c r="S85" s="2"/>
      <c r="T85" s="34">
        <v>70</v>
      </c>
      <c r="U85" s="35" t="s">
        <v>91</v>
      </c>
      <c r="V85" s="35">
        <v>0.56507912019999995</v>
      </c>
      <c r="W85" s="35">
        <v>0.56700382429999996</v>
      </c>
      <c r="X85" s="48">
        <v>0.34060789563748001</v>
      </c>
      <c r="Y85" s="34">
        <v>70</v>
      </c>
      <c r="Z85" s="35" t="s">
        <v>145</v>
      </c>
      <c r="AA85" s="36">
        <v>3542479.63</v>
      </c>
      <c r="AB85" s="38">
        <v>3722924.45</v>
      </c>
      <c r="AC85" s="40">
        <v>5.0937433336772298</v>
      </c>
      <c r="AD85" s="34">
        <v>70</v>
      </c>
      <c r="AE85" s="35" t="s">
        <v>52</v>
      </c>
      <c r="AF85" s="38">
        <v>9795299</v>
      </c>
      <c r="AG85" s="38">
        <v>10561037</v>
      </c>
      <c r="AH85" s="40">
        <v>7.8174030215923</v>
      </c>
    </row>
    <row r="86" spans="1:34" x14ac:dyDescent="0.2">
      <c r="A86" s="34">
        <v>71</v>
      </c>
      <c r="B86" s="35" t="s">
        <v>143</v>
      </c>
      <c r="C86" s="36">
        <v>719</v>
      </c>
      <c r="D86" s="37">
        <f t="shared" si="21"/>
        <v>94.080667593900003</v>
      </c>
      <c r="E86" s="38">
        <v>67644</v>
      </c>
      <c r="F86" s="39">
        <f t="shared" si="22"/>
        <v>1.4755028443</v>
      </c>
      <c r="G86" s="38">
        <v>8256278.8799999999</v>
      </c>
      <c r="H86" s="38">
        <v>27441377</v>
      </c>
      <c r="I86" s="40">
        <v>49</v>
      </c>
      <c r="J86" s="34">
        <v>71</v>
      </c>
      <c r="K86" s="35" t="s">
        <v>143</v>
      </c>
      <c r="L86" s="41">
        <f t="shared" si="23"/>
        <v>1.2270880977574494</v>
      </c>
      <c r="M86" s="41">
        <f t="shared" si="24"/>
        <v>0.79938896719999997</v>
      </c>
      <c r="N86" s="41">
        <f t="shared" si="25"/>
        <v>1.497877314887669</v>
      </c>
      <c r="O86" s="41">
        <f t="shared" si="26"/>
        <v>24.741491151221272</v>
      </c>
      <c r="P86" s="41">
        <f t="shared" si="27"/>
        <v>0.5197836002970192</v>
      </c>
      <c r="Q86" s="41">
        <f t="shared" si="28"/>
        <v>28.785629131363407</v>
      </c>
      <c r="R86" s="42">
        <f t="shared" si="20"/>
        <v>0.99260790109999997</v>
      </c>
      <c r="S86" s="2"/>
      <c r="T86" s="34">
        <v>71</v>
      </c>
      <c r="U86" s="35" t="s">
        <v>115</v>
      </c>
      <c r="V86" s="35">
        <v>1.2910569733999999</v>
      </c>
      <c r="W86" s="35">
        <v>1.2954810351999999</v>
      </c>
      <c r="X86" s="48">
        <v>0.34266975750490802</v>
      </c>
      <c r="Y86" s="34">
        <v>71</v>
      </c>
      <c r="Z86" s="35" t="s">
        <v>53</v>
      </c>
      <c r="AA86" s="36">
        <v>2120535.4700000002</v>
      </c>
      <c r="AB86" s="38">
        <v>2229203.04</v>
      </c>
      <c r="AC86" s="40">
        <v>5.1245344177147603</v>
      </c>
      <c r="AD86" s="34">
        <v>71</v>
      </c>
      <c r="AE86" s="35" t="s">
        <v>87</v>
      </c>
      <c r="AF86" s="38">
        <v>13671385</v>
      </c>
      <c r="AG86" s="38">
        <v>14740632</v>
      </c>
      <c r="AH86" s="40">
        <v>7.8210583638746201</v>
      </c>
    </row>
    <row r="87" spans="1:34" x14ac:dyDescent="0.2">
      <c r="A87" s="34">
        <v>72</v>
      </c>
      <c r="B87" s="35" t="s">
        <v>132</v>
      </c>
      <c r="C87" s="36">
        <v>235</v>
      </c>
      <c r="D87" s="37">
        <f t="shared" si="21"/>
        <v>58.876595744699998</v>
      </c>
      <c r="E87" s="38">
        <v>13836</v>
      </c>
      <c r="F87" s="39">
        <f t="shared" si="22"/>
        <v>0.301801451</v>
      </c>
      <c r="G87" s="38">
        <v>1278179.8700000001</v>
      </c>
      <c r="H87" s="38">
        <v>10462384</v>
      </c>
      <c r="I87" s="40">
        <v>35</v>
      </c>
      <c r="J87" s="34">
        <v>72</v>
      </c>
      <c r="K87" s="35" t="s">
        <v>132</v>
      </c>
      <c r="L87" s="41">
        <f t="shared" si="23"/>
        <v>0.40106495545619003</v>
      </c>
      <c r="M87" s="41">
        <f t="shared" si="24"/>
        <v>0.50026538149999999</v>
      </c>
      <c r="N87" s="41">
        <f t="shared" si="25"/>
        <v>0.23189098375260672</v>
      </c>
      <c r="O87" s="41">
        <f t="shared" si="26"/>
        <v>9.4330171972302637</v>
      </c>
      <c r="P87" s="41">
        <f t="shared" si="27"/>
        <v>0.37127400021215656</v>
      </c>
      <c r="Q87" s="41">
        <f t="shared" si="28"/>
        <v>10.937512518151218</v>
      </c>
      <c r="R87" s="42">
        <f t="shared" ref="R87:R118" si="29">ROUND(Q87/$Q$129%,10)</f>
        <v>0.37715560409999999</v>
      </c>
      <c r="S87" s="2"/>
      <c r="T87" s="34">
        <v>72</v>
      </c>
      <c r="U87" s="35" t="s">
        <v>87</v>
      </c>
      <c r="V87" s="35">
        <v>0.53177585110000003</v>
      </c>
      <c r="W87" s="35">
        <v>0.53361180949999998</v>
      </c>
      <c r="X87" s="48">
        <v>0.345250427638298</v>
      </c>
      <c r="Y87" s="34">
        <v>72</v>
      </c>
      <c r="Z87" s="35" t="s">
        <v>146</v>
      </c>
      <c r="AA87" s="36">
        <v>8204097.8399999999</v>
      </c>
      <c r="AB87" s="38">
        <v>8631224.5399999991</v>
      </c>
      <c r="AC87" s="40">
        <v>5.2062604363089502</v>
      </c>
      <c r="AD87" s="34">
        <v>72</v>
      </c>
      <c r="AE87" s="35" t="s">
        <v>91</v>
      </c>
      <c r="AF87" s="38">
        <v>14525590</v>
      </c>
      <c r="AG87" s="38">
        <v>15663673</v>
      </c>
      <c r="AH87" s="40">
        <v>7.8350208149892699</v>
      </c>
    </row>
    <row r="88" spans="1:34" x14ac:dyDescent="0.2">
      <c r="A88" s="34">
        <v>73</v>
      </c>
      <c r="B88" s="35" t="s">
        <v>85</v>
      </c>
      <c r="C88" s="36">
        <v>213</v>
      </c>
      <c r="D88" s="37">
        <f t="shared" si="21"/>
        <v>130.80751173709999</v>
      </c>
      <c r="E88" s="38">
        <v>27862</v>
      </c>
      <c r="F88" s="39">
        <f t="shared" si="22"/>
        <v>0.60774732789999997</v>
      </c>
      <c r="G88" s="38">
        <v>2332346.4</v>
      </c>
      <c r="H88" s="38">
        <v>15008202</v>
      </c>
      <c r="I88" s="40">
        <v>18</v>
      </c>
      <c r="J88" s="34">
        <v>73</v>
      </c>
      <c r="K88" s="35" t="s">
        <v>85</v>
      </c>
      <c r="L88" s="41">
        <f t="shared" si="23"/>
        <v>0.36351844898795094</v>
      </c>
      <c r="M88" s="41">
        <f t="shared" si="24"/>
        <v>1.1114513150000001</v>
      </c>
      <c r="N88" s="41">
        <f t="shared" si="25"/>
        <v>0.42314083787585444</v>
      </c>
      <c r="O88" s="41">
        <f t="shared" si="26"/>
        <v>13.531583964563493</v>
      </c>
      <c r="P88" s="41">
        <f t="shared" si="27"/>
        <v>0.19094091439482339</v>
      </c>
      <c r="Q88" s="41">
        <f t="shared" si="28"/>
        <v>15.620635480822123</v>
      </c>
      <c r="R88" s="42">
        <f t="shared" si="29"/>
        <v>0.53864260279999998</v>
      </c>
      <c r="S88" s="2"/>
      <c r="T88" s="34">
        <v>73</v>
      </c>
      <c r="U88" s="35" t="s">
        <v>103</v>
      </c>
      <c r="V88" s="35">
        <v>7.5211887954999996</v>
      </c>
      <c r="W88" s="35">
        <v>7.5472138065000003</v>
      </c>
      <c r="X88" s="48">
        <v>0.34602257312795598</v>
      </c>
      <c r="Y88" s="34">
        <v>73</v>
      </c>
      <c r="Z88" s="35" t="s">
        <v>147</v>
      </c>
      <c r="AA88" s="36">
        <v>1445921.09</v>
      </c>
      <c r="AB88" s="38">
        <v>1521286.47</v>
      </c>
      <c r="AC88" s="40">
        <v>5.2122747583687197</v>
      </c>
      <c r="AD88" s="34">
        <v>73</v>
      </c>
      <c r="AE88" s="35" t="s">
        <v>115</v>
      </c>
      <c r="AF88" s="38">
        <v>33177407</v>
      </c>
      <c r="AG88" s="38">
        <v>35787290</v>
      </c>
      <c r="AH88" s="40">
        <v>7.8664465851716496</v>
      </c>
    </row>
    <row r="89" spans="1:34" x14ac:dyDescent="0.2">
      <c r="A89" s="34">
        <v>74</v>
      </c>
      <c r="B89" s="38" t="s">
        <v>133</v>
      </c>
      <c r="C89" s="36">
        <v>131</v>
      </c>
      <c r="D89" s="37">
        <f t="shared" si="21"/>
        <v>79.770992366399994</v>
      </c>
      <c r="E89" s="38">
        <v>10450</v>
      </c>
      <c r="F89" s="39">
        <f t="shared" si="22"/>
        <v>0.2279434203</v>
      </c>
      <c r="G89" s="38">
        <v>1021011.96</v>
      </c>
      <c r="H89" s="38">
        <v>8146325</v>
      </c>
      <c r="I89" s="40">
        <v>14</v>
      </c>
      <c r="J89" s="34">
        <v>74</v>
      </c>
      <c r="K89" s="38" t="s">
        <v>133</v>
      </c>
      <c r="L89" s="41">
        <f t="shared" si="23"/>
        <v>0.22357237942451444</v>
      </c>
      <c r="M89" s="41">
        <f t="shared" si="24"/>
        <v>0.67780185699999995</v>
      </c>
      <c r="N89" s="41">
        <f t="shared" si="25"/>
        <v>0.18523485886816313</v>
      </c>
      <c r="O89" s="41">
        <f t="shared" si="26"/>
        <v>7.3448292300518538</v>
      </c>
      <c r="P89" s="41">
        <f t="shared" si="27"/>
        <v>0.14850960008486264</v>
      </c>
      <c r="Q89" s="41">
        <f t="shared" si="28"/>
        <v>8.5799479254293942</v>
      </c>
      <c r="R89" s="42">
        <f t="shared" si="29"/>
        <v>0.29586027329999998</v>
      </c>
      <c r="S89" s="2"/>
      <c r="T89" s="34">
        <v>74</v>
      </c>
      <c r="U89" s="35" t="s">
        <v>83</v>
      </c>
      <c r="V89" s="49">
        <v>0.33974976350000002</v>
      </c>
      <c r="W89" s="35">
        <v>0.34092752949999999</v>
      </c>
      <c r="X89" s="48">
        <v>0.34665690061620003</v>
      </c>
      <c r="Y89" s="34">
        <v>74</v>
      </c>
      <c r="Z89" s="35" t="s">
        <v>104</v>
      </c>
      <c r="AA89" s="36">
        <v>1616870.7</v>
      </c>
      <c r="AB89" s="38">
        <v>1701546.11</v>
      </c>
      <c r="AC89" s="40">
        <v>5.2369932858576904</v>
      </c>
      <c r="AD89" s="34">
        <v>74</v>
      </c>
      <c r="AE89" s="35" t="s">
        <v>83</v>
      </c>
      <c r="AF89" s="38">
        <v>8722216</v>
      </c>
      <c r="AG89" s="38">
        <v>9416708</v>
      </c>
      <c r="AH89" s="40">
        <v>7.9623343425569804</v>
      </c>
    </row>
    <row r="90" spans="1:34" x14ac:dyDescent="0.2">
      <c r="A90" s="34">
        <v>75</v>
      </c>
      <c r="B90" s="35" t="s">
        <v>146</v>
      </c>
      <c r="C90" s="36">
        <v>481</v>
      </c>
      <c r="D90" s="37">
        <f t="shared" si="21"/>
        <v>144.95426195429999</v>
      </c>
      <c r="E90" s="38">
        <v>69723</v>
      </c>
      <c r="F90" s="39">
        <f t="shared" si="22"/>
        <v>1.5208515879</v>
      </c>
      <c r="G90" s="38">
        <v>8631224.5399999991</v>
      </c>
      <c r="H90" s="38">
        <v>27107295</v>
      </c>
      <c r="I90" s="40">
        <v>55</v>
      </c>
      <c r="J90" s="34">
        <v>75</v>
      </c>
      <c r="K90" s="35" t="s">
        <v>146</v>
      </c>
      <c r="L90" s="41">
        <f t="shared" si="23"/>
        <v>0.82090316414649955</v>
      </c>
      <c r="M90" s="41">
        <f t="shared" si="24"/>
        <v>1.2316540764999999</v>
      </c>
      <c r="N90" s="41">
        <f t="shared" si="25"/>
        <v>1.5659010101373603</v>
      </c>
      <c r="O90" s="41">
        <f t="shared" si="26"/>
        <v>24.440278611967784</v>
      </c>
      <c r="P90" s="41">
        <f t="shared" si="27"/>
        <v>0.58343057176196034</v>
      </c>
      <c r="Q90" s="41">
        <f t="shared" si="28"/>
        <v>28.642167434513603</v>
      </c>
      <c r="R90" s="42">
        <f t="shared" si="29"/>
        <v>0.98766094599999998</v>
      </c>
      <c r="S90" s="2"/>
      <c r="T90" s="34">
        <v>75</v>
      </c>
      <c r="U90" s="35" t="s">
        <v>108</v>
      </c>
      <c r="V90" s="35">
        <v>0.4912000124</v>
      </c>
      <c r="W90" s="35">
        <v>0.4929790778</v>
      </c>
      <c r="X90" s="48">
        <v>0.36218757229005399</v>
      </c>
      <c r="Y90" s="34">
        <v>75</v>
      </c>
      <c r="Z90" s="35" t="s">
        <v>108</v>
      </c>
      <c r="AA90" s="36">
        <v>2263637.2599999998</v>
      </c>
      <c r="AB90" s="38">
        <v>2386952.65</v>
      </c>
      <c r="AC90" s="40">
        <v>5.4476656741372604</v>
      </c>
      <c r="AD90" s="34">
        <v>75</v>
      </c>
      <c r="AE90" s="35" t="s">
        <v>103</v>
      </c>
      <c r="AF90" s="38">
        <v>193094726</v>
      </c>
      <c r="AG90" s="38">
        <v>208527269</v>
      </c>
      <c r="AH90" s="40">
        <v>7.9922136247263396</v>
      </c>
    </row>
    <row r="91" spans="1:34" x14ac:dyDescent="0.2">
      <c r="A91" s="34">
        <v>76</v>
      </c>
      <c r="B91" s="35" t="s">
        <v>148</v>
      </c>
      <c r="C91" s="36">
        <v>128</v>
      </c>
      <c r="D91" s="37">
        <f t="shared" si="21"/>
        <v>598.3359375</v>
      </c>
      <c r="E91" s="38">
        <v>76587</v>
      </c>
      <c r="F91" s="39">
        <f t="shared" si="22"/>
        <v>1.670574424</v>
      </c>
      <c r="G91" s="38">
        <v>11578839.16</v>
      </c>
      <c r="H91" s="38">
        <v>48663172</v>
      </c>
      <c r="I91" s="40">
        <v>36</v>
      </c>
      <c r="J91" s="34">
        <v>76</v>
      </c>
      <c r="K91" s="35" t="s">
        <v>148</v>
      </c>
      <c r="L91" s="41">
        <f t="shared" si="23"/>
        <v>0.21845240126975457</v>
      </c>
      <c r="M91" s="41">
        <f t="shared" si="24"/>
        <v>5.0839684640999998</v>
      </c>
      <c r="N91" s="41">
        <f t="shared" si="25"/>
        <v>2.1006655374142342</v>
      </c>
      <c r="O91" s="41">
        <f t="shared" si="26"/>
        <v>43.875328830195322</v>
      </c>
      <c r="P91" s="41">
        <f t="shared" si="27"/>
        <v>0.38188182878964677</v>
      </c>
      <c r="Q91" s="41">
        <f t="shared" si="28"/>
        <v>51.660297061768958</v>
      </c>
      <c r="R91" s="42">
        <f t="shared" si="29"/>
        <v>1.7813895539</v>
      </c>
      <c r="S91" s="2"/>
      <c r="T91" s="34">
        <v>76</v>
      </c>
      <c r="U91" s="35" t="s">
        <v>111</v>
      </c>
      <c r="V91" s="35">
        <v>0.91190723929999995</v>
      </c>
      <c r="W91" s="35">
        <v>0.9158550084</v>
      </c>
      <c r="X91" s="48">
        <v>0.43291345104689</v>
      </c>
      <c r="Y91" s="34">
        <v>76</v>
      </c>
      <c r="Z91" s="35" t="s">
        <v>129</v>
      </c>
      <c r="AA91" s="36">
        <v>2125319.9300000002</v>
      </c>
      <c r="AB91" s="38">
        <v>2242071.96</v>
      </c>
      <c r="AC91" s="40">
        <v>5.4933861181078703</v>
      </c>
      <c r="AD91" s="34">
        <v>76</v>
      </c>
      <c r="AE91" s="35" t="s">
        <v>149</v>
      </c>
      <c r="AF91" s="38">
        <v>67574974</v>
      </c>
      <c r="AG91" s="38">
        <v>72984506</v>
      </c>
      <c r="AH91" s="40">
        <v>8.0052298651272906</v>
      </c>
    </row>
    <row r="92" spans="1:34" x14ac:dyDescent="0.2">
      <c r="A92" s="34">
        <v>77</v>
      </c>
      <c r="B92" s="35" t="s">
        <v>45</v>
      </c>
      <c r="C92" s="36">
        <v>468</v>
      </c>
      <c r="D92" s="37">
        <f t="shared" si="21"/>
        <v>38.130341880300001</v>
      </c>
      <c r="E92" s="38">
        <v>17845</v>
      </c>
      <c r="F92" s="39">
        <f t="shared" si="22"/>
        <v>0.38924883589999998</v>
      </c>
      <c r="G92" s="38">
        <v>3183469.69</v>
      </c>
      <c r="H92" s="38">
        <v>17247997</v>
      </c>
      <c r="I92" s="40">
        <v>83</v>
      </c>
      <c r="J92" s="34">
        <v>77</v>
      </c>
      <c r="K92" s="35" t="s">
        <v>45</v>
      </c>
      <c r="L92" s="41">
        <f t="shared" si="23"/>
        <v>0.79871659214254009</v>
      </c>
      <c r="M92" s="41">
        <f t="shared" si="24"/>
        <v>0.32398765219999998</v>
      </c>
      <c r="N92" s="41">
        <f t="shared" si="25"/>
        <v>0.57755401683857366</v>
      </c>
      <c r="O92" s="41">
        <f t="shared" si="26"/>
        <v>15.551011348730462</v>
      </c>
      <c r="P92" s="41">
        <f t="shared" si="27"/>
        <v>0.88044977193168561</v>
      </c>
      <c r="Q92" s="41">
        <f t="shared" si="28"/>
        <v>18.131719381843261</v>
      </c>
      <c r="R92" s="42">
        <f t="shared" si="29"/>
        <v>0.62523170279999996</v>
      </c>
      <c r="S92" s="2"/>
      <c r="T92" s="34">
        <v>77</v>
      </c>
      <c r="U92" s="35" t="s">
        <v>57</v>
      </c>
      <c r="V92" s="35">
        <v>2.3912972076000001</v>
      </c>
      <c r="W92" s="35">
        <v>2.4028037954000001</v>
      </c>
      <c r="X92" s="48">
        <v>0.48118601750672801</v>
      </c>
      <c r="Y92" s="34">
        <v>77</v>
      </c>
      <c r="Z92" s="35" t="s">
        <v>132</v>
      </c>
      <c r="AA92" s="36">
        <v>1211331.67</v>
      </c>
      <c r="AB92" s="38">
        <v>1278179.8700000001</v>
      </c>
      <c r="AC92" s="40">
        <v>5.5185711441029204</v>
      </c>
      <c r="AD92" s="34">
        <v>77</v>
      </c>
      <c r="AE92" s="35" t="s">
        <v>111</v>
      </c>
      <c r="AF92" s="38">
        <v>23397165</v>
      </c>
      <c r="AG92" s="38">
        <v>25274043</v>
      </c>
      <c r="AH92" s="40">
        <v>8.0218180279533904</v>
      </c>
    </row>
    <row r="93" spans="1:34" x14ac:dyDescent="0.2">
      <c r="A93" s="34">
        <v>78</v>
      </c>
      <c r="B93" s="35" t="s">
        <v>141</v>
      </c>
      <c r="C93" s="36">
        <v>104</v>
      </c>
      <c r="D93" s="37">
        <f t="shared" si="21"/>
        <v>119.8653846154</v>
      </c>
      <c r="E93" s="38">
        <v>12466</v>
      </c>
      <c r="F93" s="39">
        <f t="shared" si="22"/>
        <v>0.27191795959999998</v>
      </c>
      <c r="G93" s="38">
        <v>1274317.45</v>
      </c>
      <c r="H93" s="38">
        <v>11044230</v>
      </c>
      <c r="I93" s="40">
        <v>18</v>
      </c>
      <c r="J93" s="34">
        <v>78</v>
      </c>
      <c r="K93" s="35" t="s">
        <v>141</v>
      </c>
      <c r="L93" s="41">
        <f t="shared" si="23"/>
        <v>0.17749257603167559</v>
      </c>
      <c r="M93" s="41">
        <f t="shared" si="24"/>
        <v>1.0184777432000001</v>
      </c>
      <c r="N93" s="41">
        <f t="shared" si="25"/>
        <v>0.23119025266265003</v>
      </c>
      <c r="O93" s="41">
        <f t="shared" si="26"/>
        <v>9.957616879686924</v>
      </c>
      <c r="P93" s="41">
        <f t="shared" si="27"/>
        <v>0.19094091439482339</v>
      </c>
      <c r="Q93" s="41">
        <f t="shared" si="28"/>
        <v>11.575718365976075</v>
      </c>
      <c r="R93" s="42">
        <f t="shared" si="29"/>
        <v>0.39916270230000001</v>
      </c>
      <c r="S93" s="2"/>
      <c r="T93" s="34">
        <v>78</v>
      </c>
      <c r="U93" s="35" t="s">
        <v>128</v>
      </c>
      <c r="V93" s="35">
        <v>0.62760129109999996</v>
      </c>
      <c r="W93" s="35">
        <v>0.63079051880000003</v>
      </c>
      <c r="X93" s="48">
        <v>0.50816143070870701</v>
      </c>
      <c r="Y93" s="34">
        <v>78</v>
      </c>
      <c r="Z93" s="35" t="s">
        <v>136</v>
      </c>
      <c r="AA93" s="36">
        <v>903647.39</v>
      </c>
      <c r="AB93" s="38">
        <v>953589.6</v>
      </c>
      <c r="AC93" s="40">
        <v>5.5267364851238696</v>
      </c>
      <c r="AD93" s="34">
        <v>78</v>
      </c>
      <c r="AE93" s="35" t="s">
        <v>142</v>
      </c>
      <c r="AF93" s="38">
        <v>47269994</v>
      </c>
      <c r="AG93" s="38">
        <v>51068275</v>
      </c>
      <c r="AH93" s="40">
        <v>8.03528978658216</v>
      </c>
    </row>
    <row r="94" spans="1:34" x14ac:dyDescent="0.2">
      <c r="A94" s="34">
        <v>79</v>
      </c>
      <c r="B94" s="35" t="s">
        <v>138</v>
      </c>
      <c r="C94" s="36">
        <v>488</v>
      </c>
      <c r="D94" s="37">
        <f t="shared" si="21"/>
        <v>101.6147540984</v>
      </c>
      <c r="E94" s="38">
        <v>49588</v>
      </c>
      <c r="F94" s="39">
        <f t="shared" si="22"/>
        <v>1.0816515144000001</v>
      </c>
      <c r="G94" s="38">
        <v>4291252.04</v>
      </c>
      <c r="H94" s="38">
        <v>22496553</v>
      </c>
      <c r="I94" s="40">
        <v>95</v>
      </c>
      <c r="J94" s="34">
        <v>79</v>
      </c>
      <c r="K94" s="35" t="s">
        <v>138</v>
      </c>
      <c r="L94" s="41">
        <f t="shared" si="23"/>
        <v>0.83284977984093922</v>
      </c>
      <c r="M94" s="41">
        <f t="shared" si="24"/>
        <v>0.86340494189999994</v>
      </c>
      <c r="N94" s="41">
        <f t="shared" si="25"/>
        <v>0.77853100368884731</v>
      </c>
      <c r="O94" s="41">
        <f t="shared" si="26"/>
        <v>20.283175548460282</v>
      </c>
      <c r="P94" s="41">
        <f t="shared" si="27"/>
        <v>1.0077437148615678</v>
      </c>
      <c r="Q94" s="41">
        <f t="shared" si="28"/>
        <v>23.765704988751637</v>
      </c>
      <c r="R94" s="42">
        <f t="shared" si="29"/>
        <v>0.8195070686</v>
      </c>
      <c r="S94" s="2"/>
      <c r="T94" s="34">
        <v>79</v>
      </c>
      <c r="U94" s="35" t="s">
        <v>142</v>
      </c>
      <c r="V94" s="35">
        <v>1.8426162958000001</v>
      </c>
      <c r="W94" s="35">
        <v>1.8523257575000001</v>
      </c>
      <c r="X94" s="48">
        <v>0.52693888153119095</v>
      </c>
      <c r="Y94" s="34">
        <v>79</v>
      </c>
      <c r="Z94" s="35" t="s">
        <v>65</v>
      </c>
      <c r="AA94" s="36">
        <v>760377.81</v>
      </c>
      <c r="AB94" s="38">
        <v>802426.74</v>
      </c>
      <c r="AC94" s="40">
        <v>5.5300048800740003</v>
      </c>
      <c r="AD94" s="34">
        <v>79</v>
      </c>
      <c r="AE94" s="35" t="s">
        <v>128</v>
      </c>
      <c r="AF94" s="38">
        <v>16095760</v>
      </c>
      <c r="AG94" s="38">
        <v>17394067</v>
      </c>
      <c r="AH94" s="40">
        <v>8.0661428848342709</v>
      </c>
    </row>
    <row r="95" spans="1:34" x14ac:dyDescent="0.2">
      <c r="A95" s="34">
        <v>80</v>
      </c>
      <c r="B95" s="35" t="s">
        <v>93</v>
      </c>
      <c r="C95" s="36">
        <v>250</v>
      </c>
      <c r="D95" s="37">
        <f t="shared" si="21"/>
        <v>76.584000000000003</v>
      </c>
      <c r="E95" s="38">
        <v>19146</v>
      </c>
      <c r="F95" s="39">
        <f t="shared" si="22"/>
        <v>0.41762724639999999</v>
      </c>
      <c r="G95" s="38">
        <v>172275.92</v>
      </c>
      <c r="H95" s="38">
        <v>12398927</v>
      </c>
      <c r="I95" s="40">
        <v>55</v>
      </c>
      <c r="J95" s="34">
        <v>80</v>
      </c>
      <c r="K95" s="35" t="s">
        <v>93</v>
      </c>
      <c r="L95" s="41">
        <f t="shared" si="23"/>
        <v>0.4266648462299894</v>
      </c>
      <c r="M95" s="41">
        <f t="shared" si="24"/>
        <v>0.65072247289999996</v>
      </c>
      <c r="N95" s="41">
        <f t="shared" si="25"/>
        <v>3.1254781508713143E-2</v>
      </c>
      <c r="O95" s="41">
        <f t="shared" si="26"/>
        <v>11.179028758474422</v>
      </c>
      <c r="P95" s="41">
        <f t="shared" si="27"/>
        <v>0.58343057176196034</v>
      </c>
      <c r="Q95" s="41">
        <f t="shared" si="28"/>
        <v>12.871101430875084</v>
      </c>
      <c r="R95" s="42">
        <f t="shared" si="29"/>
        <v>0.44383108380000003</v>
      </c>
      <c r="S95" s="2"/>
      <c r="T95" s="34">
        <v>80</v>
      </c>
      <c r="U95" s="38" t="s">
        <v>133</v>
      </c>
      <c r="V95" s="35">
        <v>0.29396401799999999</v>
      </c>
      <c r="W95" s="35">
        <v>0.29586027329999998</v>
      </c>
      <c r="X95" s="48">
        <v>0.64506374382186604</v>
      </c>
      <c r="Y95" s="34">
        <v>80</v>
      </c>
      <c r="Z95" s="35" t="s">
        <v>150</v>
      </c>
      <c r="AA95" s="36">
        <v>2358222.08</v>
      </c>
      <c r="AB95" s="38">
        <v>2489604</v>
      </c>
      <c r="AC95" s="40">
        <v>5.5712276258561699</v>
      </c>
      <c r="AD95" s="34">
        <v>80</v>
      </c>
      <c r="AE95" s="35" t="s">
        <v>97</v>
      </c>
      <c r="AF95" s="38">
        <v>14171908</v>
      </c>
      <c r="AG95" s="38">
        <v>15327350</v>
      </c>
      <c r="AH95" s="40">
        <v>8.1530447417524901</v>
      </c>
    </row>
    <row r="96" spans="1:34" x14ac:dyDescent="0.2">
      <c r="A96" s="34">
        <v>81</v>
      </c>
      <c r="B96" s="35" t="s">
        <v>116</v>
      </c>
      <c r="C96" s="36">
        <v>268</v>
      </c>
      <c r="D96" s="37">
        <f t="shared" si="21"/>
        <v>32.8507462687</v>
      </c>
      <c r="E96" s="38">
        <v>8804</v>
      </c>
      <c r="F96" s="39">
        <f t="shared" si="22"/>
        <v>0.192039605</v>
      </c>
      <c r="G96" s="38">
        <v>435030.56</v>
      </c>
      <c r="H96" s="38">
        <v>11981637</v>
      </c>
      <c r="I96" s="40">
        <v>81</v>
      </c>
      <c r="J96" s="34">
        <v>81</v>
      </c>
      <c r="K96" s="35" t="s">
        <v>116</v>
      </c>
      <c r="L96" s="41">
        <f t="shared" si="23"/>
        <v>0.45738471515854862</v>
      </c>
      <c r="M96" s="41">
        <f t="shared" si="24"/>
        <v>0.27912774010000002</v>
      </c>
      <c r="N96" s="41">
        <f t="shared" si="25"/>
        <v>7.8924466648694278E-2</v>
      </c>
      <c r="O96" s="41">
        <f t="shared" si="26"/>
        <v>10.802794838343768</v>
      </c>
      <c r="P96" s="41">
        <f t="shared" si="27"/>
        <v>0.85923411477670519</v>
      </c>
      <c r="Q96" s="41">
        <f t="shared" si="28"/>
        <v>12.477465875027715</v>
      </c>
      <c r="R96" s="42">
        <f t="shared" si="29"/>
        <v>0.43025744399999999</v>
      </c>
      <c r="S96" s="2"/>
      <c r="T96" s="34">
        <v>81</v>
      </c>
      <c r="U96" s="35" t="s">
        <v>151</v>
      </c>
      <c r="V96" s="35">
        <v>0.37631469200000001</v>
      </c>
      <c r="W96" s="35">
        <v>0.37881877870000003</v>
      </c>
      <c r="X96" s="48">
        <v>0.66542358117658096</v>
      </c>
      <c r="Y96" s="34">
        <v>81</v>
      </c>
      <c r="Z96" s="35" t="s">
        <v>93</v>
      </c>
      <c r="AA96" s="36">
        <v>163052.26</v>
      </c>
      <c r="AB96" s="38">
        <v>172275.92</v>
      </c>
      <c r="AC96" s="40">
        <v>5.6568734465870101</v>
      </c>
      <c r="AD96" s="34">
        <v>81</v>
      </c>
      <c r="AE96" s="35" t="s">
        <v>151</v>
      </c>
      <c r="AF96" s="38">
        <v>9641724</v>
      </c>
      <c r="AG96" s="38">
        <v>10428888</v>
      </c>
      <c r="AH96" s="40">
        <v>8.1641415995728597</v>
      </c>
    </row>
    <row r="97" spans="1:34" x14ac:dyDescent="0.2">
      <c r="A97" s="34">
        <v>82</v>
      </c>
      <c r="B97" s="35" t="s">
        <v>152</v>
      </c>
      <c r="C97" s="36">
        <v>787</v>
      </c>
      <c r="D97" s="37">
        <f t="shared" si="21"/>
        <v>97.409148665800004</v>
      </c>
      <c r="E97" s="38">
        <v>76661</v>
      </c>
      <c r="F97" s="39">
        <f t="shared" si="22"/>
        <v>1.6721885688</v>
      </c>
      <c r="G97" s="38">
        <v>7407804.9699999997</v>
      </c>
      <c r="H97" s="38">
        <v>34918861</v>
      </c>
      <c r="I97" s="40">
        <v>182</v>
      </c>
      <c r="J97" s="34">
        <v>82</v>
      </c>
      <c r="K97" s="35" t="s">
        <v>152</v>
      </c>
      <c r="L97" s="41">
        <f t="shared" si="23"/>
        <v>1.3431409359320066</v>
      </c>
      <c r="M97" s="41">
        <f t="shared" si="24"/>
        <v>0.82767055909999998</v>
      </c>
      <c r="N97" s="41">
        <f t="shared" si="25"/>
        <v>1.3439447938894149</v>
      </c>
      <c r="O97" s="41">
        <f t="shared" si="26"/>
        <v>31.483284911038744</v>
      </c>
      <c r="P97" s="41">
        <f t="shared" si="27"/>
        <v>1.9306248011032143</v>
      </c>
      <c r="Q97" s="41">
        <f t="shared" si="28"/>
        <v>36.928666001063377</v>
      </c>
      <c r="R97" s="42">
        <f t="shared" si="29"/>
        <v>1.2734022759000001</v>
      </c>
      <c r="S97" s="2"/>
      <c r="T97" s="34">
        <v>82</v>
      </c>
      <c r="U97" s="35" t="s">
        <v>97</v>
      </c>
      <c r="V97" s="35">
        <v>0.55306729089999995</v>
      </c>
      <c r="W97" s="35">
        <v>0.55684791290000002</v>
      </c>
      <c r="X97" s="48">
        <v>0.68357360165847203</v>
      </c>
      <c r="Y97" s="34">
        <v>82</v>
      </c>
      <c r="Z97" s="35" t="s">
        <v>141</v>
      </c>
      <c r="AA97" s="36">
        <v>1205699.48</v>
      </c>
      <c r="AB97" s="38">
        <v>1274317.45</v>
      </c>
      <c r="AC97" s="40">
        <v>5.6911337475239199</v>
      </c>
      <c r="AD97" s="34">
        <v>82</v>
      </c>
      <c r="AE97" s="35" t="s">
        <v>57</v>
      </c>
      <c r="AF97" s="38">
        <v>61251251</v>
      </c>
      <c r="AG97" s="38">
        <v>66268717</v>
      </c>
      <c r="AH97" s="40">
        <v>8.1916139149549796</v>
      </c>
    </row>
    <row r="98" spans="1:34" x14ac:dyDescent="0.2">
      <c r="A98" s="34">
        <v>83</v>
      </c>
      <c r="B98" s="35" t="s">
        <v>153</v>
      </c>
      <c r="C98" s="36">
        <v>714</v>
      </c>
      <c r="D98" s="37">
        <f t="shared" si="21"/>
        <v>43.557422969199997</v>
      </c>
      <c r="E98" s="38">
        <v>31100</v>
      </c>
      <c r="F98" s="39">
        <f t="shared" si="22"/>
        <v>0.67837706900000005</v>
      </c>
      <c r="G98" s="38">
        <v>3287918.23</v>
      </c>
      <c r="H98" s="38">
        <v>21956565</v>
      </c>
      <c r="I98" s="40">
        <v>129</v>
      </c>
      <c r="J98" s="34">
        <v>83</v>
      </c>
      <c r="K98" s="35" t="s">
        <v>153</v>
      </c>
      <c r="L98" s="41">
        <f t="shared" si="23"/>
        <v>1.2185548008328497</v>
      </c>
      <c r="M98" s="41">
        <f t="shared" si="24"/>
        <v>0.37010072579999997</v>
      </c>
      <c r="N98" s="41">
        <f t="shared" si="25"/>
        <v>0.59650336447000163</v>
      </c>
      <c r="O98" s="41">
        <f t="shared" si="26"/>
        <v>19.796315566041557</v>
      </c>
      <c r="P98" s="41">
        <f t="shared" si="27"/>
        <v>1.3684098864962342</v>
      </c>
      <c r="Q98" s="41">
        <f t="shared" si="28"/>
        <v>23.349884343640642</v>
      </c>
      <c r="R98" s="42">
        <f t="shared" si="29"/>
        <v>0.80516842560000002</v>
      </c>
      <c r="S98" s="2"/>
      <c r="T98" s="34">
        <v>83</v>
      </c>
      <c r="U98" s="35" t="s">
        <v>110</v>
      </c>
      <c r="V98" s="35">
        <v>1.9244645332999999</v>
      </c>
      <c r="W98" s="35">
        <v>1.9380939434</v>
      </c>
      <c r="X98" s="48">
        <v>0.70821830510063299</v>
      </c>
      <c r="Y98" s="34">
        <v>83</v>
      </c>
      <c r="Z98" s="35" t="s">
        <v>122</v>
      </c>
      <c r="AA98" s="36">
        <v>1497334.92</v>
      </c>
      <c r="AB98" s="38">
        <v>1583393.95</v>
      </c>
      <c r="AC98" s="40">
        <v>5.7474803299184201</v>
      </c>
      <c r="AD98" s="34">
        <v>83</v>
      </c>
      <c r="AE98" s="38" t="s">
        <v>133</v>
      </c>
      <c r="AF98" s="38">
        <v>7527040</v>
      </c>
      <c r="AG98" s="38">
        <v>8146325</v>
      </c>
      <c r="AH98" s="40">
        <v>8.2274705594762398</v>
      </c>
    </row>
    <row r="99" spans="1:34" x14ac:dyDescent="0.2">
      <c r="A99" s="34">
        <v>84</v>
      </c>
      <c r="B99" s="35" t="s">
        <v>107</v>
      </c>
      <c r="C99" s="36">
        <v>316</v>
      </c>
      <c r="D99" s="37">
        <f t="shared" si="21"/>
        <v>92.620253164600001</v>
      </c>
      <c r="E99" s="38">
        <v>29268</v>
      </c>
      <c r="F99" s="39">
        <f t="shared" si="22"/>
        <v>0.63841607899999997</v>
      </c>
      <c r="G99" s="38">
        <v>2136419.4700000002</v>
      </c>
      <c r="H99" s="38">
        <v>13399080</v>
      </c>
      <c r="I99" s="40">
        <v>22</v>
      </c>
      <c r="J99" s="34">
        <v>84</v>
      </c>
      <c r="K99" s="35" t="s">
        <v>107</v>
      </c>
      <c r="L99" s="41">
        <f t="shared" si="23"/>
        <v>0.53930436563470663</v>
      </c>
      <c r="M99" s="41">
        <f t="shared" si="24"/>
        <v>0.78698005039999996</v>
      </c>
      <c r="N99" s="41">
        <f t="shared" si="25"/>
        <v>0.38759522367264526</v>
      </c>
      <c r="O99" s="41">
        <f t="shared" si="26"/>
        <v>12.080779301071733</v>
      </c>
      <c r="P99" s="41">
        <f t="shared" si="27"/>
        <v>0.23337222870478413</v>
      </c>
      <c r="Q99" s="41">
        <f t="shared" si="28"/>
        <v>14.028031169483869</v>
      </c>
      <c r="R99" s="42">
        <f t="shared" si="29"/>
        <v>0.48372521270000002</v>
      </c>
      <c r="S99" s="2"/>
      <c r="T99" s="34">
        <v>84</v>
      </c>
      <c r="U99" s="35" t="s">
        <v>114</v>
      </c>
      <c r="V99" s="35">
        <v>0.3782959655</v>
      </c>
      <c r="W99" s="35">
        <v>0.38099159659999998</v>
      </c>
      <c r="X99" s="48">
        <v>0.71257199278800798</v>
      </c>
      <c r="Y99" s="34">
        <v>84</v>
      </c>
      <c r="Z99" s="35" t="s">
        <v>134</v>
      </c>
      <c r="AA99" s="36">
        <v>1736222.65</v>
      </c>
      <c r="AB99" s="38">
        <v>1838535.5</v>
      </c>
      <c r="AC99" s="40">
        <v>5.8928415661436198</v>
      </c>
      <c r="AD99" s="34">
        <v>84</v>
      </c>
      <c r="AE99" s="35" t="s">
        <v>114</v>
      </c>
      <c r="AF99" s="38">
        <v>9677738</v>
      </c>
      <c r="AG99" s="38">
        <v>10482658</v>
      </c>
      <c r="AH99" s="40">
        <v>8.3172328079144098</v>
      </c>
    </row>
    <row r="100" spans="1:34" x14ac:dyDescent="0.2">
      <c r="A100" s="34">
        <v>85</v>
      </c>
      <c r="B100" s="35" t="s">
        <v>124</v>
      </c>
      <c r="C100" s="36">
        <v>385</v>
      </c>
      <c r="D100" s="37">
        <f t="shared" si="21"/>
        <v>87.327272727299999</v>
      </c>
      <c r="E100" s="38">
        <v>33621</v>
      </c>
      <c r="F100" s="39">
        <f t="shared" si="22"/>
        <v>0.73336705589999995</v>
      </c>
      <c r="G100" s="38">
        <v>3733441.89</v>
      </c>
      <c r="H100" s="38">
        <v>18087764</v>
      </c>
      <c r="I100" s="40">
        <v>50</v>
      </c>
      <c r="J100" s="34">
        <v>85</v>
      </c>
      <c r="K100" s="35" t="s">
        <v>124</v>
      </c>
      <c r="L100" s="41">
        <f t="shared" si="23"/>
        <v>0.65706386319418364</v>
      </c>
      <c r="M100" s="41">
        <f t="shared" si="24"/>
        <v>0.74200640939999996</v>
      </c>
      <c r="N100" s="41">
        <f t="shared" si="25"/>
        <v>0.67733151880673204</v>
      </c>
      <c r="O100" s="41">
        <f t="shared" si="26"/>
        <v>16.308155853526547</v>
      </c>
      <c r="P100" s="41">
        <f t="shared" si="27"/>
        <v>0.53039142887450941</v>
      </c>
      <c r="Q100" s="41">
        <f t="shared" si="28"/>
        <v>18.914949073801971</v>
      </c>
      <c r="R100" s="42">
        <f t="shared" si="29"/>
        <v>0.65223962319999995</v>
      </c>
      <c r="S100" s="2"/>
      <c r="T100" s="34">
        <v>85</v>
      </c>
      <c r="U100" s="35" t="s">
        <v>145</v>
      </c>
      <c r="V100" s="35">
        <v>0.65373879329999995</v>
      </c>
      <c r="W100" s="35">
        <v>0.65875455140000005</v>
      </c>
      <c r="X100" s="48">
        <v>0.76724192466552599</v>
      </c>
      <c r="Y100" s="34">
        <v>85</v>
      </c>
      <c r="Z100" s="35" t="s">
        <v>123</v>
      </c>
      <c r="AA100" s="36">
        <v>1626342.85</v>
      </c>
      <c r="AB100" s="38">
        <v>1724180.31</v>
      </c>
      <c r="AC100" s="40">
        <v>6.01579550093021</v>
      </c>
      <c r="AD100" s="34">
        <v>85</v>
      </c>
      <c r="AE100" s="35" t="s">
        <v>110</v>
      </c>
      <c r="AF100" s="38">
        <v>49228394</v>
      </c>
      <c r="AG100" s="38">
        <v>53326553</v>
      </c>
      <c r="AH100" s="40">
        <v>8.3247871137132794</v>
      </c>
    </row>
    <row r="101" spans="1:34" x14ac:dyDescent="0.2">
      <c r="A101" s="34">
        <v>86</v>
      </c>
      <c r="B101" s="35" t="s">
        <v>129</v>
      </c>
      <c r="C101" s="36">
        <v>228</v>
      </c>
      <c r="D101" s="37">
        <f t="shared" si="21"/>
        <v>67.333333333300004</v>
      </c>
      <c r="E101" s="38">
        <v>15352</v>
      </c>
      <c r="F101" s="39">
        <f t="shared" si="22"/>
        <v>0.33486960650000003</v>
      </c>
      <c r="G101" s="38">
        <v>2242071.96</v>
      </c>
      <c r="H101" s="38">
        <v>10920086</v>
      </c>
      <c r="I101" s="40">
        <v>18</v>
      </c>
      <c r="J101" s="34">
        <v>86</v>
      </c>
      <c r="K101" s="35" t="s">
        <v>129</v>
      </c>
      <c r="L101" s="41">
        <f t="shared" si="23"/>
        <v>0.38911833976175031</v>
      </c>
      <c r="M101" s="41">
        <f t="shared" si="24"/>
        <v>0.57212098050000004</v>
      </c>
      <c r="N101" s="41">
        <f t="shared" si="25"/>
        <v>0.40676299529622151</v>
      </c>
      <c r="O101" s="41">
        <f t="shared" si="26"/>
        <v>9.8456870855852205</v>
      </c>
      <c r="P101" s="41">
        <f t="shared" si="27"/>
        <v>0.19094091439482339</v>
      </c>
      <c r="Q101" s="41">
        <f t="shared" si="28"/>
        <v>11.404630315538016</v>
      </c>
      <c r="R101" s="42">
        <f t="shared" si="29"/>
        <v>0.39326311429999999</v>
      </c>
      <c r="S101" s="2"/>
      <c r="T101" s="34">
        <v>86</v>
      </c>
      <c r="U101" s="35" t="s">
        <v>122</v>
      </c>
      <c r="V101" s="35">
        <v>0.37753873719999997</v>
      </c>
      <c r="W101" s="35">
        <v>0.38055393659999998</v>
      </c>
      <c r="X101" s="48">
        <v>0.79864636470474504</v>
      </c>
      <c r="Y101" s="34">
        <v>86</v>
      </c>
      <c r="Z101" s="35" t="s">
        <v>79</v>
      </c>
      <c r="AA101" s="36">
        <v>2279821.2999999998</v>
      </c>
      <c r="AB101" s="38">
        <v>2418305.4500000002</v>
      </c>
      <c r="AC101" s="40">
        <v>6.0743423179702498</v>
      </c>
      <c r="AD101" s="34">
        <v>86</v>
      </c>
      <c r="AE101" s="35" t="s">
        <v>145</v>
      </c>
      <c r="AF101" s="38">
        <v>16722903</v>
      </c>
      <c r="AG101" s="38">
        <v>18115064</v>
      </c>
      <c r="AH101" s="40">
        <v>8.3248763686544098</v>
      </c>
    </row>
    <row r="102" spans="1:34" x14ac:dyDescent="0.2">
      <c r="A102" s="34">
        <v>87</v>
      </c>
      <c r="B102" s="35" t="s">
        <v>154</v>
      </c>
      <c r="C102" s="36">
        <v>185</v>
      </c>
      <c r="D102" s="37">
        <f t="shared" si="21"/>
        <v>80.1027027027</v>
      </c>
      <c r="E102" s="38">
        <v>14819</v>
      </c>
      <c r="F102" s="39">
        <f t="shared" si="22"/>
        <v>0.32324340150000003</v>
      </c>
      <c r="G102" s="38">
        <v>1512471.19</v>
      </c>
      <c r="H102" s="38">
        <v>9819184</v>
      </c>
      <c r="I102" s="40">
        <v>23</v>
      </c>
      <c r="J102" s="34">
        <v>87</v>
      </c>
      <c r="K102" s="35" t="s">
        <v>154</v>
      </c>
      <c r="L102" s="41">
        <f t="shared" si="23"/>
        <v>0.31573198621019216</v>
      </c>
      <c r="M102" s="41">
        <f t="shared" si="24"/>
        <v>0.68062034869999999</v>
      </c>
      <c r="N102" s="41">
        <f t="shared" si="25"/>
        <v>0.27439677339510571</v>
      </c>
      <c r="O102" s="41">
        <f t="shared" si="26"/>
        <v>8.8530999755665878</v>
      </c>
      <c r="P102" s="41">
        <f t="shared" si="27"/>
        <v>0.24398005728227432</v>
      </c>
      <c r="Q102" s="41">
        <f t="shared" si="28"/>
        <v>10.367829141154159</v>
      </c>
      <c r="R102" s="42">
        <f t="shared" si="29"/>
        <v>0.35751134969999998</v>
      </c>
      <c r="S102" s="2"/>
      <c r="T102" s="34">
        <v>87</v>
      </c>
      <c r="U102" s="35" t="s">
        <v>149</v>
      </c>
      <c r="V102" s="35">
        <v>2.6332962692000002</v>
      </c>
      <c r="W102" s="35">
        <v>2.6551263162000001</v>
      </c>
      <c r="X102" s="48">
        <v>0.82900079475796795</v>
      </c>
      <c r="Y102" s="34">
        <v>87</v>
      </c>
      <c r="Z102" s="35" t="s">
        <v>95</v>
      </c>
      <c r="AA102" s="36">
        <v>1330937.23</v>
      </c>
      <c r="AB102" s="38">
        <v>1412969.27</v>
      </c>
      <c r="AC102" s="40">
        <v>6.16347924988166</v>
      </c>
      <c r="AD102" s="34">
        <v>87</v>
      </c>
      <c r="AE102" s="35" t="s">
        <v>122</v>
      </c>
      <c r="AF102" s="38">
        <v>9654051</v>
      </c>
      <c r="AG102" s="38">
        <v>10461467</v>
      </c>
      <c r="AH102" s="40">
        <v>8.3634942471300402</v>
      </c>
    </row>
    <row r="103" spans="1:34" x14ac:dyDescent="0.2">
      <c r="A103" s="34">
        <v>88</v>
      </c>
      <c r="B103" s="35" t="s">
        <v>99</v>
      </c>
      <c r="C103" s="36">
        <v>256</v>
      </c>
      <c r="D103" s="37">
        <f t="shared" si="21"/>
        <v>411.71875</v>
      </c>
      <c r="E103" s="38">
        <v>105400</v>
      </c>
      <c r="F103" s="39">
        <f t="shared" si="22"/>
        <v>2.2990656936999998</v>
      </c>
      <c r="G103" s="38">
        <v>9169802.5600000005</v>
      </c>
      <c r="H103" s="38">
        <v>37475209</v>
      </c>
      <c r="I103" s="40">
        <v>100</v>
      </c>
      <c r="J103" s="34">
        <v>88</v>
      </c>
      <c r="K103" s="35" t="s">
        <v>99</v>
      </c>
      <c r="L103" s="41">
        <f t="shared" si="23"/>
        <v>0.43690480253950914</v>
      </c>
      <c r="M103" s="41">
        <f t="shared" si="24"/>
        <v>3.4983109151999998</v>
      </c>
      <c r="N103" s="41">
        <f t="shared" si="25"/>
        <v>1.6636113479518118</v>
      </c>
      <c r="O103" s="41">
        <f t="shared" si="26"/>
        <v>33.788120467266197</v>
      </c>
      <c r="P103" s="41">
        <f t="shared" si="27"/>
        <v>1.0607828577490188</v>
      </c>
      <c r="Q103" s="41">
        <f t="shared" si="28"/>
        <v>40.447730390706539</v>
      </c>
      <c r="R103" s="42">
        <f t="shared" si="29"/>
        <v>1.3947493237999999</v>
      </c>
      <c r="S103" s="2"/>
      <c r="T103" s="34">
        <v>88</v>
      </c>
      <c r="U103" s="35" t="s">
        <v>134</v>
      </c>
      <c r="V103" s="35">
        <v>0.48581270840000002</v>
      </c>
      <c r="W103" s="35">
        <v>0.48984943520000002</v>
      </c>
      <c r="X103" s="48">
        <v>0.83092243784539099</v>
      </c>
      <c r="Y103" s="34">
        <v>88</v>
      </c>
      <c r="Z103" s="35" t="s">
        <v>63</v>
      </c>
      <c r="AA103" s="36">
        <v>7088854.5800000001</v>
      </c>
      <c r="AB103" s="38">
        <v>7530607.5300000003</v>
      </c>
      <c r="AC103" s="40">
        <v>6.2316548465577197</v>
      </c>
      <c r="AD103" s="34">
        <v>88</v>
      </c>
      <c r="AE103" s="35" t="s">
        <v>134</v>
      </c>
      <c r="AF103" s="38">
        <v>12417077</v>
      </c>
      <c r="AG103" s="38">
        <v>13461061</v>
      </c>
      <c r="AH103" s="40">
        <v>8.4076469848741393</v>
      </c>
    </row>
    <row r="104" spans="1:34" x14ac:dyDescent="0.2">
      <c r="A104" s="34">
        <v>89</v>
      </c>
      <c r="B104" s="35" t="s">
        <v>55</v>
      </c>
      <c r="C104" s="36">
        <v>798</v>
      </c>
      <c r="D104" s="37">
        <f t="shared" si="21"/>
        <v>29.877192982499999</v>
      </c>
      <c r="E104" s="38">
        <v>23842</v>
      </c>
      <c r="F104" s="39">
        <f t="shared" si="22"/>
        <v>0.52006000259999996</v>
      </c>
      <c r="G104" s="38">
        <v>2460115.65</v>
      </c>
      <c r="H104" s="38">
        <v>25638898</v>
      </c>
      <c r="I104" s="40">
        <v>81</v>
      </c>
      <c r="J104" s="34">
        <v>89</v>
      </c>
      <c r="K104" s="35" t="s">
        <v>55</v>
      </c>
      <c r="L104" s="41">
        <f t="shared" si="23"/>
        <v>1.3619141891661262</v>
      </c>
      <c r="M104" s="41">
        <f t="shared" si="24"/>
        <v>0.25386191499999999</v>
      </c>
      <c r="N104" s="41">
        <f t="shared" si="25"/>
        <v>0.44632109424762217</v>
      </c>
      <c r="O104" s="41">
        <f t="shared" si="26"/>
        <v>23.11635338102985</v>
      </c>
      <c r="P104" s="41">
        <f t="shared" si="27"/>
        <v>0.85923411477670519</v>
      </c>
      <c r="Q104" s="41">
        <f t="shared" si="28"/>
        <v>26.037684694220303</v>
      </c>
      <c r="R104" s="42">
        <f t="shared" si="29"/>
        <v>0.8978511964</v>
      </c>
      <c r="S104" s="2"/>
      <c r="T104" s="34">
        <v>89</v>
      </c>
      <c r="U104" s="35" t="s">
        <v>89</v>
      </c>
      <c r="V104" s="35">
        <v>0.58441518029999995</v>
      </c>
      <c r="W104" s="35">
        <v>0.58933563850000004</v>
      </c>
      <c r="X104" s="48">
        <v>0.84194565197198501</v>
      </c>
      <c r="Y104" s="34">
        <v>89</v>
      </c>
      <c r="Z104" s="35" t="s">
        <v>151</v>
      </c>
      <c r="AA104" s="36">
        <v>1654450.34</v>
      </c>
      <c r="AB104" s="38">
        <v>1760267.95</v>
      </c>
      <c r="AC104" s="40">
        <v>6.3959375172300303</v>
      </c>
      <c r="AD104" s="34">
        <v>89</v>
      </c>
      <c r="AE104" s="35" t="s">
        <v>154</v>
      </c>
      <c r="AF104" s="38">
        <v>9054971</v>
      </c>
      <c r="AG104" s="38">
        <v>9819184</v>
      </c>
      <c r="AH104" s="40">
        <v>8.4397067643838906</v>
      </c>
    </row>
    <row r="105" spans="1:34" x14ac:dyDescent="0.2">
      <c r="A105" s="34">
        <v>90</v>
      </c>
      <c r="B105" s="35" t="s">
        <v>147</v>
      </c>
      <c r="C105" s="36">
        <v>190</v>
      </c>
      <c r="D105" s="37">
        <f t="shared" si="21"/>
        <v>79</v>
      </c>
      <c r="E105" s="38">
        <v>15010</v>
      </c>
      <c r="F105" s="39">
        <f t="shared" si="22"/>
        <v>0.32740964010000001</v>
      </c>
      <c r="G105" s="38">
        <v>1521286.47</v>
      </c>
      <c r="H105" s="38">
        <v>9196265</v>
      </c>
      <c r="I105" s="40">
        <v>14</v>
      </c>
      <c r="J105" s="34">
        <v>90</v>
      </c>
      <c r="K105" s="35" t="s">
        <v>147</v>
      </c>
      <c r="L105" s="41">
        <f t="shared" si="23"/>
        <v>0.32426528313479192</v>
      </c>
      <c r="M105" s="41">
        <f t="shared" si="24"/>
        <v>0.67125085340000001</v>
      </c>
      <c r="N105" s="41">
        <f t="shared" si="25"/>
        <v>0.27599606626399958</v>
      </c>
      <c r="O105" s="41">
        <f t="shared" si="26"/>
        <v>8.2914683589597526</v>
      </c>
      <c r="P105" s="41">
        <f t="shared" si="27"/>
        <v>0.14850960008486264</v>
      </c>
      <c r="Q105" s="41">
        <f t="shared" si="28"/>
        <v>9.7114901618434057</v>
      </c>
      <c r="R105" s="42">
        <f t="shared" si="29"/>
        <v>0.33487897109999998</v>
      </c>
      <c r="S105" s="2"/>
      <c r="T105" s="34">
        <v>90</v>
      </c>
      <c r="U105" s="35" t="s">
        <v>117</v>
      </c>
      <c r="V105" s="35">
        <v>3.3715841296</v>
      </c>
      <c r="W105" s="35">
        <v>3.4002379162</v>
      </c>
      <c r="X105" s="48">
        <v>0.84986123728727803</v>
      </c>
      <c r="Y105" s="34">
        <v>90</v>
      </c>
      <c r="Z105" s="35" t="s">
        <v>82</v>
      </c>
      <c r="AA105" s="36">
        <v>744990.5</v>
      </c>
      <c r="AB105" s="38">
        <v>794506.82</v>
      </c>
      <c r="AC105" s="40">
        <v>6.6465706609681199</v>
      </c>
      <c r="AD105" s="34">
        <v>90</v>
      </c>
      <c r="AE105" s="35" t="s">
        <v>62</v>
      </c>
      <c r="AF105" s="38">
        <v>22853840</v>
      </c>
      <c r="AG105" s="38">
        <v>24787981</v>
      </c>
      <c r="AH105" s="40">
        <v>8.4630897914748697</v>
      </c>
    </row>
    <row r="106" spans="1:34" x14ac:dyDescent="0.2">
      <c r="A106" s="34">
        <v>91</v>
      </c>
      <c r="B106" s="35" t="s">
        <v>151</v>
      </c>
      <c r="C106" s="36">
        <v>173</v>
      </c>
      <c r="D106" s="37">
        <f t="shared" si="21"/>
        <v>84</v>
      </c>
      <c r="E106" s="38">
        <v>14532</v>
      </c>
      <c r="F106" s="39">
        <f t="shared" si="22"/>
        <v>0.31698313719999999</v>
      </c>
      <c r="G106" s="38">
        <v>1760267.95</v>
      </c>
      <c r="H106" s="38">
        <v>10428888</v>
      </c>
      <c r="I106" s="40">
        <v>24</v>
      </c>
      <c r="J106" s="34">
        <v>91</v>
      </c>
      <c r="K106" s="35" t="s">
        <v>151</v>
      </c>
      <c r="L106" s="41">
        <f t="shared" si="23"/>
        <v>0.29525207359115263</v>
      </c>
      <c r="M106" s="41">
        <f t="shared" si="24"/>
        <v>0.71373508460000001</v>
      </c>
      <c r="N106" s="41">
        <f t="shared" si="25"/>
        <v>0.31935275791323819</v>
      </c>
      <c r="O106" s="41">
        <f t="shared" si="26"/>
        <v>9.4028167817189985</v>
      </c>
      <c r="P106" s="41">
        <f t="shared" si="27"/>
        <v>0.2545878858597645</v>
      </c>
      <c r="Q106" s="41">
        <f t="shared" si="28"/>
        <v>10.985744583683154</v>
      </c>
      <c r="R106" s="42">
        <f t="shared" si="29"/>
        <v>0.37881877870000003</v>
      </c>
      <c r="S106" s="2"/>
      <c r="T106" s="34">
        <v>91</v>
      </c>
      <c r="U106" s="35" t="s">
        <v>74</v>
      </c>
      <c r="V106" s="35">
        <v>0.6512390079</v>
      </c>
      <c r="W106" s="35">
        <v>0.65679179519999997</v>
      </c>
      <c r="X106" s="48">
        <v>0.85264967740578301</v>
      </c>
      <c r="Y106" s="34">
        <v>91</v>
      </c>
      <c r="Z106" s="35" t="s">
        <v>94</v>
      </c>
      <c r="AA106" s="36">
        <v>874086.89</v>
      </c>
      <c r="AB106" s="38">
        <v>932360.62</v>
      </c>
      <c r="AC106" s="40">
        <v>6.66681203741655</v>
      </c>
      <c r="AD106" s="34">
        <v>91</v>
      </c>
      <c r="AE106" s="35" t="s">
        <v>147</v>
      </c>
      <c r="AF106" s="38">
        <v>8476329</v>
      </c>
      <c r="AG106" s="38">
        <v>9196265</v>
      </c>
      <c r="AH106" s="40">
        <v>8.4934881597918199</v>
      </c>
    </row>
    <row r="107" spans="1:34" x14ac:dyDescent="0.2">
      <c r="A107" s="34">
        <v>92</v>
      </c>
      <c r="B107" s="35" t="s">
        <v>56</v>
      </c>
      <c r="C107" s="36">
        <v>1493</v>
      </c>
      <c r="D107" s="37">
        <f t="shared" si="21"/>
        <v>9.1969189550999992</v>
      </c>
      <c r="E107" s="38">
        <v>13731</v>
      </c>
      <c r="F107" s="39">
        <f t="shared" si="22"/>
        <v>0.2995111104</v>
      </c>
      <c r="G107" s="38">
        <v>35315.449999999997</v>
      </c>
      <c r="H107" s="38">
        <v>42004207</v>
      </c>
      <c r="I107" s="40">
        <v>209</v>
      </c>
      <c r="J107" s="34">
        <v>92</v>
      </c>
      <c r="K107" s="35" t="s">
        <v>56</v>
      </c>
      <c r="L107" s="41">
        <f t="shared" si="23"/>
        <v>2.5480424616854966</v>
      </c>
      <c r="M107" s="41">
        <f t="shared" si="24"/>
        <v>7.8144806299999994E-2</v>
      </c>
      <c r="N107" s="41">
        <f t="shared" si="25"/>
        <v>6.4070281768449332E-3</v>
      </c>
      <c r="O107" s="41">
        <f t="shared" si="26"/>
        <v>37.87152211073689</v>
      </c>
      <c r="P107" s="41">
        <f t="shared" si="27"/>
        <v>2.2170361726954493</v>
      </c>
      <c r="Q107" s="41">
        <f t="shared" si="28"/>
        <v>42.72115257959468</v>
      </c>
      <c r="R107" s="42">
        <f t="shared" si="29"/>
        <v>1.4731431924</v>
      </c>
      <c r="S107" s="2"/>
      <c r="T107" s="34">
        <v>92</v>
      </c>
      <c r="U107" s="35" t="s">
        <v>154</v>
      </c>
      <c r="V107" s="35">
        <v>0.35438289160000003</v>
      </c>
      <c r="W107" s="35">
        <v>0.35751134969999998</v>
      </c>
      <c r="X107" s="48">
        <v>0.88279038693863199</v>
      </c>
      <c r="Y107" s="34">
        <v>92</v>
      </c>
      <c r="Z107" s="35" t="s">
        <v>154</v>
      </c>
      <c r="AA107" s="36">
        <v>1417585.86</v>
      </c>
      <c r="AB107" s="38">
        <v>1512471.19</v>
      </c>
      <c r="AC107" s="40">
        <v>6.6934450093908602</v>
      </c>
      <c r="AD107" s="34">
        <v>92</v>
      </c>
      <c r="AE107" s="35" t="s">
        <v>146</v>
      </c>
      <c r="AF107" s="38">
        <v>24982203</v>
      </c>
      <c r="AG107" s="38">
        <v>27107295</v>
      </c>
      <c r="AH107" s="40">
        <v>8.5064235527987702</v>
      </c>
    </row>
    <row r="108" spans="1:34" x14ac:dyDescent="0.2">
      <c r="A108" s="34">
        <v>93</v>
      </c>
      <c r="B108" s="35" t="s">
        <v>155</v>
      </c>
      <c r="C108" s="36">
        <v>197</v>
      </c>
      <c r="D108" s="37">
        <f t="shared" si="21"/>
        <v>141.05583756350001</v>
      </c>
      <c r="E108" s="38">
        <v>27788</v>
      </c>
      <c r="F108" s="39">
        <f t="shared" si="22"/>
        <v>0.60613318309999997</v>
      </c>
      <c r="G108" s="38">
        <v>2400485.8199999998</v>
      </c>
      <c r="H108" s="38">
        <v>16880338</v>
      </c>
      <c r="I108" s="40">
        <v>64</v>
      </c>
      <c r="J108" s="34">
        <v>93</v>
      </c>
      <c r="K108" s="35" t="s">
        <v>155</v>
      </c>
      <c r="L108" s="41">
        <f t="shared" si="23"/>
        <v>0.33621189882923164</v>
      </c>
      <c r="M108" s="41">
        <f t="shared" si="24"/>
        <v>1.1985297638000001</v>
      </c>
      <c r="N108" s="41">
        <f t="shared" si="25"/>
        <v>0.43550288292678457</v>
      </c>
      <c r="O108" s="41">
        <f t="shared" si="26"/>
        <v>15.21952536334544</v>
      </c>
      <c r="P108" s="41">
        <f t="shared" si="27"/>
        <v>0.6789010289593721</v>
      </c>
      <c r="Q108" s="41">
        <f t="shared" si="28"/>
        <v>17.868670937860831</v>
      </c>
      <c r="R108" s="42">
        <f t="shared" si="29"/>
        <v>0.61616106680000005</v>
      </c>
      <c r="S108" s="2"/>
      <c r="T108" s="34">
        <v>93</v>
      </c>
      <c r="U108" s="35" t="s">
        <v>54</v>
      </c>
      <c r="V108" s="35">
        <v>0.40017377520000003</v>
      </c>
      <c r="W108" s="35">
        <v>0.40371901100000002</v>
      </c>
      <c r="X108" s="48">
        <v>0.88592407091847603</v>
      </c>
      <c r="Y108" s="34">
        <v>93</v>
      </c>
      <c r="Z108" s="38" t="s">
        <v>77</v>
      </c>
      <c r="AA108" s="36">
        <v>2157793.7999999998</v>
      </c>
      <c r="AB108" s="38">
        <v>2304168.46</v>
      </c>
      <c r="AC108" s="40">
        <v>6.7835332551238299</v>
      </c>
      <c r="AD108" s="34">
        <v>93</v>
      </c>
      <c r="AE108" s="35" t="s">
        <v>152</v>
      </c>
      <c r="AF108" s="38">
        <v>32170636</v>
      </c>
      <c r="AG108" s="38">
        <v>34918861</v>
      </c>
      <c r="AH108" s="40">
        <v>8.5426505089921108</v>
      </c>
    </row>
    <row r="109" spans="1:34" x14ac:dyDescent="0.2">
      <c r="A109" s="34">
        <v>94</v>
      </c>
      <c r="B109" s="35" t="s">
        <v>76</v>
      </c>
      <c r="C109" s="36">
        <v>204</v>
      </c>
      <c r="D109" s="37">
        <f t="shared" si="21"/>
        <v>30.401960784300002</v>
      </c>
      <c r="E109" s="38">
        <v>6202</v>
      </c>
      <c r="F109" s="39">
        <f t="shared" si="22"/>
        <v>0.13528278399999999</v>
      </c>
      <c r="G109" s="38">
        <v>1035275.35</v>
      </c>
      <c r="H109" s="38">
        <v>8145537</v>
      </c>
      <c r="I109" s="40">
        <v>25</v>
      </c>
      <c r="J109" s="34">
        <v>94</v>
      </c>
      <c r="K109" s="35" t="s">
        <v>76</v>
      </c>
      <c r="L109" s="41">
        <f t="shared" si="23"/>
        <v>0.34815851452367136</v>
      </c>
      <c r="M109" s="41">
        <f t="shared" si="24"/>
        <v>0.25832078629999999</v>
      </c>
      <c r="N109" s="41">
        <f t="shared" si="25"/>
        <v>0.18782256316266677</v>
      </c>
      <c r="O109" s="41">
        <f t="shared" si="26"/>
        <v>7.3441187593263084</v>
      </c>
      <c r="P109" s="41">
        <f t="shared" si="27"/>
        <v>0.2651957144372547</v>
      </c>
      <c r="Q109" s="41">
        <f t="shared" si="28"/>
        <v>8.4036163377499005</v>
      </c>
      <c r="R109" s="42">
        <f t="shared" si="29"/>
        <v>0.28977987370000002</v>
      </c>
      <c r="S109" s="2"/>
      <c r="T109" s="34">
        <v>94</v>
      </c>
      <c r="U109" s="35" t="s">
        <v>147</v>
      </c>
      <c r="V109" s="35">
        <v>0.33191829210000001</v>
      </c>
      <c r="W109" s="35">
        <v>0.33487897109999998</v>
      </c>
      <c r="X109" s="48">
        <v>0.89199030920175204</v>
      </c>
      <c r="Y109" s="34">
        <v>94</v>
      </c>
      <c r="Z109" s="35" t="s">
        <v>101</v>
      </c>
      <c r="AA109" s="36">
        <v>2477185.96</v>
      </c>
      <c r="AB109" s="38">
        <v>2646712.65</v>
      </c>
      <c r="AC109" s="40">
        <v>6.8435189258056299</v>
      </c>
      <c r="AD109" s="34">
        <v>94</v>
      </c>
      <c r="AE109" s="35" t="s">
        <v>138</v>
      </c>
      <c r="AF109" s="38">
        <v>20723038</v>
      </c>
      <c r="AG109" s="38">
        <v>22496553</v>
      </c>
      <c r="AH109" s="40">
        <v>8.5581805138802505</v>
      </c>
    </row>
    <row r="110" spans="1:34" x14ac:dyDescent="0.2">
      <c r="A110" s="34">
        <v>95</v>
      </c>
      <c r="B110" s="35" t="s">
        <v>100</v>
      </c>
      <c r="C110" s="36">
        <v>506</v>
      </c>
      <c r="D110" s="37">
        <f t="shared" si="21"/>
        <v>23.703557312299999</v>
      </c>
      <c r="E110" s="38">
        <v>11994</v>
      </c>
      <c r="F110" s="39">
        <f t="shared" si="22"/>
        <v>0.26162233330000001</v>
      </c>
      <c r="G110" s="38">
        <v>1817019.69</v>
      </c>
      <c r="H110" s="38">
        <v>13963665</v>
      </c>
      <c r="I110" s="40">
        <v>52</v>
      </c>
      <c r="J110" s="34">
        <v>95</v>
      </c>
      <c r="K110" s="35" t="s">
        <v>100</v>
      </c>
      <c r="L110" s="41">
        <f t="shared" si="23"/>
        <v>0.86356964876949849</v>
      </c>
      <c r="M110" s="41">
        <f t="shared" si="24"/>
        <v>0.201405482</v>
      </c>
      <c r="N110" s="41">
        <f t="shared" si="25"/>
        <v>0.32964881805872631</v>
      </c>
      <c r="O110" s="41">
        <f t="shared" si="26"/>
        <v>12.589816248511079</v>
      </c>
      <c r="P110" s="41">
        <f t="shared" si="27"/>
        <v>0.55160708602948982</v>
      </c>
      <c r="Q110" s="41">
        <f t="shared" si="28"/>
        <v>14.536047283368793</v>
      </c>
      <c r="R110" s="42">
        <f t="shared" si="29"/>
        <v>0.50124300980000003</v>
      </c>
      <c r="S110" s="2"/>
      <c r="T110" s="34">
        <v>95</v>
      </c>
      <c r="U110" s="35" t="s">
        <v>138</v>
      </c>
      <c r="V110" s="35">
        <v>0.81200215129999997</v>
      </c>
      <c r="W110" s="35">
        <v>0.8195070686</v>
      </c>
      <c r="X110" s="48">
        <v>0.92424845032550695</v>
      </c>
      <c r="Y110" s="34">
        <v>95</v>
      </c>
      <c r="Z110" s="35" t="s">
        <v>97</v>
      </c>
      <c r="AA110" s="36">
        <v>2507368.16</v>
      </c>
      <c r="AB110" s="38">
        <v>2689283.04</v>
      </c>
      <c r="AC110" s="40">
        <v>7.2552121743461999</v>
      </c>
      <c r="AD110" s="34">
        <v>95</v>
      </c>
      <c r="AE110" s="35" t="s">
        <v>117</v>
      </c>
      <c r="AF110" s="38">
        <v>86040197</v>
      </c>
      <c r="AG110" s="38">
        <v>93407689</v>
      </c>
      <c r="AH110" s="40">
        <v>8.5628488275079206</v>
      </c>
    </row>
    <row r="111" spans="1:34" x14ac:dyDescent="0.2">
      <c r="A111" s="34">
        <v>96</v>
      </c>
      <c r="B111" s="35" t="s">
        <v>78</v>
      </c>
      <c r="C111" s="36">
        <v>2063</v>
      </c>
      <c r="D111" s="37">
        <f t="shared" si="21"/>
        <v>3.3674260784999999</v>
      </c>
      <c r="E111" s="38">
        <v>6947</v>
      </c>
      <c r="F111" s="39">
        <f t="shared" si="22"/>
        <v>0.1515332958</v>
      </c>
      <c r="G111" s="38">
        <v>739745.09</v>
      </c>
      <c r="H111" s="38">
        <v>35283592</v>
      </c>
      <c r="I111" s="40">
        <v>185</v>
      </c>
      <c r="J111" s="34">
        <v>96</v>
      </c>
      <c r="K111" s="35" t="s">
        <v>78</v>
      </c>
      <c r="L111" s="41">
        <f t="shared" si="23"/>
        <v>3.5208383110898724</v>
      </c>
      <c r="M111" s="41">
        <f t="shared" si="24"/>
        <v>2.86125016E-2</v>
      </c>
      <c r="N111" s="41">
        <f t="shared" si="25"/>
        <v>0.13420663294146587</v>
      </c>
      <c r="O111" s="41">
        <f t="shared" si="26"/>
        <v>31.812130974743059</v>
      </c>
      <c r="P111" s="41">
        <f t="shared" si="27"/>
        <v>1.9624482868356847</v>
      </c>
      <c r="Q111" s="41">
        <f t="shared" si="28"/>
        <v>37.458236707210084</v>
      </c>
      <c r="R111" s="42">
        <f t="shared" si="29"/>
        <v>1.2916633346999999</v>
      </c>
      <c r="S111" s="2"/>
      <c r="T111" s="34">
        <v>96</v>
      </c>
      <c r="U111" s="35" t="s">
        <v>146</v>
      </c>
      <c r="V111" s="35">
        <v>0.97839430969999996</v>
      </c>
      <c r="W111" s="35">
        <v>0.98766094599999998</v>
      </c>
      <c r="X111" s="48">
        <v>0.94712696181168499</v>
      </c>
      <c r="Y111" s="34">
        <v>96</v>
      </c>
      <c r="Z111" s="35" t="s">
        <v>155</v>
      </c>
      <c r="AA111" s="36">
        <v>2235813.75</v>
      </c>
      <c r="AB111" s="38">
        <v>2400485.8199999998</v>
      </c>
      <c r="AC111" s="40">
        <v>7.3651962288898298</v>
      </c>
      <c r="AD111" s="34">
        <v>96</v>
      </c>
      <c r="AE111" s="35" t="s">
        <v>89</v>
      </c>
      <c r="AF111" s="38">
        <v>14911778</v>
      </c>
      <c r="AG111" s="38">
        <v>16191051</v>
      </c>
      <c r="AH111" s="40">
        <v>8.5789434365238009</v>
      </c>
    </row>
    <row r="112" spans="1:34" x14ac:dyDescent="0.2">
      <c r="A112" s="34">
        <v>97</v>
      </c>
      <c r="B112" s="35" t="s">
        <v>130</v>
      </c>
      <c r="C112" s="36">
        <v>1546</v>
      </c>
      <c r="D112" s="37">
        <f t="shared" ref="D112:D128" si="30">ROUND(E112/C112,10)</f>
        <v>20.6009055627</v>
      </c>
      <c r="E112" s="38">
        <v>31849</v>
      </c>
      <c r="F112" s="39">
        <f t="shared" ref="F112:F128" si="31">ROUND(E112/$E$15%,10)</f>
        <v>0.69471483190000005</v>
      </c>
      <c r="G112" s="38">
        <v>2886491</v>
      </c>
      <c r="H112" s="38">
        <v>45110355</v>
      </c>
      <c r="I112" s="40">
        <v>296</v>
      </c>
      <c r="J112" s="34">
        <v>97</v>
      </c>
      <c r="K112" s="35" t="s">
        <v>130</v>
      </c>
      <c r="L112" s="41">
        <f t="shared" ref="L112:L128" si="32">C112/$C$15%</f>
        <v>2.6384954090862545</v>
      </c>
      <c r="M112" s="41">
        <f t="shared" ref="M112:M128" si="33">ROUND(D112/$D$15%,10)</f>
        <v>0.17504272709999999</v>
      </c>
      <c r="N112" s="41">
        <f t="shared" ref="N112:N128" si="34">G112/$G$15%</f>
        <v>0.52367530837662579</v>
      </c>
      <c r="O112" s="41">
        <f t="shared" ref="O112:O128" si="35">(H112/$H$15%)*25</f>
        <v>40.672064272173742</v>
      </c>
      <c r="P112" s="41">
        <f t="shared" ref="P112:P128" si="36">I112/$I$15%</f>
        <v>3.1399172589370958</v>
      </c>
      <c r="Q112" s="41">
        <f t="shared" ref="Q112:Q128" si="37">SUM(L112:P112)</f>
        <v>47.149194975673716</v>
      </c>
      <c r="R112" s="42">
        <f t="shared" si="29"/>
        <v>1.6258343095000001</v>
      </c>
      <c r="S112" s="2"/>
      <c r="T112" s="34">
        <v>97</v>
      </c>
      <c r="U112" s="35" t="s">
        <v>62</v>
      </c>
      <c r="V112" s="35">
        <v>0.89464453600000005</v>
      </c>
      <c r="W112" s="35">
        <v>0.90315473280000003</v>
      </c>
      <c r="X112" s="48">
        <v>0.95123777741375204</v>
      </c>
      <c r="Y112" s="34">
        <v>97</v>
      </c>
      <c r="Z112" s="35" t="s">
        <v>144</v>
      </c>
      <c r="AA112" s="36">
        <v>3468964.04</v>
      </c>
      <c r="AB112" s="38">
        <v>3728579.21</v>
      </c>
      <c r="AC112" s="40">
        <v>7.4839394991249302</v>
      </c>
      <c r="AD112" s="34">
        <v>97</v>
      </c>
      <c r="AE112" s="35" t="s">
        <v>148</v>
      </c>
      <c r="AF112" s="38">
        <v>44793489</v>
      </c>
      <c r="AG112" s="38">
        <v>48663172</v>
      </c>
      <c r="AH112" s="40">
        <v>8.6389408067766293</v>
      </c>
    </row>
    <row r="113" spans="1:34" x14ac:dyDescent="0.2">
      <c r="A113" s="34">
        <v>98</v>
      </c>
      <c r="B113" s="35" t="s">
        <v>128</v>
      </c>
      <c r="C113" s="36">
        <v>243</v>
      </c>
      <c r="D113" s="37">
        <f t="shared" si="30"/>
        <v>112.63786008229999</v>
      </c>
      <c r="E113" s="38">
        <v>27371</v>
      </c>
      <c r="F113" s="39">
        <f t="shared" si="31"/>
        <v>0.59703725900000004</v>
      </c>
      <c r="G113" s="38">
        <v>2207064.69</v>
      </c>
      <c r="H113" s="38">
        <v>17394067</v>
      </c>
      <c r="I113" s="40">
        <v>79</v>
      </c>
      <c r="J113" s="34">
        <v>98</v>
      </c>
      <c r="K113" s="35" t="s">
        <v>128</v>
      </c>
      <c r="L113" s="41">
        <f t="shared" si="32"/>
        <v>0.41471823053554968</v>
      </c>
      <c r="M113" s="41">
        <f t="shared" si="33"/>
        <v>0.95706657849999999</v>
      </c>
      <c r="N113" s="41">
        <f t="shared" si="34"/>
        <v>0.40041187800097489</v>
      </c>
      <c r="O113" s="41">
        <f t="shared" si="35"/>
        <v>15.682709900609213</v>
      </c>
      <c r="P113" s="41">
        <f t="shared" si="36"/>
        <v>0.83801845762172489</v>
      </c>
      <c r="Q113" s="41">
        <f t="shared" si="37"/>
        <v>18.292925045267463</v>
      </c>
      <c r="R113" s="42">
        <f t="shared" si="29"/>
        <v>0.63079051880000003</v>
      </c>
      <c r="S113" s="2"/>
      <c r="T113" s="34">
        <v>98</v>
      </c>
      <c r="U113" s="35" t="s">
        <v>69</v>
      </c>
      <c r="V113" s="35">
        <v>1.1191855385</v>
      </c>
      <c r="W113" s="35">
        <v>1.1303472116</v>
      </c>
      <c r="X113" s="48">
        <v>0.99730319201224504</v>
      </c>
      <c r="Y113" s="34">
        <v>98</v>
      </c>
      <c r="Z113" s="35" t="s">
        <v>152</v>
      </c>
      <c r="AA113" s="36">
        <v>6864434.2300000004</v>
      </c>
      <c r="AB113" s="38">
        <v>7407804.9699999997</v>
      </c>
      <c r="AC113" s="40">
        <v>7.9157396195199796</v>
      </c>
      <c r="AD113" s="34">
        <v>98</v>
      </c>
      <c r="AE113" s="35" t="s">
        <v>137</v>
      </c>
      <c r="AF113" s="38">
        <v>10359457</v>
      </c>
      <c r="AG113" s="38">
        <v>11259200</v>
      </c>
      <c r="AH113" s="40">
        <v>8.6852332125129692</v>
      </c>
    </row>
    <row r="114" spans="1:34" x14ac:dyDescent="0.2">
      <c r="A114" s="34">
        <v>99</v>
      </c>
      <c r="B114" s="35" t="s">
        <v>139</v>
      </c>
      <c r="C114" s="36">
        <v>1018</v>
      </c>
      <c r="D114" s="37">
        <f t="shared" si="30"/>
        <v>15.1110019646</v>
      </c>
      <c r="E114" s="38">
        <v>15383</v>
      </c>
      <c r="F114" s="39">
        <f t="shared" si="31"/>
        <v>0.33554580229999997</v>
      </c>
      <c r="G114" s="38">
        <v>857369.88</v>
      </c>
      <c r="H114" s="38">
        <v>27849516</v>
      </c>
      <c r="I114" s="40">
        <v>193</v>
      </c>
      <c r="J114" s="34">
        <v>99</v>
      </c>
      <c r="K114" s="35" t="s">
        <v>139</v>
      </c>
      <c r="L114" s="41">
        <f t="shared" si="32"/>
        <v>1.7373792538485167</v>
      </c>
      <c r="M114" s="41">
        <f t="shared" si="33"/>
        <v>0.1283958603</v>
      </c>
      <c r="N114" s="41">
        <f t="shared" si="34"/>
        <v>0.15554645287369012</v>
      </c>
      <c r="O114" s="41">
        <f t="shared" si="35"/>
        <v>25.109474414487114</v>
      </c>
      <c r="P114" s="41">
        <f t="shared" si="36"/>
        <v>2.0473109154556064</v>
      </c>
      <c r="Q114" s="41">
        <f t="shared" si="37"/>
        <v>29.178106896964927</v>
      </c>
      <c r="R114" s="42">
        <f t="shared" si="29"/>
        <v>1.0061416170999999</v>
      </c>
      <c r="S114" s="2"/>
      <c r="T114" s="34">
        <v>99</v>
      </c>
      <c r="U114" s="35" t="s">
        <v>137</v>
      </c>
      <c r="V114" s="35">
        <v>0.40642363539999998</v>
      </c>
      <c r="W114" s="35">
        <v>0.41061418509999997</v>
      </c>
      <c r="X114" s="48">
        <v>1.0310792323570599</v>
      </c>
      <c r="Y114" s="34">
        <v>99</v>
      </c>
      <c r="Z114" s="35" t="s">
        <v>130</v>
      </c>
      <c r="AA114" s="36">
        <v>2674436.84</v>
      </c>
      <c r="AB114" s="38">
        <v>2886491</v>
      </c>
      <c r="AC114" s="40">
        <v>7.92892757190707</v>
      </c>
      <c r="AD114" s="34">
        <v>99</v>
      </c>
      <c r="AE114" s="35" t="s">
        <v>74</v>
      </c>
      <c r="AF114" s="38">
        <v>16595240</v>
      </c>
      <c r="AG114" s="38">
        <v>18040864</v>
      </c>
      <c r="AH114" s="40">
        <v>8.71107618811177</v>
      </c>
    </row>
    <row r="115" spans="1:34" x14ac:dyDescent="0.2">
      <c r="A115" s="34">
        <v>100</v>
      </c>
      <c r="B115" s="35" t="s">
        <v>125</v>
      </c>
      <c r="C115" s="36">
        <v>184</v>
      </c>
      <c r="D115" s="37">
        <f t="shared" si="30"/>
        <v>78.434782608700004</v>
      </c>
      <c r="E115" s="38">
        <v>14432</v>
      </c>
      <c r="F115" s="39">
        <f t="shared" si="31"/>
        <v>0.31480186049999997</v>
      </c>
      <c r="G115" s="38">
        <v>1312386.95</v>
      </c>
      <c r="H115" s="38">
        <v>11258616</v>
      </c>
      <c r="I115" s="40">
        <v>36</v>
      </c>
      <c r="J115" s="34">
        <v>100</v>
      </c>
      <c r="K115" s="35" t="s">
        <v>125</v>
      </c>
      <c r="L115" s="41">
        <f t="shared" si="32"/>
        <v>0.31402532682527218</v>
      </c>
      <c r="M115" s="41">
        <f t="shared" si="33"/>
        <v>0.66644828810000001</v>
      </c>
      <c r="N115" s="41">
        <f t="shared" si="34"/>
        <v>0.23809692832948703</v>
      </c>
      <c r="O115" s="41">
        <f t="shared" si="35"/>
        <v>10.15090999766514</v>
      </c>
      <c r="P115" s="41">
        <f t="shared" si="36"/>
        <v>0.38188182878964677</v>
      </c>
      <c r="Q115" s="41">
        <f t="shared" si="37"/>
        <v>11.751362369709545</v>
      </c>
      <c r="R115" s="42">
        <f t="shared" si="29"/>
        <v>0.40521939210000002</v>
      </c>
      <c r="S115" s="2"/>
      <c r="T115" s="34">
        <v>100</v>
      </c>
      <c r="U115" s="35" t="s">
        <v>152</v>
      </c>
      <c r="V115" s="35">
        <v>1.260357999</v>
      </c>
      <c r="W115" s="35">
        <v>1.2734022759000001</v>
      </c>
      <c r="X115" s="48">
        <v>1.0349660104787499</v>
      </c>
      <c r="Y115" s="34">
        <v>100</v>
      </c>
      <c r="Z115" s="35" t="s">
        <v>81</v>
      </c>
      <c r="AA115" s="36">
        <v>2253786.4300000002</v>
      </c>
      <c r="AB115" s="38">
        <v>2436162.9300000002</v>
      </c>
      <c r="AC115" s="40">
        <v>8.0920045294620309</v>
      </c>
      <c r="AD115" s="34">
        <v>100</v>
      </c>
      <c r="AE115" s="35" t="s">
        <v>155</v>
      </c>
      <c r="AF115" s="38">
        <v>15526331</v>
      </c>
      <c r="AG115" s="38">
        <v>16880338</v>
      </c>
      <c r="AH115" s="40">
        <v>8.7207145075034092</v>
      </c>
    </row>
    <row r="116" spans="1:34" x14ac:dyDescent="0.2">
      <c r="A116" s="34">
        <v>101</v>
      </c>
      <c r="B116" s="35" t="s">
        <v>66</v>
      </c>
      <c r="C116" s="36">
        <v>941</v>
      </c>
      <c r="D116" s="37">
        <f t="shared" si="30"/>
        <v>9.5281615303000002</v>
      </c>
      <c r="E116" s="38">
        <v>8966</v>
      </c>
      <c r="F116" s="39">
        <f t="shared" si="31"/>
        <v>0.19557327329999999</v>
      </c>
      <c r="G116" s="38">
        <v>548188.62</v>
      </c>
      <c r="H116" s="38">
        <v>33490521</v>
      </c>
      <c r="I116" s="40">
        <v>271</v>
      </c>
      <c r="J116" s="34">
        <v>101</v>
      </c>
      <c r="K116" s="35" t="s">
        <v>66</v>
      </c>
      <c r="L116" s="41">
        <f t="shared" si="32"/>
        <v>1.6059664812096801</v>
      </c>
      <c r="M116" s="41">
        <f t="shared" si="33"/>
        <v>8.0959323499999999E-2</v>
      </c>
      <c r="N116" s="41">
        <f t="shared" si="34"/>
        <v>9.9453919872626292E-2</v>
      </c>
      <c r="O116" s="41">
        <f t="shared" si="35"/>
        <v>30.195475575853582</v>
      </c>
      <c r="P116" s="41">
        <f t="shared" si="36"/>
        <v>2.8747215444998409</v>
      </c>
      <c r="Q116" s="41">
        <f t="shared" si="37"/>
        <v>34.856576844935731</v>
      </c>
      <c r="R116" s="42">
        <f t="shared" si="29"/>
        <v>1.2019509257000001</v>
      </c>
      <c r="S116" s="2"/>
      <c r="T116" s="34">
        <v>101</v>
      </c>
      <c r="U116" s="35" t="s">
        <v>155</v>
      </c>
      <c r="V116" s="35">
        <v>0.60938632270000004</v>
      </c>
      <c r="W116" s="35">
        <v>0.61616106680000005</v>
      </c>
      <c r="X116" s="48">
        <v>1.1117322210290601</v>
      </c>
      <c r="Y116" s="34">
        <v>101</v>
      </c>
      <c r="Z116" s="35" t="s">
        <v>62</v>
      </c>
      <c r="AA116" s="36">
        <v>3960343.88</v>
      </c>
      <c r="AB116" s="38">
        <v>4284521.43</v>
      </c>
      <c r="AC116" s="40">
        <v>8.1855909441884194</v>
      </c>
      <c r="AD116" s="34">
        <v>101</v>
      </c>
      <c r="AE116" s="35" t="s">
        <v>54</v>
      </c>
      <c r="AF116" s="38">
        <v>10194880</v>
      </c>
      <c r="AG116" s="38">
        <v>11085754</v>
      </c>
      <c r="AH116" s="40">
        <v>8.7384451803258099</v>
      </c>
    </row>
    <row r="117" spans="1:34" x14ac:dyDescent="0.2">
      <c r="A117" s="34">
        <v>102</v>
      </c>
      <c r="B117" s="35" t="s">
        <v>117</v>
      </c>
      <c r="C117" s="36">
        <v>1013</v>
      </c>
      <c r="D117" s="37">
        <f t="shared" si="30"/>
        <v>330.45310957549998</v>
      </c>
      <c r="E117" s="38">
        <v>334749</v>
      </c>
      <c r="F117" s="39">
        <f t="shared" si="31"/>
        <v>7.3018021054000002</v>
      </c>
      <c r="G117" s="38">
        <v>40801302.729999997</v>
      </c>
      <c r="H117" s="38">
        <v>93407689</v>
      </c>
      <c r="I117" s="40">
        <v>231</v>
      </c>
      <c r="J117" s="34">
        <v>102</v>
      </c>
      <c r="K117" s="35" t="s">
        <v>117</v>
      </c>
      <c r="L117" s="41">
        <f t="shared" si="32"/>
        <v>1.728845956923917</v>
      </c>
      <c r="M117" s="41">
        <f t="shared" si="33"/>
        <v>2.8078092633999998</v>
      </c>
      <c r="N117" s="41">
        <f t="shared" si="34"/>
        <v>7.4022869945899057</v>
      </c>
      <c r="O117" s="41">
        <f t="shared" si="35"/>
        <v>84.217548953521131</v>
      </c>
      <c r="P117" s="41">
        <f t="shared" si="36"/>
        <v>2.4504084014002334</v>
      </c>
      <c r="Q117" s="41">
        <f t="shared" si="37"/>
        <v>98.606899569835193</v>
      </c>
      <c r="R117" s="42">
        <f t="shared" si="29"/>
        <v>3.4002379162</v>
      </c>
      <c r="S117" s="2"/>
      <c r="T117" s="34">
        <v>102</v>
      </c>
      <c r="U117" s="35" t="s">
        <v>81</v>
      </c>
      <c r="V117" s="35">
        <v>0.60487798290000006</v>
      </c>
      <c r="W117" s="35">
        <v>0.61194664769999996</v>
      </c>
      <c r="X117" s="48">
        <v>1.16861003373114</v>
      </c>
      <c r="Y117" s="34">
        <v>102</v>
      </c>
      <c r="Z117" s="35" t="s">
        <v>116</v>
      </c>
      <c r="AA117" s="36">
        <v>401451.5</v>
      </c>
      <c r="AB117" s="38">
        <v>435030.56</v>
      </c>
      <c r="AC117" s="40">
        <v>8.3644126376411307</v>
      </c>
      <c r="AD117" s="34">
        <v>102</v>
      </c>
      <c r="AE117" s="35" t="s">
        <v>81</v>
      </c>
      <c r="AF117" s="38">
        <v>15403629</v>
      </c>
      <c r="AG117" s="38">
        <v>16754532</v>
      </c>
      <c r="AH117" s="40">
        <v>8.7700307505458603</v>
      </c>
    </row>
    <row r="118" spans="1:34" x14ac:dyDescent="0.2">
      <c r="A118" s="34">
        <v>103</v>
      </c>
      <c r="B118" s="35" t="s">
        <v>68</v>
      </c>
      <c r="C118" s="36">
        <v>228</v>
      </c>
      <c r="D118" s="37">
        <f t="shared" si="30"/>
        <v>108.3684210526</v>
      </c>
      <c r="E118" s="38">
        <v>24708</v>
      </c>
      <c r="F118" s="39">
        <f t="shared" si="31"/>
        <v>0.53894985920000005</v>
      </c>
      <c r="G118" s="38">
        <v>3042710.26</v>
      </c>
      <c r="H118" s="38">
        <v>16886891</v>
      </c>
      <c r="I118" s="40">
        <v>25</v>
      </c>
      <c r="J118" s="34">
        <v>103</v>
      </c>
      <c r="K118" s="35" t="s">
        <v>68</v>
      </c>
      <c r="L118" s="41">
        <f t="shared" si="32"/>
        <v>0.38911833976175031</v>
      </c>
      <c r="M118" s="41">
        <f t="shared" si="33"/>
        <v>0.92078981159999995</v>
      </c>
      <c r="N118" s="41">
        <f t="shared" si="34"/>
        <v>0.55201704550827391</v>
      </c>
      <c r="O118" s="41">
        <f t="shared" si="35"/>
        <v>15.225433630686178</v>
      </c>
      <c r="P118" s="41">
        <f t="shared" si="36"/>
        <v>0.2651957144372547</v>
      </c>
      <c r="Q118" s="41">
        <f t="shared" si="37"/>
        <v>17.352554541993456</v>
      </c>
      <c r="R118" s="42">
        <f t="shared" si="29"/>
        <v>0.59836394969999995</v>
      </c>
      <c r="S118" s="2"/>
      <c r="T118" s="34">
        <v>103</v>
      </c>
      <c r="U118" s="35" t="s">
        <v>51</v>
      </c>
      <c r="V118" s="35">
        <v>1.8470490009</v>
      </c>
      <c r="W118" s="35">
        <v>1.8700530963999999</v>
      </c>
      <c r="X118" s="48">
        <v>1.24545128411812</v>
      </c>
      <c r="Y118" s="34">
        <v>103</v>
      </c>
      <c r="Z118" s="35" t="s">
        <v>121</v>
      </c>
      <c r="AA118" s="36">
        <v>1522865.4</v>
      </c>
      <c r="AB118" s="38">
        <v>1652704.72</v>
      </c>
      <c r="AC118" s="40">
        <v>8.5259879172512605</v>
      </c>
      <c r="AD118" s="34">
        <v>103</v>
      </c>
      <c r="AE118" s="35" t="s">
        <v>131</v>
      </c>
      <c r="AF118" s="38">
        <v>20356685</v>
      </c>
      <c r="AG118" s="38">
        <v>22186311</v>
      </c>
      <c r="AH118" s="40">
        <v>8.9878386387567506</v>
      </c>
    </row>
    <row r="119" spans="1:34" x14ac:dyDescent="0.2">
      <c r="A119" s="34">
        <v>104</v>
      </c>
      <c r="B119" s="35" t="s">
        <v>109</v>
      </c>
      <c r="C119" s="36">
        <v>350</v>
      </c>
      <c r="D119" s="37">
        <f t="shared" si="30"/>
        <v>49.045714285700001</v>
      </c>
      <c r="E119" s="38">
        <v>17166</v>
      </c>
      <c r="F119" s="39">
        <f t="shared" si="31"/>
        <v>0.37443796680000002</v>
      </c>
      <c r="G119" s="38">
        <v>1700948.77</v>
      </c>
      <c r="H119" s="38">
        <v>12704089</v>
      </c>
      <c r="I119" s="40">
        <v>47</v>
      </c>
      <c r="J119" s="34">
        <v>104</v>
      </c>
      <c r="K119" s="35" t="s">
        <v>109</v>
      </c>
      <c r="L119" s="41">
        <f t="shared" si="32"/>
        <v>0.59733078472198509</v>
      </c>
      <c r="M119" s="41">
        <f t="shared" si="33"/>
        <v>0.41673389329999999</v>
      </c>
      <c r="N119" s="41">
        <f t="shared" si="34"/>
        <v>0.30859090558833974</v>
      </c>
      <c r="O119" s="41">
        <f t="shared" si="35"/>
        <v>11.454166661455346</v>
      </c>
      <c r="P119" s="41">
        <f t="shared" si="36"/>
        <v>0.49856794314203884</v>
      </c>
      <c r="Q119" s="41">
        <f t="shared" si="37"/>
        <v>13.275390188207711</v>
      </c>
      <c r="R119" s="42">
        <f t="shared" ref="R119:R128" si="38">ROUND(Q119/$Q$129%,10)</f>
        <v>0.45777207549999999</v>
      </c>
      <c r="S119" s="2"/>
      <c r="T119" s="34">
        <v>104</v>
      </c>
      <c r="U119" s="35" t="s">
        <v>131</v>
      </c>
      <c r="V119" s="35">
        <v>0.80104530169999999</v>
      </c>
      <c r="W119" s="35">
        <v>0.81110956769999998</v>
      </c>
      <c r="X119" s="48">
        <v>1.25639161463669</v>
      </c>
      <c r="Y119" s="34">
        <v>104</v>
      </c>
      <c r="Z119" s="35" t="s">
        <v>47</v>
      </c>
      <c r="AA119" s="36">
        <v>670112.51</v>
      </c>
      <c r="AB119" s="38">
        <v>729065.47</v>
      </c>
      <c r="AC119" s="40">
        <v>8.7974719349740003</v>
      </c>
      <c r="AD119" s="34">
        <v>104</v>
      </c>
      <c r="AE119" s="35" t="s">
        <v>150</v>
      </c>
      <c r="AF119" s="38">
        <v>11870725</v>
      </c>
      <c r="AG119" s="38">
        <v>12938598</v>
      </c>
      <c r="AH119" s="40">
        <v>8.9958532440099503</v>
      </c>
    </row>
    <row r="120" spans="1:34" x14ac:dyDescent="0.2">
      <c r="A120" s="34">
        <v>105</v>
      </c>
      <c r="B120" s="35" t="s">
        <v>150</v>
      </c>
      <c r="C120" s="36">
        <v>148</v>
      </c>
      <c r="D120" s="37">
        <f t="shared" si="30"/>
        <v>139.35135135140001</v>
      </c>
      <c r="E120" s="38">
        <v>20624</v>
      </c>
      <c r="F120" s="39">
        <f t="shared" si="31"/>
        <v>0.4498665168</v>
      </c>
      <c r="G120" s="38">
        <v>2489604</v>
      </c>
      <c r="H120" s="38">
        <v>12938598</v>
      </c>
      <c r="I120" s="40">
        <v>16</v>
      </c>
      <c r="J120" s="34">
        <v>105</v>
      </c>
      <c r="K120" s="35" t="s">
        <v>150</v>
      </c>
      <c r="L120" s="41">
        <f t="shared" si="32"/>
        <v>0.2525855889681537</v>
      </c>
      <c r="M120" s="41">
        <f t="shared" si="33"/>
        <v>1.1840470064999999</v>
      </c>
      <c r="N120" s="41">
        <f t="shared" si="34"/>
        <v>0.45167095356808007</v>
      </c>
      <c r="O120" s="41">
        <f t="shared" si="35"/>
        <v>11.665602929700256</v>
      </c>
      <c r="P120" s="41">
        <f t="shared" si="36"/>
        <v>0.16972525723984302</v>
      </c>
      <c r="Q120" s="41">
        <f t="shared" si="37"/>
        <v>13.723631735976333</v>
      </c>
      <c r="R120" s="42">
        <f t="shared" si="38"/>
        <v>0.47322868060000001</v>
      </c>
      <c r="S120" s="2"/>
      <c r="T120" s="34">
        <v>105</v>
      </c>
      <c r="U120" s="35" t="s">
        <v>150</v>
      </c>
      <c r="V120" s="35">
        <v>0.46713791490000001</v>
      </c>
      <c r="W120" s="35">
        <v>0.47322868060000001</v>
      </c>
      <c r="X120" s="48">
        <v>1.30384743043258</v>
      </c>
      <c r="Y120" s="34">
        <v>105</v>
      </c>
      <c r="Z120" s="35" t="s">
        <v>153</v>
      </c>
      <c r="AA120" s="36">
        <v>3003783.22</v>
      </c>
      <c r="AB120" s="38">
        <v>3287918.23</v>
      </c>
      <c r="AC120" s="40">
        <v>9.4592382069435903</v>
      </c>
      <c r="AD120" s="34">
        <v>105</v>
      </c>
      <c r="AE120" s="35" t="s">
        <v>119</v>
      </c>
      <c r="AF120" s="38">
        <v>10635125</v>
      </c>
      <c r="AG120" s="38">
        <v>11609444</v>
      </c>
      <c r="AH120" s="40">
        <v>9.1613309669609002</v>
      </c>
    </row>
    <row r="121" spans="1:34" x14ac:dyDescent="0.2">
      <c r="A121" s="34">
        <v>106</v>
      </c>
      <c r="B121" s="35" t="s">
        <v>145</v>
      </c>
      <c r="C121" s="36">
        <v>174</v>
      </c>
      <c r="D121" s="37">
        <f t="shared" si="30"/>
        <v>180.4827586207</v>
      </c>
      <c r="E121" s="38">
        <v>31404</v>
      </c>
      <c r="F121" s="39">
        <f t="shared" si="31"/>
        <v>0.68500815029999995</v>
      </c>
      <c r="G121" s="38">
        <v>3722924.45</v>
      </c>
      <c r="H121" s="38">
        <v>18115064</v>
      </c>
      <c r="I121" s="40">
        <v>25</v>
      </c>
      <c r="J121" s="34">
        <v>106</v>
      </c>
      <c r="K121" s="35" t="s">
        <v>145</v>
      </c>
      <c r="L121" s="41">
        <f t="shared" si="32"/>
        <v>0.29695873297607261</v>
      </c>
      <c r="M121" s="41">
        <f t="shared" si="33"/>
        <v>1.53353425</v>
      </c>
      <c r="N121" s="41">
        <f t="shared" si="34"/>
        <v>0.67542341528749961</v>
      </c>
      <c r="O121" s="41">
        <f t="shared" si="35"/>
        <v>16.332769877393797</v>
      </c>
      <c r="P121" s="41">
        <f t="shared" si="36"/>
        <v>0.2651957144372547</v>
      </c>
      <c r="Q121" s="41">
        <f t="shared" si="37"/>
        <v>19.103881990094624</v>
      </c>
      <c r="R121" s="42">
        <f t="shared" si="38"/>
        <v>0.65875455140000005</v>
      </c>
      <c r="S121" s="2"/>
      <c r="T121" s="34">
        <v>106</v>
      </c>
      <c r="U121" s="35" t="s">
        <v>119</v>
      </c>
      <c r="V121" s="35">
        <v>0.41920647090000002</v>
      </c>
      <c r="W121" s="35">
        <v>0.42489210449999998</v>
      </c>
      <c r="X121" s="48">
        <v>1.3562847891620999</v>
      </c>
      <c r="Y121" s="34">
        <v>106</v>
      </c>
      <c r="Z121" s="35" t="s">
        <v>149</v>
      </c>
      <c r="AA121" s="36">
        <v>23835152.219999999</v>
      </c>
      <c r="AB121" s="38">
        <v>26212580.219999999</v>
      </c>
      <c r="AC121" s="40">
        <v>9.9744611574374904</v>
      </c>
      <c r="AD121" s="34">
        <v>106</v>
      </c>
      <c r="AE121" s="35" t="s">
        <v>144</v>
      </c>
      <c r="AF121" s="38">
        <v>16562648</v>
      </c>
      <c r="AG121" s="38">
        <v>18084612</v>
      </c>
      <c r="AH121" s="40">
        <v>9.1891344910548103</v>
      </c>
    </row>
    <row r="122" spans="1:34" x14ac:dyDescent="0.2">
      <c r="A122" s="34">
        <v>107</v>
      </c>
      <c r="B122" s="35" t="s">
        <v>106</v>
      </c>
      <c r="C122" s="36">
        <v>455</v>
      </c>
      <c r="D122" s="37">
        <f t="shared" si="30"/>
        <v>166.22417582419999</v>
      </c>
      <c r="E122" s="38">
        <v>75632</v>
      </c>
      <c r="F122" s="39">
        <f t="shared" si="31"/>
        <v>1.649743231</v>
      </c>
      <c r="G122" s="38">
        <v>8348761.2699999996</v>
      </c>
      <c r="H122" s="38">
        <v>29406894</v>
      </c>
      <c r="I122" s="40">
        <v>48</v>
      </c>
      <c r="J122" s="34">
        <v>107</v>
      </c>
      <c r="K122" s="35" t="s">
        <v>106</v>
      </c>
      <c r="L122" s="41">
        <f t="shared" si="32"/>
        <v>0.77653002013858063</v>
      </c>
      <c r="M122" s="41">
        <f t="shared" si="33"/>
        <v>1.4123812643</v>
      </c>
      <c r="N122" s="41">
        <f t="shared" si="34"/>
        <v>1.5146557299607308</v>
      </c>
      <c r="O122" s="41">
        <f t="shared" si="35"/>
        <v>26.51362603581817</v>
      </c>
      <c r="P122" s="41">
        <f t="shared" si="36"/>
        <v>0.50917577171952899</v>
      </c>
      <c r="Q122" s="41">
        <f t="shared" si="37"/>
        <v>30.726368821937012</v>
      </c>
      <c r="R122" s="42">
        <f t="shared" si="38"/>
        <v>1.0595299594000001</v>
      </c>
      <c r="S122" s="2"/>
      <c r="T122" s="34">
        <v>107</v>
      </c>
      <c r="U122" s="35" t="s">
        <v>78</v>
      </c>
      <c r="V122" s="35">
        <v>1.2740620632999999</v>
      </c>
      <c r="W122" s="35">
        <v>1.2916633346999999</v>
      </c>
      <c r="X122" s="48">
        <v>1.3815081625152701</v>
      </c>
      <c r="Y122" s="34">
        <v>107</v>
      </c>
      <c r="Z122" s="35" t="s">
        <v>73</v>
      </c>
      <c r="AA122" s="36">
        <v>775831.08</v>
      </c>
      <c r="AB122" s="38">
        <v>853729.9</v>
      </c>
      <c r="AC122" s="40">
        <v>10.0406933942373</v>
      </c>
      <c r="AD122" s="34">
        <v>107</v>
      </c>
      <c r="AE122" s="35" t="s">
        <v>78</v>
      </c>
      <c r="AF122" s="38">
        <v>32309986</v>
      </c>
      <c r="AG122" s="38">
        <v>35283592</v>
      </c>
      <c r="AH122" s="40">
        <v>9.2033651763265993</v>
      </c>
    </row>
    <row r="123" spans="1:34" x14ac:dyDescent="0.2">
      <c r="A123" s="34">
        <v>108</v>
      </c>
      <c r="B123" s="35" t="s">
        <v>149</v>
      </c>
      <c r="C123" s="36">
        <v>335</v>
      </c>
      <c r="D123" s="37">
        <f t="shared" si="30"/>
        <v>585.69552238810002</v>
      </c>
      <c r="E123" s="38">
        <v>196208</v>
      </c>
      <c r="F123" s="39">
        <f t="shared" si="31"/>
        <v>4.2798394842</v>
      </c>
      <c r="G123" s="38">
        <v>26212580.219999999</v>
      </c>
      <c r="H123" s="38">
        <v>72984506</v>
      </c>
      <c r="I123" s="40">
        <v>84</v>
      </c>
      <c r="J123" s="34">
        <v>108</v>
      </c>
      <c r="K123" s="35" t="s">
        <v>149</v>
      </c>
      <c r="L123" s="41">
        <f t="shared" si="32"/>
        <v>0.57173089394818577</v>
      </c>
      <c r="M123" s="41">
        <f t="shared" si="33"/>
        <v>4.9765648005000003</v>
      </c>
      <c r="N123" s="41">
        <f t="shared" si="34"/>
        <v>4.7555599619245443</v>
      </c>
      <c r="O123" s="41">
        <f t="shared" si="35"/>
        <v>65.803749912960114</v>
      </c>
      <c r="P123" s="41">
        <f t="shared" si="36"/>
        <v>0.89105760050917582</v>
      </c>
      <c r="Q123" s="41">
        <f t="shared" si="37"/>
        <v>76.998663169842018</v>
      </c>
      <c r="R123" s="42">
        <f t="shared" si="38"/>
        <v>2.6551263162000001</v>
      </c>
      <c r="S123" s="2"/>
      <c r="T123" s="34">
        <v>108</v>
      </c>
      <c r="U123" s="35" t="s">
        <v>148</v>
      </c>
      <c r="V123" s="35">
        <v>1.7565457091000001</v>
      </c>
      <c r="W123" s="35">
        <v>1.7813895539</v>
      </c>
      <c r="X123" s="48">
        <v>1.4143580022594</v>
      </c>
      <c r="Y123" s="34">
        <v>108</v>
      </c>
      <c r="Z123" s="35" t="s">
        <v>139</v>
      </c>
      <c r="AA123" s="36">
        <v>760825.52</v>
      </c>
      <c r="AB123" s="38">
        <v>857369.88</v>
      </c>
      <c r="AC123" s="40">
        <v>12.6894218795395</v>
      </c>
      <c r="AD123" s="34">
        <v>108</v>
      </c>
      <c r="AE123" s="35" t="s">
        <v>153</v>
      </c>
      <c r="AF123" s="38">
        <v>20103215</v>
      </c>
      <c r="AG123" s="38">
        <v>21956565</v>
      </c>
      <c r="AH123" s="40">
        <v>9.21917215728927</v>
      </c>
    </row>
    <row r="124" spans="1:34" x14ac:dyDescent="0.2">
      <c r="A124" s="34">
        <v>109</v>
      </c>
      <c r="B124" s="35" t="s">
        <v>50</v>
      </c>
      <c r="C124" s="36">
        <v>113</v>
      </c>
      <c r="D124" s="37">
        <f t="shared" si="30"/>
        <v>28.3185840708</v>
      </c>
      <c r="E124" s="38">
        <v>3200</v>
      </c>
      <c r="F124" s="39">
        <f t="shared" si="31"/>
        <v>6.9800855999999994E-2</v>
      </c>
      <c r="G124" s="38">
        <v>578611.13</v>
      </c>
      <c r="H124" s="38">
        <v>7015227</v>
      </c>
      <c r="I124" s="40">
        <v>15</v>
      </c>
      <c r="J124" s="34">
        <v>109</v>
      </c>
      <c r="K124" s="35" t="s">
        <v>50</v>
      </c>
      <c r="L124" s="41">
        <f t="shared" si="32"/>
        <v>0.1928525104959552</v>
      </c>
      <c r="M124" s="41">
        <f t="shared" si="33"/>
        <v>0.24061865469999999</v>
      </c>
      <c r="N124" s="41">
        <f t="shared" si="34"/>
        <v>0.10497325712531164</v>
      </c>
      <c r="O124" s="41">
        <f t="shared" si="35"/>
        <v>6.3250170260883252</v>
      </c>
      <c r="P124" s="41">
        <f t="shared" si="36"/>
        <v>0.15911742866235282</v>
      </c>
      <c r="Q124" s="41">
        <f t="shared" si="37"/>
        <v>7.0225788770719451</v>
      </c>
      <c r="R124" s="42">
        <f t="shared" si="38"/>
        <v>0.24215789230000001</v>
      </c>
      <c r="S124" s="2"/>
      <c r="T124" s="34">
        <v>109</v>
      </c>
      <c r="U124" s="35" t="s">
        <v>144</v>
      </c>
      <c r="V124" s="35">
        <v>0.65303250950000002</v>
      </c>
      <c r="W124" s="35">
        <v>0.66296512019999998</v>
      </c>
      <c r="X124" s="48">
        <v>1.52099789145336</v>
      </c>
      <c r="Y124" s="34">
        <v>109</v>
      </c>
      <c r="Z124" s="35" t="s">
        <v>67</v>
      </c>
      <c r="AA124" s="36">
        <v>939804.97</v>
      </c>
      <c r="AB124" s="38">
        <v>1078384.6200000001</v>
      </c>
      <c r="AC124" s="40">
        <v>14.7455753505964</v>
      </c>
      <c r="AD124" s="34">
        <v>109</v>
      </c>
      <c r="AE124" s="35" t="s">
        <v>51</v>
      </c>
      <c r="AF124" s="38">
        <v>46668382</v>
      </c>
      <c r="AG124" s="38">
        <v>51136190</v>
      </c>
      <c r="AH124" s="40">
        <v>9.5735223903841398</v>
      </c>
    </row>
    <row r="125" spans="1:34" x14ac:dyDescent="0.2">
      <c r="A125" s="34">
        <v>110</v>
      </c>
      <c r="B125" s="35" t="s">
        <v>111</v>
      </c>
      <c r="C125" s="36">
        <v>596</v>
      </c>
      <c r="D125" s="37">
        <f t="shared" si="30"/>
        <v>79.407718120799998</v>
      </c>
      <c r="E125" s="38">
        <v>47327</v>
      </c>
      <c r="F125" s="39">
        <f t="shared" si="31"/>
        <v>1.0323328471</v>
      </c>
      <c r="G125" s="38">
        <v>5796163.0599999996</v>
      </c>
      <c r="H125" s="38">
        <v>25274043</v>
      </c>
      <c r="I125" s="40">
        <v>97</v>
      </c>
      <c r="J125" s="34">
        <v>110</v>
      </c>
      <c r="K125" s="35" t="s">
        <v>111</v>
      </c>
      <c r="L125" s="41">
        <f t="shared" si="32"/>
        <v>1.0171689934122947</v>
      </c>
      <c r="M125" s="41">
        <f t="shared" si="33"/>
        <v>0.67471517160000005</v>
      </c>
      <c r="N125" s="41">
        <f t="shared" si="34"/>
        <v>1.0515561897981691</v>
      </c>
      <c r="O125" s="41">
        <f t="shared" si="35"/>
        <v>22.787395517363649</v>
      </c>
      <c r="P125" s="41">
        <f t="shared" si="36"/>
        <v>1.0289593720165482</v>
      </c>
      <c r="Q125" s="41">
        <f t="shared" si="37"/>
        <v>26.55979524419066</v>
      </c>
      <c r="R125" s="42">
        <f t="shared" si="38"/>
        <v>0.9158550084</v>
      </c>
      <c r="S125" s="2"/>
      <c r="T125" s="34">
        <v>110</v>
      </c>
      <c r="U125" s="35" t="s">
        <v>153</v>
      </c>
      <c r="V125" s="35">
        <v>0.79286078250000003</v>
      </c>
      <c r="W125" s="35">
        <v>0.80516842560000002</v>
      </c>
      <c r="X125" s="48">
        <v>1.5523082200121301</v>
      </c>
      <c r="Y125" s="34">
        <v>110</v>
      </c>
      <c r="Z125" s="35" t="s">
        <v>75</v>
      </c>
      <c r="AA125" s="36">
        <v>2562911.7799999998</v>
      </c>
      <c r="AB125" s="38">
        <v>2947830.13</v>
      </c>
      <c r="AC125" s="40">
        <v>15.018790463400199</v>
      </c>
      <c r="AD125" s="34">
        <v>110</v>
      </c>
      <c r="AE125" s="35" t="s">
        <v>140</v>
      </c>
      <c r="AF125" s="38">
        <v>10627825</v>
      </c>
      <c r="AG125" s="38">
        <v>11663181</v>
      </c>
      <c r="AH125" s="40">
        <v>9.7419368497317205</v>
      </c>
    </row>
    <row r="126" spans="1:34" x14ac:dyDescent="0.2">
      <c r="A126" s="34">
        <v>111</v>
      </c>
      <c r="B126" s="35" t="s">
        <v>140</v>
      </c>
      <c r="C126" s="36">
        <v>160</v>
      </c>
      <c r="D126" s="37">
        <f t="shared" si="30"/>
        <v>108.71250000000001</v>
      </c>
      <c r="E126" s="38">
        <v>17394</v>
      </c>
      <c r="F126" s="39">
        <f t="shared" si="31"/>
        <v>0.3794112778</v>
      </c>
      <c r="G126" s="38">
        <v>2157066.85</v>
      </c>
      <c r="H126" s="50">
        <v>11663181</v>
      </c>
      <c r="I126" s="40">
        <v>32</v>
      </c>
      <c r="J126" s="34">
        <v>111</v>
      </c>
      <c r="K126" s="35" t="s">
        <v>140</v>
      </c>
      <c r="L126" s="41">
        <f t="shared" si="32"/>
        <v>0.27306550158719323</v>
      </c>
      <c r="M126" s="41">
        <f t="shared" si="33"/>
        <v>0.92371339750000003</v>
      </c>
      <c r="N126" s="41">
        <f t="shared" si="34"/>
        <v>0.39134112937221938</v>
      </c>
      <c r="O126" s="41">
        <f t="shared" si="35"/>
        <v>10.515670897513345</v>
      </c>
      <c r="P126" s="41">
        <f t="shared" si="36"/>
        <v>0.33945051447968605</v>
      </c>
      <c r="Q126" s="41">
        <f t="shared" si="37"/>
        <v>12.443241440452445</v>
      </c>
      <c r="R126" s="42">
        <f t="shared" si="38"/>
        <v>0.42907729109999998</v>
      </c>
      <c r="S126" s="2"/>
      <c r="T126" s="34">
        <v>111</v>
      </c>
      <c r="U126" s="35" t="s">
        <v>140</v>
      </c>
      <c r="V126" s="51">
        <v>0.42131776450000002</v>
      </c>
      <c r="W126" s="35">
        <v>0.42907729109999998</v>
      </c>
      <c r="X126" s="48">
        <v>1.8417278486248001</v>
      </c>
      <c r="Y126" s="34">
        <v>111</v>
      </c>
      <c r="Z126" s="35" t="s">
        <v>148</v>
      </c>
      <c r="AA126" s="36">
        <v>9955051.7899999991</v>
      </c>
      <c r="AB126" s="38">
        <v>11578839.16</v>
      </c>
      <c r="AC126" s="40">
        <v>16.311189577447699</v>
      </c>
      <c r="AD126" s="34">
        <v>111</v>
      </c>
      <c r="AE126" s="35" t="s">
        <v>45</v>
      </c>
      <c r="AF126" s="38">
        <v>15705488</v>
      </c>
      <c r="AG126" s="38">
        <v>17247997</v>
      </c>
      <c r="AH126" s="40">
        <v>9.8214649554346902</v>
      </c>
    </row>
    <row r="127" spans="1:34" x14ac:dyDescent="0.2">
      <c r="A127" s="34">
        <v>112</v>
      </c>
      <c r="B127" s="35" t="s">
        <v>142</v>
      </c>
      <c r="C127" s="36">
        <v>513</v>
      </c>
      <c r="D127" s="37">
        <f t="shared" si="30"/>
        <v>319.96881091620003</v>
      </c>
      <c r="E127" s="38">
        <v>164144</v>
      </c>
      <c r="F127" s="39">
        <f t="shared" si="31"/>
        <v>3.5804349072999999</v>
      </c>
      <c r="G127" s="38">
        <v>13071920.359999999</v>
      </c>
      <c r="H127" s="38">
        <v>51068275</v>
      </c>
      <c r="I127" s="52">
        <v>161</v>
      </c>
      <c r="J127" s="34">
        <v>112</v>
      </c>
      <c r="K127" s="35" t="s">
        <v>142</v>
      </c>
      <c r="L127" s="41">
        <f t="shared" si="32"/>
        <v>0.87551626446393815</v>
      </c>
      <c r="M127" s="41">
        <f t="shared" si="33"/>
        <v>2.7187257897000001</v>
      </c>
      <c r="N127" s="41">
        <f t="shared" si="34"/>
        <v>2.3715445243368825</v>
      </c>
      <c r="O127" s="41">
        <f t="shared" si="35"/>
        <v>46.043799989360394</v>
      </c>
      <c r="P127" s="41">
        <f t="shared" si="36"/>
        <v>1.7078604009759204</v>
      </c>
      <c r="Q127" s="41">
        <f t="shared" si="37"/>
        <v>53.71744696883713</v>
      </c>
      <c r="R127" s="42">
        <f t="shared" si="38"/>
        <v>1.8523257575000001</v>
      </c>
      <c r="S127" s="2"/>
      <c r="T127" s="34">
        <v>112</v>
      </c>
      <c r="U127" s="35" t="s">
        <v>105</v>
      </c>
      <c r="V127" s="35">
        <v>0.29182768450000002</v>
      </c>
      <c r="W127" s="35">
        <v>0.29927061640000002</v>
      </c>
      <c r="X127" s="48">
        <v>2.55045435896607</v>
      </c>
      <c r="Y127" s="34">
        <v>112</v>
      </c>
      <c r="Z127" s="35" t="s">
        <v>90</v>
      </c>
      <c r="AA127" s="36">
        <v>343147.35</v>
      </c>
      <c r="AB127" s="38">
        <v>412021.33</v>
      </c>
      <c r="AC127" s="40">
        <v>20.071255103674901</v>
      </c>
      <c r="AD127" s="34">
        <v>112</v>
      </c>
      <c r="AE127" s="35" t="s">
        <v>105</v>
      </c>
      <c r="AF127" s="38">
        <v>7290412</v>
      </c>
      <c r="AG127" s="38">
        <v>8073227</v>
      </c>
      <c r="AH127" s="40">
        <v>10.737596174262899</v>
      </c>
    </row>
    <row r="128" spans="1:34" s="5" customFormat="1" ht="9" x14ac:dyDescent="0.15">
      <c r="A128" s="34">
        <v>113</v>
      </c>
      <c r="B128" s="35" t="s">
        <v>101</v>
      </c>
      <c r="C128" s="36">
        <v>220</v>
      </c>
      <c r="D128" s="37">
        <f t="shared" si="30"/>
        <v>119.1545454545</v>
      </c>
      <c r="E128" s="38">
        <v>26214</v>
      </c>
      <c r="F128" s="39">
        <f t="shared" si="31"/>
        <v>0.57179988709999996</v>
      </c>
      <c r="G128" s="38">
        <v>2646712.65</v>
      </c>
      <c r="H128" s="53">
        <v>16206781</v>
      </c>
      <c r="I128" s="40">
        <v>35</v>
      </c>
      <c r="J128" s="34">
        <v>113</v>
      </c>
      <c r="K128" s="35" t="s">
        <v>101</v>
      </c>
      <c r="L128" s="41">
        <f t="shared" si="32"/>
        <v>0.37546506468239066</v>
      </c>
      <c r="M128" s="41">
        <f t="shared" si="33"/>
        <v>1.0124378521999999</v>
      </c>
      <c r="N128" s="41">
        <f t="shared" si="34"/>
        <v>0.48017404633275018</v>
      </c>
      <c r="O128" s="41">
        <f t="shared" si="35"/>
        <v>14.612237888108934</v>
      </c>
      <c r="P128" s="41">
        <f t="shared" si="36"/>
        <v>0.37127400021215656</v>
      </c>
      <c r="Q128" s="41">
        <f t="shared" si="37"/>
        <v>16.851588851536231</v>
      </c>
      <c r="R128" s="42">
        <f t="shared" si="38"/>
        <v>0.58108927070000005</v>
      </c>
      <c r="S128" s="2"/>
      <c r="T128" s="34">
        <v>113</v>
      </c>
      <c r="U128" s="35" t="s">
        <v>99</v>
      </c>
      <c r="V128" s="35">
        <v>1.3551553072</v>
      </c>
      <c r="W128" s="35">
        <v>1.3947493237999999</v>
      </c>
      <c r="X128" s="48">
        <v>2.92173276300031</v>
      </c>
      <c r="Y128" s="34">
        <v>113</v>
      </c>
      <c r="Z128" s="35" t="s">
        <v>69</v>
      </c>
      <c r="AA128" s="36">
        <v>549675.01</v>
      </c>
      <c r="AB128" s="38">
        <v>5440445.8899999997</v>
      </c>
      <c r="AC128" s="40">
        <v>889.75681830614803</v>
      </c>
      <c r="AD128" s="34">
        <v>113</v>
      </c>
      <c r="AE128" s="35" t="s">
        <v>99</v>
      </c>
      <c r="AF128" s="38">
        <v>33675834</v>
      </c>
      <c r="AG128" s="38">
        <v>37475209</v>
      </c>
      <c r="AH128" s="40">
        <v>11.282200167633601</v>
      </c>
    </row>
    <row r="129" spans="1:30" x14ac:dyDescent="0.2">
      <c r="B129" s="35" t="s">
        <v>156</v>
      </c>
      <c r="C129" s="54">
        <f>SUM(C16:C128)</f>
        <v>58594</v>
      </c>
      <c r="D129" s="54">
        <f>SUM(D16:D128)</f>
        <v>11769.072560554494</v>
      </c>
      <c r="E129" s="53">
        <f>SUM(E16:E128)</f>
        <v>4584471</v>
      </c>
      <c r="F129" s="55">
        <f>SUM(F16:F128)</f>
        <v>100.00000000010002</v>
      </c>
      <c r="G129" s="56">
        <v>551198606.04999995</v>
      </c>
      <c r="H129" s="53"/>
      <c r="I129" s="53">
        <f>SUM(I16:I128)</f>
        <v>9427</v>
      </c>
      <c r="J129" s="53"/>
      <c r="K129" s="53"/>
      <c r="L129" s="42">
        <f t="shared" ref="L129:R129" si="39">SUM(L16:L128)</f>
        <v>100.00000000000004</v>
      </c>
      <c r="M129" s="42">
        <f t="shared" si="39"/>
        <v>99.999999999799982</v>
      </c>
      <c r="N129" s="42">
        <f t="shared" si="39"/>
        <v>100.00000000000001</v>
      </c>
      <c r="O129" s="42">
        <f t="shared" si="39"/>
        <v>2499.9999999999995</v>
      </c>
      <c r="P129" s="42">
        <f t="shared" si="39"/>
        <v>100.00000000000001</v>
      </c>
      <c r="Q129" s="57">
        <f t="shared" si="39"/>
        <v>2899.9999999997995</v>
      </c>
      <c r="R129" s="42">
        <f t="shared" si="39"/>
        <v>100</v>
      </c>
      <c r="S129" s="2"/>
      <c r="T129" s="2"/>
      <c r="U129" s="35" t="s">
        <v>156</v>
      </c>
      <c r="V129" s="58">
        <v>100</v>
      </c>
      <c r="X129" s="59"/>
      <c r="Y129" s="59"/>
      <c r="Z129" s="59"/>
      <c r="AA129" s="59"/>
      <c r="AB129" s="56">
        <v>551198606.04999995</v>
      </c>
      <c r="AC129" s="59"/>
      <c r="AD129" s="59"/>
    </row>
    <row r="131" spans="1:30" x14ac:dyDescent="0.2">
      <c r="A131" s="5" t="s">
        <v>157</v>
      </c>
      <c r="B131" s="5" t="s">
        <v>158</v>
      </c>
      <c r="C131" s="5"/>
      <c r="D131" s="5"/>
      <c r="E131" s="5"/>
      <c r="F131" s="5"/>
      <c r="G131" s="60"/>
      <c r="H131" s="60"/>
      <c r="I131" s="1" t="s">
        <v>7</v>
      </c>
    </row>
    <row r="132" spans="1:30" x14ac:dyDescent="0.2">
      <c r="A132" s="5" t="s">
        <v>159</v>
      </c>
      <c r="B132" s="4" t="s">
        <v>160</v>
      </c>
      <c r="C132" s="5"/>
      <c r="D132" s="5"/>
      <c r="E132" s="5"/>
      <c r="F132" s="5"/>
      <c r="G132" s="60"/>
      <c r="H132" s="60"/>
    </row>
    <row r="133" spans="1:30" x14ac:dyDescent="0.2">
      <c r="A133" s="5" t="s">
        <v>161</v>
      </c>
      <c r="B133" s="5" t="s">
        <v>162</v>
      </c>
      <c r="C133" s="5"/>
      <c r="D133" s="5"/>
      <c r="E133" s="5"/>
      <c r="F133" s="5"/>
      <c r="G133" s="60"/>
      <c r="H133" s="60"/>
    </row>
  </sheetData>
  <mergeCells count="4">
    <mergeCell ref="C11:I11"/>
    <mergeCell ref="L11:Q11"/>
    <mergeCell ref="AA12:AB12"/>
    <mergeCell ref="AF12:AG12"/>
  </mergeCells>
  <pageMargins left="0.74999999999999989" right="0.74999999999999989" top="1.393700787401575" bottom="1.393700787401575" header="1" footer="1"/>
  <pageSetup paperSize="0" scale="70" fitToWidth="0" fitToHeight="0" orientation="landscape" horizontalDpi="0" verticalDpi="0" copies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43"/>
  <sheetViews>
    <sheetView showGridLines="0" workbookViewId="0">
      <selection activeCell="A12" sqref="A12:I12"/>
    </sheetView>
  </sheetViews>
  <sheetFormatPr baseColWidth="10" defaultRowHeight="14.25" x14ac:dyDescent="0.2"/>
  <cols>
    <col min="1" max="1" width="6" style="613" customWidth="1"/>
    <col min="2" max="2" width="20.375" style="613" customWidth="1"/>
    <col min="3" max="3" width="12.5" style="613" customWidth="1"/>
    <col min="4" max="4" width="10.25" style="613" customWidth="1"/>
    <col min="5" max="5" width="12.75" style="613" customWidth="1"/>
    <col min="6" max="6" width="13.875" style="613" bestFit="1" customWidth="1"/>
    <col min="7" max="7" width="12" style="613" bestFit="1" customWidth="1"/>
    <col min="8" max="8" width="13.875" style="613" bestFit="1" customWidth="1"/>
    <col min="9" max="9" width="11.625" style="621" bestFit="1" customWidth="1"/>
    <col min="10" max="10" width="7.5" style="613" customWidth="1"/>
    <col min="11" max="15" width="6.75" style="613" customWidth="1"/>
    <col min="16" max="1024" width="12.875" style="613" customWidth="1"/>
    <col min="1025" max="16384" width="11" style="402"/>
  </cols>
  <sheetData>
    <row r="1" spans="1:15" s="614" customFormat="1" ht="12.75" x14ac:dyDescent="0.2">
      <c r="A1" s="611"/>
      <c r="B1" s="611"/>
      <c r="C1" s="612" t="s">
        <v>0</v>
      </c>
      <c r="D1" s="611"/>
      <c r="E1" s="649"/>
      <c r="F1" s="611"/>
      <c r="G1" s="611"/>
      <c r="H1" s="611"/>
      <c r="I1" s="611"/>
    </row>
    <row r="2" spans="1:15" s="614" customFormat="1" ht="12.75" x14ac:dyDescent="0.2">
      <c r="A2" s="611"/>
      <c r="B2" s="611"/>
      <c r="C2" s="612" t="s">
        <v>163</v>
      </c>
      <c r="D2" s="611"/>
      <c r="E2" s="649"/>
      <c r="F2" s="611"/>
      <c r="G2" s="611"/>
      <c r="H2" s="611"/>
      <c r="I2" s="611"/>
    </row>
    <row r="3" spans="1:15" s="614" customFormat="1" ht="12.75" x14ac:dyDescent="0.2">
      <c r="A3" s="762" t="s">
        <v>526</v>
      </c>
      <c r="B3" s="762"/>
      <c r="C3" s="762"/>
      <c r="D3" s="762"/>
      <c r="E3" s="762"/>
      <c r="F3" s="762"/>
      <c r="G3" s="762"/>
      <c r="H3" s="762"/>
      <c r="I3" s="762"/>
    </row>
    <row r="4" spans="1:15" s="614" customFormat="1" ht="12.75" x14ac:dyDescent="0.2"/>
    <row r="5" spans="1:15" s="614" customFormat="1" x14ac:dyDescent="0.2">
      <c r="A5" s="763"/>
      <c r="B5" s="763"/>
      <c r="C5" s="763"/>
      <c r="D5" s="763"/>
      <c r="E5" s="763"/>
      <c r="F5" s="763"/>
      <c r="G5" s="763"/>
      <c r="H5" s="763"/>
      <c r="I5" s="763"/>
    </row>
    <row r="6" spans="1:15" s="614" customFormat="1" ht="12.75" x14ac:dyDescent="0.2">
      <c r="A6" s="613"/>
      <c r="B6" s="764" t="s">
        <v>378</v>
      </c>
      <c r="C6" s="764"/>
      <c r="D6" s="764"/>
      <c r="E6" s="615"/>
      <c r="F6" s="616"/>
      <c r="G6" s="613"/>
      <c r="H6" s="617"/>
      <c r="I6" s="615"/>
    </row>
    <row r="7" spans="1:15" s="614" customFormat="1" ht="12.75" x14ac:dyDescent="0.2">
      <c r="A7" s="613"/>
      <c r="B7" s="612" t="s">
        <v>314</v>
      </c>
      <c r="C7" s="613"/>
      <c r="D7" s="613"/>
      <c r="E7" s="613"/>
      <c r="F7" s="650">
        <f>'FONDOS PART 2024'!H11</f>
        <v>154202440.40000001</v>
      </c>
      <c r="G7" s="620"/>
      <c r="H7" s="617"/>
      <c r="I7" s="621"/>
    </row>
    <row r="8" spans="1:15" s="614" customFormat="1" ht="12.75" x14ac:dyDescent="0.2">
      <c r="A8" s="613"/>
      <c r="B8" s="612" t="s">
        <v>315</v>
      </c>
      <c r="C8" s="613"/>
      <c r="D8" s="613"/>
      <c r="E8" s="613"/>
      <c r="F8" s="619">
        <f>F7*0.45</f>
        <v>69391098.180000007</v>
      </c>
      <c r="G8" s="650"/>
      <c r="H8" s="617"/>
      <c r="I8" s="613"/>
    </row>
    <row r="9" spans="1:15" s="614" customFormat="1" ht="12.75" x14ac:dyDescent="0.2">
      <c r="A9" s="613"/>
      <c r="B9" s="612" t="s">
        <v>317</v>
      </c>
      <c r="C9" s="613"/>
      <c r="D9" s="613"/>
      <c r="E9" s="613"/>
      <c r="F9" s="619">
        <f>F7*0.45</f>
        <v>69391098.180000007</v>
      </c>
      <c r="G9" s="619"/>
      <c r="H9" s="622"/>
      <c r="I9" s="621"/>
    </row>
    <row r="10" spans="1:15" s="614" customFormat="1" ht="12.75" x14ac:dyDescent="0.2">
      <c r="A10" s="613"/>
      <c r="B10" s="612" t="s">
        <v>319</v>
      </c>
      <c r="C10" s="613"/>
      <c r="D10" s="613"/>
      <c r="E10" s="613"/>
      <c r="F10" s="619">
        <f>F7*0.1</f>
        <v>15420244.040000001</v>
      </c>
      <c r="G10" s="619"/>
      <c r="H10" s="622"/>
      <c r="I10" s="621"/>
    </row>
    <row r="11" spans="1:15" s="613" customFormat="1" ht="12.75" x14ac:dyDescent="0.2">
      <c r="A11" s="624"/>
      <c r="B11" s="624"/>
      <c r="C11" s="625"/>
      <c r="D11" s="626"/>
      <c r="F11" s="627"/>
      <c r="G11" s="617"/>
      <c r="I11" s="621"/>
    </row>
    <row r="12" spans="1:15" s="613" customFormat="1" ht="25.5" x14ac:dyDescent="0.2">
      <c r="A12" s="722" t="s">
        <v>364</v>
      </c>
      <c r="B12" s="722" t="s">
        <v>29</v>
      </c>
      <c r="C12" s="722" t="s">
        <v>10</v>
      </c>
      <c r="D12" s="722" t="s">
        <v>365</v>
      </c>
      <c r="E12" s="722" t="s">
        <v>366</v>
      </c>
      <c r="F12" s="722" t="s">
        <v>539</v>
      </c>
      <c r="G12" s="722" t="s">
        <v>542</v>
      </c>
      <c r="H12" s="722" t="s">
        <v>540</v>
      </c>
      <c r="I12" s="722" t="s">
        <v>541</v>
      </c>
    </row>
    <row r="13" spans="1:15" s="613" customFormat="1" ht="12.75" x14ac:dyDescent="0.2">
      <c r="A13" s="651"/>
      <c r="B13" s="651"/>
      <c r="C13" s="624" t="s">
        <v>370</v>
      </c>
      <c r="D13" s="624" t="s">
        <v>371</v>
      </c>
      <c r="E13" s="624" t="s">
        <v>372</v>
      </c>
      <c r="F13" s="624" t="s">
        <v>373</v>
      </c>
      <c r="G13" s="624" t="s">
        <v>374</v>
      </c>
      <c r="H13" s="624" t="s">
        <v>375</v>
      </c>
      <c r="I13" s="624" t="s">
        <v>376</v>
      </c>
    </row>
    <row r="14" spans="1:15" s="613" customFormat="1" ht="12.75" x14ac:dyDescent="0.2">
      <c r="A14" s="651"/>
      <c r="B14" s="651"/>
      <c r="C14" s="628">
        <v>100</v>
      </c>
      <c r="D14" s="629">
        <f t="shared" ref="D14:I14" si="0">SUM(D15:D127)</f>
        <v>69391098.180000022</v>
      </c>
      <c r="E14" s="630">
        <f t="shared" si="0"/>
        <v>99.999999999999915</v>
      </c>
      <c r="F14" s="629">
        <f t="shared" si="0"/>
        <v>69391098.179999962</v>
      </c>
      <c r="G14" s="630">
        <f t="shared" si="0"/>
        <v>100.00000000000006</v>
      </c>
      <c r="H14" s="629">
        <f t="shared" si="0"/>
        <v>15420244.040000007</v>
      </c>
      <c r="I14" s="629">
        <f t="shared" si="0"/>
        <v>154202440.39999995</v>
      </c>
      <c r="M14" s="630"/>
      <c r="N14" s="630"/>
      <c r="O14" s="630"/>
    </row>
    <row r="15" spans="1:15" s="613" customFormat="1" ht="12.75" x14ac:dyDescent="0.2">
      <c r="A15" s="631">
        <v>1</v>
      </c>
      <c r="B15" s="631" t="s">
        <v>43</v>
      </c>
      <c r="C15" s="632">
        <f>'COEFIC 2023'!I8</f>
        <v>0.23797360453465957</v>
      </c>
      <c r="D15" s="633">
        <f t="shared" ref="D15:D46" si="1">$F$8*C15%</f>
        <v>165132.49756513059</v>
      </c>
      <c r="E15" s="634">
        <f>'COEFIC 2023'!P8</f>
        <v>0.39190942225476838</v>
      </c>
      <c r="F15" s="635">
        <f t="shared" ref="F15:F46" si="2">$F$9*E15%</f>
        <v>271950.25197347713</v>
      </c>
      <c r="G15" s="653">
        <f>FPART!J16</f>
        <v>0.78996666580088204</v>
      </c>
      <c r="H15" s="637">
        <f t="shared" ref="H15:H46" si="3">$F$10*G15%</f>
        <v>121814.78770114724</v>
      </c>
      <c r="I15" s="638">
        <f t="shared" ref="I15:I46" si="4">D15+F15+H15</f>
        <v>558897.53723975492</v>
      </c>
      <c r="M15" s="639"/>
      <c r="N15" s="640"/>
      <c r="O15" s="641"/>
    </row>
    <row r="16" spans="1:15" s="613" customFormat="1" ht="12.75" x14ac:dyDescent="0.2">
      <c r="A16" s="631">
        <v>2</v>
      </c>
      <c r="B16" s="631" t="s">
        <v>46</v>
      </c>
      <c r="C16" s="632">
        <f>'COEFIC 2023'!I9</f>
        <v>0.31068600666351365</v>
      </c>
      <c r="D16" s="633">
        <f t="shared" si="1"/>
        <v>215588.43191540011</v>
      </c>
      <c r="E16" s="634">
        <f>'COEFIC 2023'!P9</f>
        <v>1.2675015186709291</v>
      </c>
      <c r="F16" s="635">
        <f t="shared" si="2"/>
        <v>879533.22325393558</v>
      </c>
      <c r="G16" s="653">
        <f>FPART!J17</f>
        <v>0.41162616179693873</v>
      </c>
      <c r="H16" s="637">
        <f t="shared" si="3"/>
        <v>63473.758681573199</v>
      </c>
      <c r="I16" s="638">
        <f t="shared" si="4"/>
        <v>1158595.4138509089</v>
      </c>
      <c r="M16" s="639"/>
      <c r="N16" s="640"/>
      <c r="O16" s="641"/>
    </row>
    <row r="17" spans="1:15" s="613" customFormat="1" ht="12.75" x14ac:dyDescent="0.2">
      <c r="A17" s="631">
        <v>3</v>
      </c>
      <c r="B17" s="631" t="s">
        <v>49</v>
      </c>
      <c r="C17" s="632">
        <f>'COEFIC 2023'!I10</f>
        <v>0.48432819257562787</v>
      </c>
      <c r="D17" s="633">
        <f t="shared" si="1"/>
        <v>336080.65162357345</v>
      </c>
      <c r="E17" s="634">
        <f>'COEFIC 2023'!P10</f>
        <v>0.6143607387492529</v>
      </c>
      <c r="F17" s="635">
        <f t="shared" si="2"/>
        <v>426311.66340486746</v>
      </c>
      <c r="G17" s="653">
        <f>FPART!J18</f>
        <v>0.92173246284482802</v>
      </c>
      <c r="H17" s="637">
        <f t="shared" si="3"/>
        <v>142133.3951665748</v>
      </c>
      <c r="I17" s="638">
        <f t="shared" si="4"/>
        <v>904525.71019501565</v>
      </c>
      <c r="M17" s="639"/>
      <c r="N17" s="640"/>
      <c r="O17" s="641"/>
    </row>
    <row r="18" spans="1:15" s="613" customFormat="1" ht="12.75" x14ac:dyDescent="0.2">
      <c r="A18" s="631">
        <v>4</v>
      </c>
      <c r="B18" s="631" t="s">
        <v>52</v>
      </c>
      <c r="C18" s="632">
        <f>'COEFIC 2023'!I11</f>
        <v>0.31466592094163509</v>
      </c>
      <c r="D18" s="633">
        <f t="shared" si="1"/>
        <v>218350.13813961123</v>
      </c>
      <c r="E18" s="634">
        <f>'COEFIC 2023'!P11</f>
        <v>0.39045222807652885</v>
      </c>
      <c r="F18" s="635">
        <f t="shared" si="2"/>
        <v>270939.0889305817</v>
      </c>
      <c r="G18" s="653">
        <f>FPART!J19</f>
        <v>0.93309894828124873</v>
      </c>
      <c r="H18" s="637">
        <f t="shared" si="3"/>
        <v>143886.13495964196</v>
      </c>
      <c r="I18" s="638">
        <f t="shared" si="4"/>
        <v>633175.36202983488</v>
      </c>
      <c r="M18" s="639"/>
      <c r="N18" s="640"/>
      <c r="O18" s="641"/>
    </row>
    <row r="19" spans="1:15" s="613" customFormat="1" ht="12.75" x14ac:dyDescent="0.2">
      <c r="A19" s="631">
        <v>5</v>
      </c>
      <c r="B19" s="631" t="s">
        <v>54</v>
      </c>
      <c r="C19" s="632">
        <f>'COEFIC 2023'!I12</f>
        <v>0.22936098580581471</v>
      </c>
      <c r="D19" s="633">
        <f t="shared" si="1"/>
        <v>159156.10684712874</v>
      </c>
      <c r="E19" s="634">
        <f>'COEFIC 2023'!P12</f>
        <v>0.41290602770742135</v>
      </c>
      <c r="F19" s="635">
        <f t="shared" si="2"/>
        <v>286520.02707759477</v>
      </c>
      <c r="G19" s="653">
        <f>FPART!J20</f>
        <v>0.74669597756376371</v>
      </c>
      <c r="H19" s="637">
        <f t="shared" si="3"/>
        <v>115142.34197719602</v>
      </c>
      <c r="I19" s="638">
        <f t="shared" si="4"/>
        <v>560818.47590191953</v>
      </c>
      <c r="M19" s="639"/>
      <c r="N19" s="640"/>
      <c r="O19" s="641"/>
    </row>
    <row r="20" spans="1:15" s="613" customFormat="1" ht="12.75" x14ac:dyDescent="0.2">
      <c r="A20" s="631">
        <v>6</v>
      </c>
      <c r="B20" s="631" t="s">
        <v>57</v>
      </c>
      <c r="C20" s="632">
        <f>'COEFIC 2023'!I13</f>
        <v>2.6572982151874371</v>
      </c>
      <c r="D20" s="633">
        <f t="shared" si="1"/>
        <v>1843928.4134361024</v>
      </c>
      <c r="E20" s="634">
        <f>'COEFIC 2023'!P13</f>
        <v>2.3148565147498155</v>
      </c>
      <c r="F20" s="635">
        <f t="shared" si="2"/>
        <v>1606304.356876171</v>
      </c>
      <c r="G20" s="653">
        <f>FPART!J21</f>
        <v>1.1174691526029661</v>
      </c>
      <c r="H20" s="637">
        <f t="shared" si="3"/>
        <v>172316.4704030974</v>
      </c>
      <c r="I20" s="638">
        <f t="shared" si="4"/>
        <v>3622549.240715371</v>
      </c>
      <c r="M20" s="639"/>
      <c r="N20" s="640"/>
      <c r="O20" s="641"/>
    </row>
    <row r="21" spans="1:15" s="613" customFormat="1" ht="12.75" x14ac:dyDescent="0.2">
      <c r="A21" s="631">
        <v>7</v>
      </c>
      <c r="B21" s="631" t="s">
        <v>44</v>
      </c>
      <c r="C21" s="632">
        <f>'COEFIC 2023'!I14</f>
        <v>7.4312790939103937E-2</v>
      </c>
      <c r="D21" s="633">
        <f t="shared" si="1"/>
        <v>51566.461720851759</v>
      </c>
      <c r="E21" s="634">
        <f>'COEFIC 2023'!P14</f>
        <v>0.37653818456552185</v>
      </c>
      <c r="F21" s="635">
        <f t="shared" si="2"/>
        <v>261283.98133705091</v>
      </c>
      <c r="G21" s="653">
        <f>FPART!J22</f>
        <v>0.3446437770918015</v>
      </c>
      <c r="H21" s="637">
        <f t="shared" si="3"/>
        <v>53144.911496229404</v>
      </c>
      <c r="I21" s="638">
        <f t="shared" si="4"/>
        <v>365995.35455413209</v>
      </c>
      <c r="M21" s="639"/>
      <c r="N21" s="640"/>
      <c r="O21" s="641"/>
    </row>
    <row r="22" spans="1:15" s="613" customFormat="1" ht="12.75" x14ac:dyDescent="0.2">
      <c r="A22" s="631">
        <v>8</v>
      </c>
      <c r="B22" s="631" t="s">
        <v>59</v>
      </c>
      <c r="C22" s="632">
        <f>'COEFIC 2023'!I15</f>
        <v>0.51962097739113877</v>
      </c>
      <c r="D22" s="633">
        <f t="shared" si="1"/>
        <v>360570.70258536073</v>
      </c>
      <c r="E22" s="634">
        <f>'COEFIC 2023'!P15</f>
        <v>2.3668185263996966</v>
      </c>
      <c r="F22" s="635">
        <f t="shared" si="2"/>
        <v>1642361.3673964427</v>
      </c>
      <c r="G22" s="653">
        <f>FPART!J23</f>
        <v>0.37641255317525624</v>
      </c>
      <c r="H22" s="637">
        <f t="shared" si="3"/>
        <v>58043.734296819282</v>
      </c>
      <c r="I22" s="638">
        <f t="shared" si="4"/>
        <v>2060975.8042786226</v>
      </c>
      <c r="M22" s="639"/>
      <c r="N22" s="640"/>
      <c r="O22" s="641"/>
    </row>
    <row r="23" spans="1:15" s="613" customFormat="1" ht="12.75" x14ac:dyDescent="0.2">
      <c r="A23" s="631">
        <v>9</v>
      </c>
      <c r="B23" s="631" t="s">
        <v>342</v>
      </c>
      <c r="C23" s="632">
        <f>'COEFIC 2023'!I16</f>
        <v>0.76372238644925527</v>
      </c>
      <c r="D23" s="633">
        <f t="shared" si="1"/>
        <v>529955.35100364173</v>
      </c>
      <c r="E23" s="634">
        <f>'COEFIC 2023'!P16</f>
        <v>0.92206001121936687</v>
      </c>
      <c r="F23" s="635">
        <f t="shared" si="2"/>
        <v>639827.56766374991</v>
      </c>
      <c r="G23" s="653">
        <f>FPART!J24</f>
        <v>0.9472702299654876</v>
      </c>
      <c r="H23" s="637">
        <f t="shared" si="3"/>
        <v>146071.38117894743</v>
      </c>
      <c r="I23" s="638">
        <f t="shared" si="4"/>
        <v>1315854.299846339</v>
      </c>
      <c r="M23" s="639"/>
      <c r="N23" s="640"/>
      <c r="O23" s="641"/>
    </row>
    <row r="24" spans="1:15" s="613" customFormat="1" ht="12.75" x14ac:dyDescent="0.2">
      <c r="A24" s="631">
        <v>10</v>
      </c>
      <c r="B24" s="631" t="s">
        <v>64</v>
      </c>
      <c r="C24" s="632">
        <f>'COEFIC 2023'!I17</f>
        <v>0.428146122236855</v>
      </c>
      <c r="D24" s="633">
        <f t="shared" si="1"/>
        <v>297095.29603523889</v>
      </c>
      <c r="E24" s="634">
        <f>'COEFIC 2023'!P17</f>
        <v>2.5709050555810502</v>
      </c>
      <c r="F24" s="635">
        <f t="shared" si="2"/>
        <v>1783979.2512328303</v>
      </c>
      <c r="G24" s="653">
        <f>FPART!J25</f>
        <v>0.29850253295498103</v>
      </c>
      <c r="H24" s="637">
        <f t="shared" si="3"/>
        <v>46029.8190472395</v>
      </c>
      <c r="I24" s="638">
        <f t="shared" si="4"/>
        <v>2127104.366315309</v>
      </c>
      <c r="M24" s="639"/>
      <c r="N24" s="640"/>
      <c r="O24" s="641"/>
    </row>
    <row r="25" spans="1:15" s="613" customFormat="1" ht="12.75" x14ac:dyDescent="0.2">
      <c r="A25" s="631">
        <v>11</v>
      </c>
      <c r="B25" s="631" t="s">
        <v>343</v>
      </c>
      <c r="C25" s="632">
        <f>'COEFIC 2023'!I18</f>
        <v>0.24597554858590909</v>
      </c>
      <c r="D25" s="633">
        <f t="shared" si="1"/>
        <v>170685.13441804179</v>
      </c>
      <c r="E25" s="634">
        <f>'COEFIC 2023'!P18</f>
        <v>0.48150914529440353</v>
      </c>
      <c r="F25" s="635">
        <f t="shared" si="2"/>
        <v>334124.48375691846</v>
      </c>
      <c r="G25" s="653">
        <f>FPART!J26</f>
        <v>0.7069813546622179</v>
      </c>
      <c r="H25" s="637">
        <f t="shared" si="3"/>
        <v>109018.25020621193</v>
      </c>
      <c r="I25" s="638">
        <f t="shared" si="4"/>
        <v>613827.86838117219</v>
      </c>
      <c r="M25" s="639"/>
      <c r="N25" s="640"/>
      <c r="O25" s="641"/>
    </row>
    <row r="26" spans="1:15" s="613" customFormat="1" ht="12.75" x14ac:dyDescent="0.2">
      <c r="A26" s="631">
        <v>12</v>
      </c>
      <c r="B26" s="631" t="s">
        <v>70</v>
      </c>
      <c r="C26" s="632">
        <f>'COEFIC 2023'!I19</f>
        <v>0.95892770580473663</v>
      </c>
      <c r="D26" s="633">
        <f t="shared" si="1"/>
        <v>665410.46581018635</v>
      </c>
      <c r="E26" s="634">
        <f>'COEFIC 2023'!P19</f>
        <v>1.0229413737008273</v>
      </c>
      <c r="F26" s="635">
        <f t="shared" si="2"/>
        <v>709830.25294858194</v>
      </c>
      <c r="G26" s="653">
        <f>FPART!J27</f>
        <v>1.0116977575122408</v>
      </c>
      <c r="H26" s="637">
        <f t="shared" si="3"/>
        <v>156006.26315559496</v>
      </c>
      <c r="I26" s="638">
        <f t="shared" si="4"/>
        <v>1531246.9819143633</v>
      </c>
      <c r="M26" s="639"/>
      <c r="N26" s="640"/>
      <c r="O26" s="641"/>
    </row>
    <row r="27" spans="1:15" s="613" customFormat="1" ht="12.75" x14ac:dyDescent="0.2">
      <c r="A27" s="631">
        <v>13</v>
      </c>
      <c r="B27" s="631" t="s">
        <v>73</v>
      </c>
      <c r="C27" s="632">
        <f>'COEFIC 2023'!I20</f>
        <v>0.19322589109017221</v>
      </c>
      <c r="D27" s="633">
        <f t="shared" si="1"/>
        <v>134081.56779556128</v>
      </c>
      <c r="E27" s="634">
        <f>'COEFIC 2023'!P20</f>
        <v>0.96514801886169921</v>
      </c>
      <c r="F27" s="635">
        <f t="shared" si="2"/>
        <v>669726.80935064668</v>
      </c>
      <c r="G27" s="653">
        <f>FPART!J28</f>
        <v>0.34878390370081253</v>
      </c>
      <c r="H27" s="637">
        <f t="shared" si="3"/>
        <v>53783.329122903888</v>
      </c>
      <c r="I27" s="638">
        <f t="shared" si="4"/>
        <v>857591.70626911183</v>
      </c>
      <c r="M27" s="639"/>
      <c r="N27" s="640"/>
      <c r="O27" s="641"/>
    </row>
    <row r="28" spans="1:15" s="613" customFormat="1" ht="12.75" x14ac:dyDescent="0.2">
      <c r="A28" s="631">
        <v>14</v>
      </c>
      <c r="B28" s="631" t="s">
        <v>75</v>
      </c>
      <c r="C28" s="632">
        <f>'COEFIC 2023'!I21</f>
        <v>0.35844497800097119</v>
      </c>
      <c r="D28" s="633">
        <f t="shared" si="1"/>
        <v>248728.90660593333</v>
      </c>
      <c r="E28" s="634">
        <f>'COEFIC 2023'!P21</f>
        <v>0.57115855003271865</v>
      </c>
      <c r="F28" s="635">
        <f t="shared" si="2"/>
        <v>396333.1902166683</v>
      </c>
      <c r="G28" s="653">
        <f>FPART!J29</f>
        <v>0.80624051696347643</v>
      </c>
      <c r="H28" s="637">
        <f t="shared" si="3"/>
        <v>124324.25526512567</v>
      </c>
      <c r="I28" s="638">
        <f t="shared" si="4"/>
        <v>769386.35208772728</v>
      </c>
      <c r="M28" s="639"/>
      <c r="N28" s="640"/>
      <c r="O28" s="641"/>
    </row>
    <row r="29" spans="1:15" s="613" customFormat="1" ht="12.75" x14ac:dyDescent="0.2">
      <c r="A29" s="631">
        <v>15</v>
      </c>
      <c r="B29" s="728" t="s">
        <v>77</v>
      </c>
      <c r="C29" s="632">
        <f>'COEFIC 2023'!I22</f>
        <v>0.41342675673205659</v>
      </c>
      <c r="D29" s="633">
        <f t="shared" si="1"/>
        <v>286881.36666633119</v>
      </c>
      <c r="E29" s="634">
        <f>'COEFIC 2023'!P22</f>
        <v>2.4541796257109025</v>
      </c>
      <c r="F29" s="635">
        <f t="shared" si="2"/>
        <v>1702982.1935906091</v>
      </c>
      <c r="G29" s="653">
        <f>FPART!J30</f>
        <v>0.30145252425752023</v>
      </c>
      <c r="H29" s="637">
        <f t="shared" si="3"/>
        <v>46484.714905249821</v>
      </c>
      <c r="I29" s="638">
        <f t="shared" si="4"/>
        <v>2036348.2751621902</v>
      </c>
      <c r="M29" s="639"/>
      <c r="N29" s="640"/>
      <c r="O29" s="641"/>
    </row>
    <row r="30" spans="1:15" s="613" customFormat="1" ht="12.75" x14ac:dyDescent="0.2">
      <c r="A30" s="631">
        <v>16</v>
      </c>
      <c r="B30" s="631" t="s">
        <v>79</v>
      </c>
      <c r="C30" s="632">
        <f>'COEFIC 2023'!I23</f>
        <v>0.44147567640643642</v>
      </c>
      <c r="D30" s="633">
        <f t="shared" si="1"/>
        <v>306344.82005600946</v>
      </c>
      <c r="E30" s="634">
        <f>'COEFIC 2023'!P23</f>
        <v>0.50820227003137264</v>
      </c>
      <c r="F30" s="635">
        <f t="shared" si="2"/>
        <v>352647.13615045854</v>
      </c>
      <c r="G30" s="653">
        <f>FPART!J31</f>
        <v>0.97200905439695728</v>
      </c>
      <c r="H30" s="637">
        <f t="shared" si="3"/>
        <v>149886.16827890716</v>
      </c>
      <c r="I30" s="638">
        <f t="shared" si="4"/>
        <v>808878.12448537513</v>
      </c>
      <c r="M30" s="639"/>
      <c r="N30" s="640"/>
      <c r="O30" s="641"/>
    </row>
    <row r="31" spans="1:15" s="613" customFormat="1" ht="12.75" x14ac:dyDescent="0.2">
      <c r="A31" s="631">
        <v>17</v>
      </c>
      <c r="B31" s="631" t="s">
        <v>81</v>
      </c>
      <c r="C31" s="632">
        <f>'COEFIC 2023'!I24</f>
        <v>0.73849520494031606</v>
      </c>
      <c r="D31" s="633">
        <f t="shared" si="1"/>
        <v>512449.93271472695</v>
      </c>
      <c r="E31" s="634">
        <f>'COEFIC 2023'!P24</f>
        <v>0.66896812392176042</v>
      </c>
      <c r="F31" s="635">
        <f t="shared" si="2"/>
        <v>464204.32766345289</v>
      </c>
      <c r="G31" s="653">
        <f>FPART!J32</f>
        <v>1.0971107594620315</v>
      </c>
      <c r="H31" s="637">
        <f t="shared" si="3"/>
        <v>169177.15649814266</v>
      </c>
      <c r="I31" s="638">
        <f t="shared" si="4"/>
        <v>1145831.4168763226</v>
      </c>
      <c r="M31" s="639"/>
      <c r="N31" s="640"/>
      <c r="O31" s="641"/>
    </row>
    <row r="32" spans="1:15" s="613" customFormat="1" ht="12.75" x14ac:dyDescent="0.2">
      <c r="A32" s="631">
        <v>18</v>
      </c>
      <c r="B32" s="631" t="s">
        <v>82</v>
      </c>
      <c r="C32" s="632">
        <f>'COEFIC 2023'!I25</f>
        <v>0.19971167732118497</v>
      </c>
      <c r="D32" s="633">
        <f t="shared" si="1"/>
        <v>138582.12608686829</v>
      </c>
      <c r="E32" s="634">
        <f>'COEFIC 2023'!P25</f>
        <v>0.28026543034401025</v>
      </c>
      <c r="F32" s="635">
        <f t="shared" si="2"/>
        <v>194479.25993461168</v>
      </c>
      <c r="G32" s="653">
        <f>FPART!J33</f>
        <v>0.87000714146065139</v>
      </c>
      <c r="H32" s="637">
        <f t="shared" si="3"/>
        <v>134157.22437866047</v>
      </c>
      <c r="I32" s="638">
        <f t="shared" si="4"/>
        <v>467218.6104001404</v>
      </c>
      <c r="M32" s="639"/>
      <c r="N32" s="640"/>
      <c r="O32" s="641"/>
    </row>
    <row r="33" spans="1:15" s="613" customFormat="1" ht="12.75" x14ac:dyDescent="0.2">
      <c r="A33" s="631">
        <v>19</v>
      </c>
      <c r="B33" s="631" t="s">
        <v>344</v>
      </c>
      <c r="C33" s="632">
        <f>'COEFIC 2023'!I26</f>
        <v>0.42532438407141443</v>
      </c>
      <c r="D33" s="633">
        <f t="shared" si="1"/>
        <v>295137.26093447552</v>
      </c>
      <c r="E33" s="634">
        <f>'COEFIC 2023'!P26</f>
        <v>0.62493143387391448</v>
      </c>
      <c r="F33" s="635">
        <f t="shared" si="2"/>
        <v>433646.78483712982</v>
      </c>
      <c r="G33" s="653">
        <f>FPART!J34</f>
        <v>0.84676923048551944</v>
      </c>
      <c r="H33" s="637">
        <f t="shared" si="3"/>
        <v>130573.88179649717</v>
      </c>
      <c r="I33" s="638">
        <f t="shared" si="4"/>
        <v>859357.92756810249</v>
      </c>
      <c r="M33" s="639"/>
      <c r="N33" s="640"/>
      <c r="O33" s="641"/>
    </row>
    <row r="34" spans="1:15" s="613" customFormat="1" ht="12.75" x14ac:dyDescent="0.2">
      <c r="A34" s="631">
        <v>20</v>
      </c>
      <c r="B34" s="631" t="s">
        <v>87</v>
      </c>
      <c r="C34" s="632">
        <f>'COEFIC 2023'!I27</f>
        <v>0.62983722782334906</v>
      </c>
      <c r="D34" s="633">
        <f t="shared" si="1"/>
        <v>437050.96913309052</v>
      </c>
      <c r="E34" s="634">
        <f>'COEFIC 2023'!P27</f>
        <v>0.53262041220293821</v>
      </c>
      <c r="F34" s="635">
        <f t="shared" si="2"/>
        <v>369591.15315846162</v>
      </c>
      <c r="G34" s="653">
        <f>FPART!J35</f>
        <v>1.1328986870144744</v>
      </c>
      <c r="H34" s="637">
        <f t="shared" si="3"/>
        <v>174695.74226358774</v>
      </c>
      <c r="I34" s="638">
        <f t="shared" si="4"/>
        <v>981337.86455513991</v>
      </c>
      <c r="M34" s="639"/>
      <c r="N34" s="640"/>
      <c r="O34" s="641"/>
    </row>
    <row r="35" spans="1:15" s="613" customFormat="1" ht="12.75" x14ac:dyDescent="0.2">
      <c r="A35" s="631">
        <v>21</v>
      </c>
      <c r="B35" s="631" t="s">
        <v>88</v>
      </c>
      <c r="C35" s="632">
        <f>'COEFIC 2023'!I28</f>
        <v>0.28510084344701853</v>
      </c>
      <c r="D35" s="633">
        <f t="shared" si="1"/>
        <v>197834.60618832876</v>
      </c>
      <c r="E35" s="634">
        <f>'COEFIC 2023'!P28</f>
        <v>0.29534014984136081</v>
      </c>
      <c r="F35" s="635">
        <f t="shared" si="2"/>
        <v>204939.77334137782</v>
      </c>
      <c r="G35" s="653">
        <f>FPART!J36</f>
        <v>1.0270233276278691</v>
      </c>
      <c r="H35" s="637">
        <f t="shared" si="3"/>
        <v>158369.50346794617</v>
      </c>
      <c r="I35" s="638">
        <f t="shared" si="4"/>
        <v>561143.88299765275</v>
      </c>
      <c r="M35" s="639"/>
      <c r="N35" s="640"/>
      <c r="O35" s="641"/>
    </row>
    <row r="36" spans="1:15" s="613" customFormat="1" ht="12.75" x14ac:dyDescent="0.2">
      <c r="A36" s="631">
        <v>22</v>
      </c>
      <c r="B36" s="631" t="s">
        <v>91</v>
      </c>
      <c r="C36" s="632">
        <f>'COEFIC 2023'!I29</f>
        <v>0.52934965673765799</v>
      </c>
      <c r="D36" s="633">
        <f t="shared" si="1"/>
        <v>367321.54002232128</v>
      </c>
      <c r="E36" s="634">
        <f>'COEFIC 2023'!P29</f>
        <v>0.58909725889407172</v>
      </c>
      <c r="F36" s="635">
        <f t="shared" si="2"/>
        <v>408781.0572948741</v>
      </c>
      <c r="G36" s="653">
        <f>FPART!J37</f>
        <v>0.9896169889340688</v>
      </c>
      <c r="H36" s="637">
        <f t="shared" si="3"/>
        <v>152601.35475493321</v>
      </c>
      <c r="I36" s="638">
        <f t="shared" si="4"/>
        <v>928703.95207212865</v>
      </c>
      <c r="M36" s="639"/>
      <c r="N36" s="640"/>
      <c r="O36" s="641"/>
    </row>
    <row r="37" spans="1:15" s="613" customFormat="1" ht="12.75" x14ac:dyDescent="0.2">
      <c r="A37" s="631">
        <v>23</v>
      </c>
      <c r="B37" s="631" t="s">
        <v>60</v>
      </c>
      <c r="C37" s="632">
        <f>'COEFIC 2023'!I30</f>
        <v>0.21935855574175284</v>
      </c>
      <c r="D37" s="633">
        <f t="shared" si="1"/>
        <v>152215.31078098976</v>
      </c>
      <c r="E37" s="634">
        <f>'COEFIC 2023'!P30</f>
        <v>0.33156680672772304</v>
      </c>
      <c r="F37" s="635">
        <f t="shared" si="2"/>
        <v>230077.84838872516</v>
      </c>
      <c r="G37" s="653">
        <f>FPART!J38</f>
        <v>0.83253345540973678</v>
      </c>
      <c r="H37" s="637">
        <f t="shared" si="3"/>
        <v>128378.69053882599</v>
      </c>
      <c r="I37" s="638">
        <f t="shared" si="4"/>
        <v>510671.84970854089</v>
      </c>
      <c r="M37" s="639"/>
      <c r="N37" s="640"/>
      <c r="O37" s="641"/>
    </row>
    <row r="38" spans="1:15" s="613" customFormat="1" ht="12.75" x14ac:dyDescent="0.2">
      <c r="A38" s="631">
        <v>24</v>
      </c>
      <c r="B38" s="631" t="s">
        <v>95</v>
      </c>
      <c r="C38" s="632">
        <f>'COEFIC 2023'!I31</f>
        <v>0.43349479010269021</v>
      </c>
      <c r="D38" s="633">
        <f t="shared" si="1"/>
        <v>300806.79540534271</v>
      </c>
      <c r="E38" s="634">
        <f>'COEFIC 2023'!P31</f>
        <v>0.37830699446529953</v>
      </c>
      <c r="F38" s="635">
        <f t="shared" si="2"/>
        <v>262511.37795122317</v>
      </c>
      <c r="G38" s="653">
        <f>FPART!J39</f>
        <v>1.1165386556009005</v>
      </c>
      <c r="H38" s="637">
        <f t="shared" si="3"/>
        <v>172172.985494594</v>
      </c>
      <c r="I38" s="638">
        <f t="shared" si="4"/>
        <v>735491.15885115985</v>
      </c>
      <c r="M38" s="639"/>
      <c r="N38" s="640"/>
      <c r="O38" s="641"/>
    </row>
    <row r="39" spans="1:15" s="613" customFormat="1" ht="12.75" x14ac:dyDescent="0.2">
      <c r="A39" s="631">
        <v>25</v>
      </c>
      <c r="B39" s="631" t="s">
        <v>97</v>
      </c>
      <c r="C39" s="632">
        <f>'COEFIC 2023'!I32</f>
        <v>0.8541022387333681</v>
      </c>
      <c r="D39" s="633">
        <f t="shared" si="1"/>
        <v>592670.92303704948</v>
      </c>
      <c r="E39" s="634">
        <f>'COEFIC 2023'!P32</f>
        <v>0.57696638894395824</v>
      </c>
      <c r="F39" s="635">
        <f t="shared" si="2"/>
        <v>400363.31341770274</v>
      </c>
      <c r="G39" s="653">
        <f>FPART!J40</f>
        <v>1.2479272892564075</v>
      </c>
      <c r="H39" s="637">
        <f t="shared" si="3"/>
        <v>192433.43344509474</v>
      </c>
      <c r="I39" s="638">
        <f t="shared" si="4"/>
        <v>1185467.6698998469</v>
      </c>
      <c r="M39" s="639"/>
      <c r="N39" s="640"/>
      <c r="O39" s="641"/>
    </row>
    <row r="40" spans="1:15" s="613" customFormat="1" ht="12.75" x14ac:dyDescent="0.2">
      <c r="A40" s="631">
        <v>26</v>
      </c>
      <c r="B40" s="631" t="s">
        <v>345</v>
      </c>
      <c r="C40" s="632">
        <f>'COEFIC 2023'!I33</f>
        <v>0.10050862883319442</v>
      </c>
      <c r="D40" s="633">
        <f t="shared" si="1"/>
        <v>69744.041313013731</v>
      </c>
      <c r="E40" s="634">
        <f>'COEFIC 2023'!P33</f>
        <v>0.94812774970318459</v>
      </c>
      <c r="F40" s="635">
        <f t="shared" si="2"/>
        <v>657916.25766836153</v>
      </c>
      <c r="G40" s="653">
        <f>FPART!J41</f>
        <v>0.20040950302944549</v>
      </c>
      <c r="H40" s="637">
        <f t="shared" si="3"/>
        <v>30903.634446491691</v>
      </c>
      <c r="I40" s="638">
        <f t="shared" si="4"/>
        <v>758563.93342786701</v>
      </c>
      <c r="M40" s="639"/>
      <c r="N40" s="640"/>
      <c r="O40" s="641"/>
    </row>
    <row r="41" spans="1:15" s="613" customFormat="1" ht="12.75" x14ac:dyDescent="0.2">
      <c r="A41" s="631">
        <v>27</v>
      </c>
      <c r="B41" s="631" t="s">
        <v>71</v>
      </c>
      <c r="C41" s="632">
        <f>'COEFIC 2023'!I34</f>
        <v>0.10410950365625671</v>
      </c>
      <c r="D41" s="633">
        <f t="shared" si="1"/>
        <v>72242.727896823795</v>
      </c>
      <c r="E41" s="634">
        <f>'COEFIC 2023'!P34</f>
        <v>0.23628668401264072</v>
      </c>
      <c r="F41" s="635">
        <f t="shared" si="2"/>
        <v>163961.9248894779</v>
      </c>
      <c r="G41" s="653">
        <f>FPART!J42</f>
        <v>0.63950739550870017</v>
      </c>
      <c r="H41" s="637">
        <f t="shared" si="3"/>
        <v>98613.60104128957</v>
      </c>
      <c r="I41" s="638">
        <f t="shared" si="4"/>
        <v>334818.25382759125</v>
      </c>
      <c r="M41" s="639"/>
      <c r="N41" s="640"/>
      <c r="O41" s="641"/>
    </row>
    <row r="42" spans="1:15" s="613" customFormat="1" ht="12.75" x14ac:dyDescent="0.2">
      <c r="A42" s="631">
        <v>28</v>
      </c>
      <c r="B42" s="631" t="s">
        <v>72</v>
      </c>
      <c r="C42" s="632">
        <f>'COEFIC 2023'!I35</f>
        <v>0.11019519268470698</v>
      </c>
      <c r="D42" s="633">
        <f t="shared" si="1"/>
        <v>76465.654345485207</v>
      </c>
      <c r="E42" s="634">
        <f>'COEFIC 2023'!P35</f>
        <v>0.25822216015596905</v>
      </c>
      <c r="F42" s="635">
        <f t="shared" si="2"/>
        <v>179183.19267634535</v>
      </c>
      <c r="G42" s="653">
        <f>FPART!J43</f>
        <v>0.62540659063940485</v>
      </c>
      <c r="H42" s="637">
        <f t="shared" si="3"/>
        <v>96439.222518840033</v>
      </c>
      <c r="I42" s="638">
        <f t="shared" si="4"/>
        <v>352088.06954067061</v>
      </c>
      <c r="M42" s="639"/>
      <c r="N42" s="640"/>
      <c r="O42" s="641"/>
    </row>
    <row r="43" spans="1:15" s="613" customFormat="1" ht="12.75" x14ac:dyDescent="0.2">
      <c r="A43" s="631">
        <v>29</v>
      </c>
      <c r="B43" s="631" t="s">
        <v>61</v>
      </c>
      <c r="C43" s="632">
        <f>'COEFIC 2023'!I36</f>
        <v>0.25989471968558259</v>
      </c>
      <c r="D43" s="633">
        <f t="shared" si="1"/>
        <v>180343.80010165842</v>
      </c>
      <c r="E43" s="634">
        <f>'COEFIC 2023'!P36</f>
        <v>0.80482357884115929</v>
      </c>
      <c r="F43" s="635">
        <f t="shared" si="2"/>
        <v>558475.91976945871</v>
      </c>
      <c r="G43" s="653">
        <f>FPART!J44</f>
        <v>0.51039054519633531</v>
      </c>
      <c r="H43" s="637">
        <f t="shared" si="3"/>
        <v>78703.467626361395</v>
      </c>
      <c r="I43" s="638">
        <f t="shared" si="4"/>
        <v>817523.18749747856</v>
      </c>
      <c r="M43" s="639"/>
      <c r="N43" s="640"/>
      <c r="O43" s="641"/>
    </row>
    <row r="44" spans="1:15" s="613" customFormat="1" ht="12.75" x14ac:dyDescent="0.2">
      <c r="A44" s="631">
        <v>30</v>
      </c>
      <c r="B44" s="631" t="s">
        <v>104</v>
      </c>
      <c r="C44" s="632">
        <f>'COEFIC 2023'!I37</f>
        <v>0.24953430791396478</v>
      </c>
      <c r="D44" s="633">
        <f t="shared" si="1"/>
        <v>173154.5965973628</v>
      </c>
      <c r="E44" s="634">
        <f>'COEFIC 2023'!P37</f>
        <v>0.37167013004425603</v>
      </c>
      <c r="F44" s="635">
        <f t="shared" si="2"/>
        <v>257905.98484474342</v>
      </c>
      <c r="G44" s="653">
        <f>FPART!J45</f>
        <v>0.83991550252888769</v>
      </c>
      <c r="H44" s="637">
        <f t="shared" si="3"/>
        <v>129517.02021974686</v>
      </c>
      <c r="I44" s="638">
        <f t="shared" si="4"/>
        <v>560577.60166185303</v>
      </c>
      <c r="M44" s="639"/>
      <c r="N44" s="640"/>
      <c r="O44" s="641"/>
    </row>
    <row r="45" spans="1:15" s="613" customFormat="1" ht="12.75" x14ac:dyDescent="0.2">
      <c r="A45" s="631">
        <v>31</v>
      </c>
      <c r="B45" s="631" t="s">
        <v>48</v>
      </c>
      <c r="C45" s="632">
        <f>'COEFIC 2023'!I38</f>
        <v>0.33928242777297896</v>
      </c>
      <c r="D45" s="633">
        <f t="shared" si="1"/>
        <v>235431.80256343546</v>
      </c>
      <c r="E45" s="634">
        <f>'COEFIC 2023'!P38</f>
        <v>0.55583300952537551</v>
      </c>
      <c r="F45" s="635">
        <f t="shared" si="2"/>
        <v>385698.62935660209</v>
      </c>
      <c r="G45" s="653">
        <f>FPART!J46</f>
        <v>0.79254184703312069</v>
      </c>
      <c r="H45" s="637">
        <f t="shared" si="3"/>
        <v>122211.88693163071</v>
      </c>
      <c r="I45" s="638">
        <f t="shared" si="4"/>
        <v>743342.31885166827</v>
      </c>
      <c r="M45" s="639"/>
      <c r="N45" s="640"/>
      <c r="O45" s="641"/>
    </row>
    <row r="46" spans="1:15" s="613" customFormat="1" ht="12.75" x14ac:dyDescent="0.2">
      <c r="A46" s="631">
        <v>32</v>
      </c>
      <c r="B46" s="631" t="s">
        <v>83</v>
      </c>
      <c r="C46" s="632">
        <f>'COEFIC 2023'!I39</f>
        <v>0.33092250201417356</v>
      </c>
      <c r="D46" s="633">
        <f t="shared" si="1"/>
        <v>229630.75827236768</v>
      </c>
      <c r="E46" s="634">
        <f>'COEFIC 2023'!P39</f>
        <v>0.35285067758515876</v>
      </c>
      <c r="F46" s="635">
        <f t="shared" si="2"/>
        <v>244846.96011191281</v>
      </c>
      <c r="G46" s="653">
        <f>FPART!J47</f>
        <v>1.0119385015504034</v>
      </c>
      <c r="H46" s="637">
        <f t="shared" si="3"/>
        <v>156043.38647379138</v>
      </c>
      <c r="I46" s="638">
        <f t="shared" si="4"/>
        <v>630521.10485807178</v>
      </c>
      <c r="M46" s="639"/>
      <c r="N46" s="640"/>
      <c r="O46" s="641"/>
    </row>
    <row r="47" spans="1:15" s="613" customFormat="1" ht="12.75" x14ac:dyDescent="0.2">
      <c r="A47" s="631">
        <v>33</v>
      </c>
      <c r="B47" s="631" t="s">
        <v>108</v>
      </c>
      <c r="C47" s="632">
        <f>'COEFIC 2023'!I40</f>
        <v>0.45202560790558383</v>
      </c>
      <c r="D47" s="633">
        <f t="shared" ref="D47:D78" si="5">$F$8*C47%</f>
        <v>313665.53338050557</v>
      </c>
      <c r="E47" s="634">
        <f>'COEFIC 2023'!P40</f>
        <v>0.49576725952589529</v>
      </c>
      <c r="F47" s="635">
        <f t="shared" ref="F47:F78" si="6">$F$9*E47%</f>
        <v>344018.34580190945</v>
      </c>
      <c r="G47" s="653">
        <f>FPART!J48</f>
        <v>0.99721656830305083</v>
      </c>
      <c r="H47" s="637">
        <f t="shared" ref="H47:H78" si="7">$F$10*G47%</f>
        <v>153773.22843964375</v>
      </c>
      <c r="I47" s="638">
        <f t="shared" ref="I47:I78" si="8">D47+F47+H47</f>
        <v>811457.10762205883</v>
      </c>
      <c r="M47" s="639"/>
      <c r="N47" s="640"/>
      <c r="O47" s="641"/>
    </row>
    <row r="48" spans="1:15" s="613" customFormat="1" ht="12.75" x14ac:dyDescent="0.2">
      <c r="A48" s="631">
        <v>34</v>
      </c>
      <c r="B48" s="631" t="s">
        <v>110</v>
      </c>
      <c r="C48" s="632">
        <f>'COEFIC 2023'!I41</f>
        <v>2.6472115541333623</v>
      </c>
      <c r="D48" s="633">
        <f t="shared" si="5"/>
        <v>1836929.1685609852</v>
      </c>
      <c r="E48" s="634">
        <f>'COEFIC 2023'!P41</f>
        <v>1.9717994179898699</v>
      </c>
      <c r="F48" s="635">
        <f t="shared" si="6"/>
        <v>1368253.2700500193</v>
      </c>
      <c r="G48" s="653">
        <f>FPART!J49</f>
        <v>1.1983385718274551</v>
      </c>
      <c r="H48" s="637">
        <f t="shared" si="7"/>
        <v>184786.73220124427</v>
      </c>
      <c r="I48" s="638">
        <f t="shared" si="8"/>
        <v>3389969.1708122487</v>
      </c>
      <c r="M48" s="639"/>
      <c r="N48" s="640"/>
      <c r="O48" s="641"/>
    </row>
    <row r="49" spans="1:15" s="613" customFormat="1" ht="12.75" x14ac:dyDescent="0.2">
      <c r="A49" s="631">
        <v>35</v>
      </c>
      <c r="B49" s="631" t="s">
        <v>112</v>
      </c>
      <c r="C49" s="632">
        <f>'COEFIC 2023'!I42</f>
        <v>0.64493563278320676</v>
      </c>
      <c r="D49" s="633">
        <f t="shared" si="5"/>
        <v>447527.91814239934</v>
      </c>
      <c r="E49" s="634">
        <f>'COEFIC 2023'!P42</f>
        <v>1.3912005894388211</v>
      </c>
      <c r="F49" s="635">
        <f t="shared" si="6"/>
        <v>965369.36689823121</v>
      </c>
      <c r="G49" s="653">
        <f>FPART!J50</f>
        <v>0.66229187199343809</v>
      </c>
      <c r="H49" s="637">
        <f t="shared" si="7"/>
        <v>102127.02291847256</v>
      </c>
      <c r="I49" s="638">
        <f t="shared" si="8"/>
        <v>1515024.307959103</v>
      </c>
      <c r="M49" s="639"/>
      <c r="N49" s="640"/>
      <c r="O49" s="641"/>
    </row>
    <row r="50" spans="1:15" s="613" customFormat="1" ht="12.75" x14ac:dyDescent="0.2">
      <c r="A50" s="631">
        <v>36</v>
      </c>
      <c r="B50" s="631" t="s">
        <v>114</v>
      </c>
      <c r="C50" s="632">
        <f>'COEFIC 2023'!I43</f>
        <v>0.24519641192828742</v>
      </c>
      <c r="D50" s="633">
        <f t="shared" si="5"/>
        <v>170144.48293499518</v>
      </c>
      <c r="E50" s="634">
        <f>'COEFIC 2023'!P43</f>
        <v>0.38634093434527844</v>
      </c>
      <c r="F50" s="635">
        <f t="shared" si="6"/>
        <v>268086.21706106153</v>
      </c>
      <c r="G50" s="653">
        <f>FPART!J51</f>
        <v>0.81181104447788688</v>
      </c>
      <c r="H50" s="637">
        <f t="shared" si="7"/>
        <v>125183.24420216311</v>
      </c>
      <c r="I50" s="638">
        <f t="shared" si="8"/>
        <v>563413.9441982198</v>
      </c>
      <c r="M50" s="639"/>
      <c r="N50" s="640"/>
      <c r="O50" s="641"/>
    </row>
    <row r="51" spans="1:15" s="613" customFormat="1" ht="12.75" x14ac:dyDescent="0.2">
      <c r="A51" s="631">
        <v>37</v>
      </c>
      <c r="B51" s="631" t="s">
        <v>92</v>
      </c>
      <c r="C51" s="632">
        <f>'COEFIC 2023'!I44</f>
        <v>0.16730380391362448</v>
      </c>
      <c r="D51" s="633">
        <f t="shared" si="5"/>
        <v>116093.94683257786</v>
      </c>
      <c r="E51" s="634">
        <f>'COEFIC 2023'!P44</f>
        <v>0.29726517420617776</v>
      </c>
      <c r="F51" s="635">
        <f t="shared" si="6"/>
        <v>206275.56888835688</v>
      </c>
      <c r="G51" s="653">
        <f>FPART!J52</f>
        <v>0.75300089428431383</v>
      </c>
      <c r="H51" s="637">
        <f t="shared" si="7"/>
        <v>116114.5755220236</v>
      </c>
      <c r="I51" s="638">
        <f t="shared" si="8"/>
        <v>438484.09124295833</v>
      </c>
      <c r="M51" s="639"/>
      <c r="N51" s="640"/>
      <c r="O51" s="641"/>
    </row>
    <row r="52" spans="1:15" s="613" customFormat="1" ht="12.75" x14ac:dyDescent="0.2">
      <c r="A52" s="631">
        <v>38</v>
      </c>
      <c r="B52" s="631" t="s">
        <v>51</v>
      </c>
      <c r="C52" s="632">
        <f>'COEFIC 2023'!I45</f>
        <v>0.88385683595551423</v>
      </c>
      <c r="D52" s="633">
        <f t="shared" si="5"/>
        <v>613317.9648085325</v>
      </c>
      <c r="E52" s="634">
        <f>'COEFIC 2023'!P45</f>
        <v>1.9184634861274525</v>
      </c>
      <c r="F52" s="635">
        <f t="shared" si="6"/>
        <v>1331242.8812061516</v>
      </c>
      <c r="G52" s="653">
        <f>FPART!J53</f>
        <v>0.65948364803154547</v>
      </c>
      <c r="H52" s="637">
        <f t="shared" si="7"/>
        <v>101693.98793035897</v>
      </c>
      <c r="I52" s="638">
        <f t="shared" si="8"/>
        <v>2046254.8339450429</v>
      </c>
      <c r="M52" s="639"/>
      <c r="N52" s="640"/>
      <c r="O52" s="641"/>
    </row>
    <row r="53" spans="1:15" s="613" customFormat="1" ht="12.75" x14ac:dyDescent="0.2">
      <c r="A53" s="631">
        <v>39</v>
      </c>
      <c r="B53" s="631" t="s">
        <v>105</v>
      </c>
      <c r="C53" s="632">
        <f>'COEFIC 2023'!I46</f>
        <v>0.18983559374214284</v>
      </c>
      <c r="D53" s="633">
        <f t="shared" si="5"/>
        <v>131729.00323419628</v>
      </c>
      <c r="E53" s="634">
        <f>'COEFIC 2023'!P46</f>
        <v>0.31996796117075799</v>
      </c>
      <c r="F53" s="635">
        <f t="shared" si="6"/>
        <v>222029.28208054497</v>
      </c>
      <c r="G53" s="653">
        <f>FPART!J54</f>
        <v>0.77860048179540364</v>
      </c>
      <c r="H53" s="637">
        <f t="shared" si="7"/>
        <v>120062.09438946702</v>
      </c>
      <c r="I53" s="638">
        <f t="shared" si="8"/>
        <v>473820.37970420829</v>
      </c>
      <c r="M53" s="639"/>
      <c r="N53" s="640"/>
      <c r="O53" s="641"/>
    </row>
    <row r="54" spans="1:15" s="613" customFormat="1" ht="12.75" x14ac:dyDescent="0.2">
      <c r="A54" s="631">
        <v>40</v>
      </c>
      <c r="B54" s="631" t="s">
        <v>96</v>
      </c>
      <c r="C54" s="632">
        <f>'COEFIC 2023'!I47</f>
        <v>0.38714668784795297</v>
      </c>
      <c r="D54" s="633">
        <f t="shared" si="5"/>
        <v>268645.33826519118</v>
      </c>
      <c r="E54" s="634">
        <f>'COEFIC 2023'!P47</f>
        <v>0.4670133881314788</v>
      </c>
      <c r="F54" s="635">
        <f t="shared" si="6"/>
        <v>324065.71867205901</v>
      </c>
      <c r="G54" s="653">
        <f>FPART!J55</f>
        <v>0.94771152584822815</v>
      </c>
      <c r="H54" s="637">
        <f t="shared" si="7"/>
        <v>146139.43008100448</v>
      </c>
      <c r="I54" s="638">
        <f t="shared" si="8"/>
        <v>738850.4870182547</v>
      </c>
      <c r="M54" s="639"/>
      <c r="N54" s="640"/>
      <c r="O54" s="641"/>
    </row>
    <row r="55" spans="1:15" s="613" customFormat="1" ht="12.75" x14ac:dyDescent="0.2">
      <c r="A55" s="631">
        <v>41</v>
      </c>
      <c r="B55" s="631" t="s">
        <v>98</v>
      </c>
      <c r="C55" s="632">
        <f>'COEFIC 2023'!I48</f>
        <v>0.3378294431952521</v>
      </c>
      <c r="D55" s="633">
        <f t="shared" si="5"/>
        <v>234423.56060856473</v>
      </c>
      <c r="E55" s="634">
        <f>'COEFIC 2023'!P48</f>
        <v>0.51242411214883699</v>
      </c>
      <c r="F55" s="635">
        <f t="shared" si="6"/>
        <v>355576.71875919279</v>
      </c>
      <c r="G55" s="653">
        <f>FPART!J56</f>
        <v>0.83078552954091656</v>
      </c>
      <c r="H55" s="637">
        <f t="shared" si="7"/>
        <v>128109.15610421562</v>
      </c>
      <c r="I55" s="638">
        <f t="shared" si="8"/>
        <v>718109.43547197315</v>
      </c>
      <c r="M55" s="639"/>
      <c r="N55" s="640"/>
      <c r="O55" s="641"/>
    </row>
    <row r="56" spans="1:15" s="613" customFormat="1" ht="12.75" x14ac:dyDescent="0.2">
      <c r="A56" s="631">
        <v>42</v>
      </c>
      <c r="B56" s="631" t="s">
        <v>122</v>
      </c>
      <c r="C56" s="632">
        <f>'COEFIC 2023'!I49</f>
        <v>0.30116790479202737</v>
      </c>
      <c r="D56" s="633">
        <f t="shared" si="5"/>
        <v>208983.71650088468</v>
      </c>
      <c r="E56" s="634">
        <f>'COEFIC 2023'!P49</f>
        <v>0.39561419725385255</v>
      </c>
      <c r="F56" s="635">
        <f t="shared" si="6"/>
        <v>274521.03603043972</v>
      </c>
      <c r="G56" s="653">
        <f>FPART!J57</f>
        <v>0.90375681182419565</v>
      </c>
      <c r="H56" s="637">
        <f t="shared" si="7"/>
        <v>139361.50591141457</v>
      </c>
      <c r="I56" s="638">
        <f t="shared" si="8"/>
        <v>622866.25844273902</v>
      </c>
      <c r="M56" s="639"/>
      <c r="N56" s="640"/>
      <c r="O56" s="641"/>
    </row>
    <row r="57" spans="1:15" s="613" customFormat="1" ht="12.75" x14ac:dyDescent="0.2">
      <c r="A57" s="631">
        <v>43</v>
      </c>
      <c r="B57" s="631" t="s">
        <v>346</v>
      </c>
      <c r="C57" s="632">
        <f>'COEFIC 2023'!I50</f>
        <v>1.4483729310236635</v>
      </c>
      <c r="D57" s="633">
        <f t="shared" si="5"/>
        <v>1005041.8825791741</v>
      </c>
      <c r="E57" s="634">
        <f>'COEFIC 2023'!P50</f>
        <v>1.9015322371627141</v>
      </c>
      <c r="F57" s="635">
        <f t="shared" si="6"/>
        <v>1319494.1016139295</v>
      </c>
      <c r="G57" s="653">
        <f>FPART!J58</f>
        <v>0.90404025564543489</v>
      </c>
      <c r="H57" s="637">
        <f t="shared" si="7"/>
        <v>139405.21364036595</v>
      </c>
      <c r="I57" s="638">
        <f t="shared" si="8"/>
        <v>2463941.1978334691</v>
      </c>
      <c r="M57" s="639"/>
      <c r="N57" s="640"/>
      <c r="O57" s="641"/>
    </row>
    <row r="58" spans="1:15" s="613" customFormat="1" ht="12.75" x14ac:dyDescent="0.2">
      <c r="A58" s="631">
        <v>44</v>
      </c>
      <c r="B58" s="631" t="s">
        <v>102</v>
      </c>
      <c r="C58" s="632">
        <f>'COEFIC 2023'!I51</f>
        <v>0.27261359917756861</v>
      </c>
      <c r="D58" s="633">
        <f t="shared" si="5"/>
        <v>189169.57025733832</v>
      </c>
      <c r="E58" s="634">
        <f>'COEFIC 2023'!P51</f>
        <v>0.37461514740795937</v>
      </c>
      <c r="F58" s="635">
        <f t="shared" si="6"/>
        <v>259949.56473500884</v>
      </c>
      <c r="G58" s="653">
        <f>FPART!J59</f>
        <v>0.88070325427299512</v>
      </c>
      <c r="H58" s="637">
        <f t="shared" si="7"/>
        <v>135806.59107711757</v>
      </c>
      <c r="I58" s="638">
        <f t="shared" si="8"/>
        <v>584925.7260694647</v>
      </c>
      <c r="M58" s="639"/>
      <c r="N58" s="640"/>
      <c r="O58" s="641"/>
    </row>
    <row r="59" spans="1:15" s="613" customFormat="1" ht="12.75" x14ac:dyDescent="0.2">
      <c r="A59" s="631">
        <v>45</v>
      </c>
      <c r="B59" s="631" t="s">
        <v>127</v>
      </c>
      <c r="C59" s="632">
        <f>'COEFIC 2023'!I52</f>
        <v>0.76140603422389352</v>
      </c>
      <c r="D59" s="633">
        <f t="shared" si="5"/>
        <v>528348.00875674642</v>
      </c>
      <c r="E59" s="634">
        <f>'COEFIC 2023'!P52</f>
        <v>0.75599148751357081</v>
      </c>
      <c r="F59" s="635">
        <f t="shared" si="6"/>
        <v>524590.79533298442</v>
      </c>
      <c r="G59" s="653">
        <f>FPART!J60</f>
        <v>1.0491964841174999</v>
      </c>
      <c r="H59" s="637">
        <f t="shared" si="7"/>
        <v>161788.65831001833</v>
      </c>
      <c r="I59" s="638">
        <f t="shared" si="8"/>
        <v>1214727.4623997491</v>
      </c>
      <c r="M59" s="639"/>
      <c r="N59" s="640"/>
      <c r="O59" s="641"/>
    </row>
    <row r="60" spans="1:15" s="613" customFormat="1" ht="12.75" x14ac:dyDescent="0.2">
      <c r="A60" s="631">
        <v>46</v>
      </c>
      <c r="B60" s="631" t="s">
        <v>119</v>
      </c>
      <c r="C60" s="632">
        <f>'COEFIC 2023'!I53</f>
        <v>0.31451851670911207</v>
      </c>
      <c r="D60" s="633">
        <f t="shared" si="5"/>
        <v>218247.8527238997</v>
      </c>
      <c r="E60" s="634">
        <f>'COEFIC 2023'!P53</f>
        <v>0.43928797738663627</v>
      </c>
      <c r="F60" s="635">
        <f t="shared" si="6"/>
        <v>304826.75168129703</v>
      </c>
      <c r="G60" s="653">
        <f>FPART!J61</f>
        <v>0.87242123304316332</v>
      </c>
      <c r="H60" s="637">
        <f t="shared" si="7"/>
        <v>134529.48319203293</v>
      </c>
      <c r="I60" s="638">
        <f t="shared" si="8"/>
        <v>657604.08759722963</v>
      </c>
      <c r="M60" s="639"/>
      <c r="N60" s="640"/>
      <c r="O60" s="641"/>
    </row>
    <row r="61" spans="1:15" s="613" customFormat="1" ht="12.75" x14ac:dyDescent="0.2">
      <c r="A61" s="631">
        <v>47</v>
      </c>
      <c r="B61" s="631" t="s">
        <v>121</v>
      </c>
      <c r="C61" s="632">
        <f>'COEFIC 2023'!I54</f>
        <v>0.41765936398021752</v>
      </c>
      <c r="D61" s="633">
        <f t="shared" si="5"/>
        <v>289818.41931747633</v>
      </c>
      <c r="E61" s="634">
        <f>'COEFIC 2023'!P54</f>
        <v>0.56420574714884908</v>
      </c>
      <c r="F61" s="635">
        <f t="shared" si="6"/>
        <v>391508.56394126045</v>
      </c>
      <c r="G61" s="653">
        <f>FPART!J62</f>
        <v>0.88942693458047528</v>
      </c>
      <c r="H61" s="637">
        <f t="shared" si="7"/>
        <v>137151.80386980044</v>
      </c>
      <c r="I61" s="638">
        <f t="shared" si="8"/>
        <v>818478.78712853719</v>
      </c>
      <c r="M61" s="639"/>
      <c r="N61" s="640"/>
      <c r="O61" s="641"/>
    </row>
    <row r="62" spans="1:15" s="613" customFormat="1" ht="12.75" x14ac:dyDescent="0.2">
      <c r="A62" s="631">
        <v>48</v>
      </c>
      <c r="B62" s="631" t="s">
        <v>47</v>
      </c>
      <c r="C62" s="632">
        <f>'COEFIC 2023'!I55</f>
        <v>0.12097675940639052</v>
      </c>
      <c r="D62" s="633">
        <f t="shared" si="5"/>
        <v>83947.10189467085</v>
      </c>
      <c r="E62" s="634">
        <f>'COEFIC 2023'!P55</f>
        <v>0.33094459983869112</v>
      </c>
      <c r="F62" s="635">
        <f t="shared" si="6"/>
        <v>229646.09219547431</v>
      </c>
      <c r="G62" s="653">
        <f>FPART!J63</f>
        <v>0.55973048604757003</v>
      </c>
      <c r="H62" s="637">
        <f t="shared" si="7"/>
        <v>86311.806914813453</v>
      </c>
      <c r="I62" s="638">
        <f t="shared" si="8"/>
        <v>399905.00100495864</v>
      </c>
      <c r="M62" s="639"/>
      <c r="N62" s="640"/>
      <c r="O62" s="641"/>
    </row>
    <row r="63" spans="1:15" s="613" customFormat="1" ht="12.75" x14ac:dyDescent="0.2">
      <c r="A63" s="631">
        <v>49</v>
      </c>
      <c r="B63" s="631" t="s">
        <v>115</v>
      </c>
      <c r="C63" s="632">
        <f>'COEFIC 2023'!I56</f>
        <v>0.40190816884775799</v>
      </c>
      <c r="D63" s="633">
        <f t="shared" si="5"/>
        <v>278888.49203858792</v>
      </c>
      <c r="E63" s="634">
        <f>'COEFIC 2023'!P56</f>
        <v>1.3248275146655468</v>
      </c>
      <c r="F63" s="635">
        <f t="shared" si="6"/>
        <v>919312.36141722358</v>
      </c>
      <c r="G63" s="653">
        <f>FPART!J64</f>
        <v>0.48667703346580021</v>
      </c>
      <c r="H63" s="637">
        <f t="shared" si="7"/>
        <v>75046.786247058873</v>
      </c>
      <c r="I63" s="638">
        <f t="shared" si="8"/>
        <v>1273247.6397028703</v>
      </c>
      <c r="M63" s="639"/>
      <c r="N63" s="640"/>
      <c r="O63" s="641"/>
    </row>
    <row r="64" spans="1:15" s="613" customFormat="1" ht="12.75" x14ac:dyDescent="0.2">
      <c r="A64" s="631">
        <v>50</v>
      </c>
      <c r="B64" s="631" t="s">
        <v>69</v>
      </c>
      <c r="C64" s="632">
        <f>'COEFIC 2023'!I57</f>
        <v>1.8806884872661696</v>
      </c>
      <c r="D64" s="633">
        <f t="shared" si="5"/>
        <v>1305030.3946588247</v>
      </c>
      <c r="E64" s="634">
        <f>'COEFIC 2023'!P57</f>
        <v>1.2229607983357664</v>
      </c>
      <c r="F64" s="635">
        <f t="shared" si="6"/>
        <v>848625.92827608355</v>
      </c>
      <c r="G64" s="653">
        <f>FPART!J65</f>
        <v>1.2670218630598797</v>
      </c>
      <c r="H64" s="637">
        <f t="shared" si="7"/>
        <v>195377.86332398807</v>
      </c>
      <c r="I64" s="638">
        <f t="shared" si="8"/>
        <v>2349034.1862588963</v>
      </c>
      <c r="M64" s="639"/>
      <c r="N64" s="640"/>
      <c r="O64" s="641"/>
    </row>
    <row r="65" spans="1:15" s="613" customFormat="1" ht="12.75" x14ac:dyDescent="0.2">
      <c r="A65" s="631">
        <v>51</v>
      </c>
      <c r="B65" s="631" t="s">
        <v>126</v>
      </c>
      <c r="C65" s="632">
        <f>'COEFIC 2023'!I58</f>
        <v>0.29445048333847845</v>
      </c>
      <c r="D65" s="633">
        <f t="shared" si="5"/>
        <v>204322.42398488816</v>
      </c>
      <c r="E65" s="634">
        <f>'COEFIC 2023'!P58</f>
        <v>0.39645821812299525</v>
      </c>
      <c r="F65" s="635">
        <f t="shared" si="6"/>
        <v>275106.71138040622</v>
      </c>
      <c r="G65" s="653">
        <f>FPART!J66</f>
        <v>0.89111035822978302</v>
      </c>
      <c r="H65" s="637">
        <f t="shared" si="7"/>
        <v>137411.39190475078</v>
      </c>
      <c r="I65" s="638">
        <f t="shared" si="8"/>
        <v>616840.52727004513</v>
      </c>
      <c r="M65" s="639"/>
      <c r="N65" s="640"/>
      <c r="O65" s="641"/>
    </row>
    <row r="66" spans="1:15" s="613" customFormat="1" ht="12.75" x14ac:dyDescent="0.2">
      <c r="A66" s="631">
        <v>52</v>
      </c>
      <c r="B66" s="631" t="s">
        <v>58</v>
      </c>
      <c r="C66" s="632">
        <f>'COEFIC 2023'!I59</f>
        <v>4.1273816838869903</v>
      </c>
      <c r="D66" s="633">
        <f t="shared" si="5"/>
        <v>2864035.4765293589</v>
      </c>
      <c r="E66" s="634">
        <f>'COEFIC 2023'!P59</f>
        <v>3.0951720361744934</v>
      </c>
      <c r="F66" s="635">
        <f t="shared" si="6"/>
        <v>2147773.8664617483</v>
      </c>
      <c r="G66" s="653">
        <f>FPART!J67</f>
        <v>1.1948784663978282</v>
      </c>
      <c r="H66" s="637">
        <f t="shared" si="7"/>
        <v>184253.17549995452</v>
      </c>
      <c r="I66" s="638">
        <f t="shared" si="8"/>
        <v>5196062.5184910614</v>
      </c>
      <c r="M66" s="639"/>
      <c r="N66" s="640"/>
      <c r="O66" s="641"/>
    </row>
    <row r="67" spans="1:15" s="613" customFormat="1" ht="12.75" x14ac:dyDescent="0.2">
      <c r="A67" s="631">
        <v>53</v>
      </c>
      <c r="B67" s="631" t="s">
        <v>103</v>
      </c>
      <c r="C67" s="632">
        <f>'COEFIC 2023'!I60</f>
        <v>17.879143690909327</v>
      </c>
      <c r="D67" s="633">
        <f t="shared" si="5"/>
        <v>12406534.152302168</v>
      </c>
      <c r="E67" s="634">
        <f>'COEFIC 2023'!P60</f>
        <v>7.4172287338747696</v>
      </c>
      <c r="F67" s="635">
        <f t="shared" si="6"/>
        <v>5146896.4729582127</v>
      </c>
      <c r="G67" s="653">
        <f>FPART!J68</f>
        <v>1.4778431771649561</v>
      </c>
      <c r="H67" s="637">
        <f t="shared" si="7"/>
        <v>227887.02444732579</v>
      </c>
      <c r="I67" s="638">
        <f t="shared" si="8"/>
        <v>17781317.649707709</v>
      </c>
      <c r="M67" s="639"/>
      <c r="N67" s="640"/>
      <c r="O67" s="641"/>
    </row>
    <row r="68" spans="1:15" s="613" customFormat="1" ht="12.75" x14ac:dyDescent="0.2">
      <c r="A68" s="631">
        <v>54</v>
      </c>
      <c r="B68" s="631" t="s">
        <v>94</v>
      </c>
      <c r="C68" s="632">
        <f>'COEFIC 2023'!I61</f>
        <v>0.16810399831874945</v>
      </c>
      <c r="D68" s="633">
        <f t="shared" si="5"/>
        <v>116649.210517869</v>
      </c>
      <c r="E68" s="634">
        <f>'COEFIC 2023'!P61</f>
        <v>0.30909086115032519</v>
      </c>
      <c r="F68" s="635">
        <f t="shared" si="6"/>
        <v>214481.54292622965</v>
      </c>
      <c r="G68" s="653">
        <f>FPART!J69</f>
        <v>0.73658381055873901</v>
      </c>
      <c r="H68" s="637">
        <f t="shared" si="7"/>
        <v>113583.02114728885</v>
      </c>
      <c r="I68" s="638">
        <f t="shared" si="8"/>
        <v>444713.77459138748</v>
      </c>
      <c r="M68" s="639"/>
      <c r="N68" s="640"/>
      <c r="O68" s="641"/>
    </row>
    <row r="69" spans="1:15" s="613" customFormat="1" ht="12.75" x14ac:dyDescent="0.2">
      <c r="A69" s="631">
        <v>55</v>
      </c>
      <c r="B69" s="631" t="s">
        <v>347</v>
      </c>
      <c r="C69" s="632">
        <f>'COEFIC 2023'!I62</f>
        <v>0.96301290882037449</v>
      </c>
      <c r="D69" s="633">
        <f t="shared" si="5"/>
        <v>668245.23304561991</v>
      </c>
      <c r="E69" s="634">
        <f>'COEFIC 2023'!P62</f>
        <v>0.80325130971927761</v>
      </c>
      <c r="F69" s="635">
        <f t="shared" si="6"/>
        <v>557384.90495943988</v>
      </c>
      <c r="G69" s="653">
        <f>FPART!J70</f>
        <v>1.1400301061832034</v>
      </c>
      <c r="H69" s="637">
        <f t="shared" si="7"/>
        <v>175795.42450292112</v>
      </c>
      <c r="I69" s="638">
        <f t="shared" si="8"/>
        <v>1401425.5625079807</v>
      </c>
      <c r="M69" s="639"/>
      <c r="N69" s="640"/>
      <c r="O69" s="641"/>
    </row>
    <row r="70" spans="1:15" s="613" customFormat="1" ht="12.75" x14ac:dyDescent="0.2">
      <c r="A70" s="631">
        <v>56</v>
      </c>
      <c r="B70" s="631" t="s">
        <v>348</v>
      </c>
      <c r="C70" s="632">
        <f>'COEFIC 2023'!I63</f>
        <v>0.68644045311218771</v>
      </c>
      <c r="D70" s="633">
        <f t="shared" si="5"/>
        <v>476328.56876631506</v>
      </c>
      <c r="E70" s="634">
        <f>'COEFIC 2023'!P63</f>
        <v>0.46532661427820704</v>
      </c>
      <c r="F70" s="635">
        <f t="shared" si="6"/>
        <v>322895.24777146056</v>
      </c>
      <c r="G70" s="653">
        <f>FPART!J71</f>
        <v>1.2461723056435674</v>
      </c>
      <c r="H70" s="637">
        <f t="shared" si="7"/>
        <v>192162.81068913281</v>
      </c>
      <c r="I70" s="638">
        <f t="shared" si="8"/>
        <v>991386.62722690834</v>
      </c>
      <c r="J70" s="643"/>
      <c r="K70" s="643"/>
      <c r="L70" s="643"/>
      <c r="M70" s="639"/>
      <c r="N70" s="640"/>
      <c r="O70" s="641"/>
    </row>
    <row r="71" spans="1:15" s="643" customFormat="1" ht="12.75" x14ac:dyDescent="0.2">
      <c r="A71" s="631">
        <v>57</v>
      </c>
      <c r="B71" s="631" t="s">
        <v>65</v>
      </c>
      <c r="C71" s="632">
        <f>'COEFIC 2023'!I64</f>
        <v>0.17258929853694982</v>
      </c>
      <c r="D71" s="633">
        <f t="shared" si="5"/>
        <v>119761.60959594816</v>
      </c>
      <c r="E71" s="634">
        <f>'COEFIC 2023'!P64</f>
        <v>0.74491573722474513</v>
      </c>
      <c r="F71" s="635">
        <f t="shared" si="6"/>
        <v>516905.21057589375</v>
      </c>
      <c r="G71" s="653">
        <f>FPART!J72</f>
        <v>0.3933193291422255</v>
      </c>
      <c r="H71" s="637">
        <f t="shared" si="7"/>
        <v>60650.800410222015</v>
      </c>
      <c r="I71" s="638">
        <f t="shared" si="8"/>
        <v>697317.62058206392</v>
      </c>
      <c r="J71" s="613"/>
      <c r="K71" s="613"/>
      <c r="L71" s="613"/>
      <c r="M71" s="639"/>
      <c r="N71" s="640"/>
      <c r="O71" s="641"/>
    </row>
    <row r="72" spans="1:15" s="613" customFormat="1" ht="12.75" x14ac:dyDescent="0.2">
      <c r="A72" s="631">
        <v>58</v>
      </c>
      <c r="B72" s="631" t="s">
        <v>134</v>
      </c>
      <c r="C72" s="632">
        <f>'COEFIC 2023'!I65</f>
        <v>0.44181260036648906</v>
      </c>
      <c r="D72" s="633">
        <f t="shared" si="5"/>
        <v>306578.61529192154</v>
      </c>
      <c r="E72" s="634">
        <f>'COEFIC 2023'!P65</f>
        <v>0.50525093226213014</v>
      </c>
      <c r="F72" s="635">
        <f t="shared" si="6"/>
        <v>350599.17046138004</v>
      </c>
      <c r="G72" s="653">
        <f>FPART!J73</f>
        <v>0.97543619400196546</v>
      </c>
      <c r="H72" s="637">
        <f t="shared" si="7"/>
        <v>150414.64156959095</v>
      </c>
      <c r="I72" s="638">
        <f t="shared" si="8"/>
        <v>807592.42732289247</v>
      </c>
      <c r="M72" s="639"/>
      <c r="N72" s="640"/>
      <c r="O72" s="641"/>
    </row>
    <row r="73" spans="1:15" s="613" customFormat="1" ht="12.75" x14ac:dyDescent="0.2">
      <c r="A73" s="631">
        <v>59</v>
      </c>
      <c r="B73" s="631" t="s">
        <v>136</v>
      </c>
      <c r="C73" s="632">
        <f>'COEFIC 2023'!I66</f>
        <v>0.19008828671218228</v>
      </c>
      <c r="D73" s="633">
        <f t="shared" si="5"/>
        <v>131904.34966113031</v>
      </c>
      <c r="E73" s="634">
        <f>'COEFIC 2023'!P66</f>
        <v>0.34163452441152531</v>
      </c>
      <c r="F73" s="635">
        <f t="shared" si="6"/>
        <v>237063.94825117762</v>
      </c>
      <c r="G73" s="653">
        <f>FPART!J74</f>
        <v>0.74749784840191158</v>
      </c>
      <c r="H73" s="637">
        <f t="shared" si="7"/>
        <v>115265.99241732401</v>
      </c>
      <c r="I73" s="638">
        <f t="shared" si="8"/>
        <v>484234.29032963188</v>
      </c>
      <c r="M73" s="639"/>
      <c r="N73" s="640"/>
      <c r="O73" s="641"/>
    </row>
    <row r="74" spans="1:15" s="613" customFormat="1" ht="12.75" x14ac:dyDescent="0.2">
      <c r="A74" s="631">
        <v>60</v>
      </c>
      <c r="B74" s="631" t="s">
        <v>137</v>
      </c>
      <c r="C74" s="632">
        <f>'COEFIC 2023'!I67</f>
        <v>0.19872196318853044</v>
      </c>
      <c r="D74" s="633">
        <f t="shared" si="5"/>
        <v>137895.35258137665</v>
      </c>
      <c r="E74" s="634">
        <f>'COEFIC 2023'!P67</f>
        <v>0.41133216924457244</v>
      </c>
      <c r="F74" s="635">
        <f t="shared" si="6"/>
        <v>285427.90940642508</v>
      </c>
      <c r="G74" s="653">
        <f>FPART!J75</f>
        <v>0.68111019086876712</v>
      </c>
      <c r="H74" s="637">
        <f t="shared" si="7"/>
        <v>105028.85361327369</v>
      </c>
      <c r="I74" s="638">
        <f t="shared" si="8"/>
        <v>528352.11560107546</v>
      </c>
      <c r="M74" s="639"/>
      <c r="N74" s="640"/>
      <c r="O74" s="641"/>
    </row>
    <row r="75" spans="1:15" s="613" customFormat="1" ht="12.75" x14ac:dyDescent="0.2">
      <c r="A75" s="631">
        <v>61</v>
      </c>
      <c r="B75" s="631" t="s">
        <v>135</v>
      </c>
      <c r="C75" s="632">
        <f>'COEFIC 2023'!I68</f>
        <v>0.52168463664646103</v>
      </c>
      <c r="D75" s="633">
        <f t="shared" si="5"/>
        <v>362002.69840532204</v>
      </c>
      <c r="E75" s="634">
        <f>'COEFIC 2023'!P68</f>
        <v>0.59684263357744027</v>
      </c>
      <c r="F75" s="635">
        <f t="shared" si="6"/>
        <v>414155.65784581925</v>
      </c>
      <c r="G75" s="653">
        <f>FPART!J76</f>
        <v>0.97521720136537549</v>
      </c>
      <c r="H75" s="637">
        <f t="shared" si="7"/>
        <v>150380.87237059913</v>
      </c>
      <c r="I75" s="638">
        <f t="shared" si="8"/>
        <v>926539.22862174036</v>
      </c>
      <c r="M75" s="639"/>
      <c r="N75" s="640"/>
      <c r="O75" s="641"/>
    </row>
    <row r="76" spans="1:15" s="613" customFormat="1" ht="12.75" x14ac:dyDescent="0.2">
      <c r="A76" s="631">
        <v>62</v>
      </c>
      <c r="B76" s="631" t="s">
        <v>113</v>
      </c>
      <c r="C76" s="632">
        <f>'COEFIC 2023'!I69</f>
        <v>0.44280231449914359</v>
      </c>
      <c r="D76" s="633">
        <f t="shared" si="5"/>
        <v>307265.38879741315</v>
      </c>
      <c r="E76" s="634">
        <f>'COEFIC 2023'!P69</f>
        <v>0.48709064033904148</v>
      </c>
      <c r="F76" s="635">
        <f t="shared" si="6"/>
        <v>337997.54446325504</v>
      </c>
      <c r="G76" s="653">
        <f>FPART!J77</f>
        <v>0.99567317695291968</v>
      </c>
      <c r="H76" s="637">
        <f t="shared" si="7"/>
        <v>153535.23372696128</v>
      </c>
      <c r="I76" s="638">
        <f t="shared" si="8"/>
        <v>798798.16698762949</v>
      </c>
      <c r="M76" s="639"/>
      <c r="N76" s="640"/>
      <c r="O76" s="641"/>
    </row>
    <row r="77" spans="1:15" s="613" customFormat="1" ht="12.75" x14ac:dyDescent="0.2">
      <c r="A77" s="631">
        <v>63</v>
      </c>
      <c r="B77" s="631" t="s">
        <v>123</v>
      </c>
      <c r="C77" s="632">
        <f>'COEFIC 2023'!I70</f>
        <v>0.31352880257645754</v>
      </c>
      <c r="D77" s="633">
        <f t="shared" si="5"/>
        <v>217561.07921840803</v>
      </c>
      <c r="E77" s="634">
        <f>'COEFIC 2023'!P70</f>
        <v>0.41328818544046847</v>
      </c>
      <c r="F77" s="635">
        <f t="shared" si="6"/>
        <v>286785.21052533598</v>
      </c>
      <c r="G77" s="653">
        <f>FPART!J78</f>
        <v>0.90197034059299264</v>
      </c>
      <c r="H77" s="637">
        <f t="shared" si="7"/>
        <v>139086.02768785864</v>
      </c>
      <c r="I77" s="638">
        <f t="shared" si="8"/>
        <v>643432.31743160263</v>
      </c>
      <c r="M77" s="639"/>
      <c r="N77" s="640"/>
      <c r="O77" s="641"/>
    </row>
    <row r="78" spans="1:15" s="613" customFormat="1" ht="12.75" x14ac:dyDescent="0.2">
      <c r="A78" s="631">
        <v>64</v>
      </c>
      <c r="B78" s="631" t="s">
        <v>74</v>
      </c>
      <c r="C78" s="632">
        <f>'COEFIC 2023'!I71</f>
        <v>0.56502148100822813</v>
      </c>
      <c r="D78" s="633">
        <f t="shared" si="5"/>
        <v>392074.61062450969</v>
      </c>
      <c r="E78" s="634">
        <f>'COEFIC 2023'!P71</f>
        <v>0.68085562816258149</v>
      </c>
      <c r="F78" s="635">
        <f t="shared" si="6"/>
        <v>472453.1974023527</v>
      </c>
      <c r="G78" s="653">
        <f>FPART!J79</f>
        <v>0.94826481243502747</v>
      </c>
      <c r="H78" s="637">
        <f t="shared" si="7"/>
        <v>146224.74822292951</v>
      </c>
      <c r="I78" s="638">
        <f t="shared" si="8"/>
        <v>1010752.5562497919</v>
      </c>
      <c r="M78" s="639"/>
      <c r="N78" s="640"/>
      <c r="O78" s="641"/>
    </row>
    <row r="79" spans="1:15" s="613" customFormat="1" ht="12.75" x14ac:dyDescent="0.2">
      <c r="A79" s="631">
        <v>65</v>
      </c>
      <c r="B79" s="631" t="s">
        <v>89</v>
      </c>
      <c r="C79" s="632">
        <f>'COEFIC 2023'!I72</f>
        <v>0.83508709273789883</v>
      </c>
      <c r="D79" s="633">
        <f t="shared" ref="D79:D110" si="9">$F$8*C79%</f>
        <v>579476.10441026301</v>
      </c>
      <c r="E79" s="634">
        <f>'COEFIC 2023'!P72</f>
        <v>0.61494319721037083</v>
      </c>
      <c r="F79" s="635">
        <f t="shared" ref="F79:F110" si="10">$F$9*E79%</f>
        <v>426715.83772747952</v>
      </c>
      <c r="G79" s="653">
        <f>FPART!J80</f>
        <v>1.204188788717512</v>
      </c>
      <c r="H79" s="637">
        <f t="shared" ref="H79:H110" si="11">$F$10*G79%</f>
        <v>185688.84992256033</v>
      </c>
      <c r="I79" s="638">
        <f t="shared" ref="I79:I110" si="12">D79+F79+H79</f>
        <v>1191880.7920603028</v>
      </c>
      <c r="M79" s="639"/>
      <c r="N79" s="640"/>
      <c r="O79" s="641"/>
    </row>
    <row r="80" spans="1:15" s="613" customFormat="1" ht="12.75" x14ac:dyDescent="0.2">
      <c r="A80" s="631">
        <v>66</v>
      </c>
      <c r="B80" s="631" t="s">
        <v>118</v>
      </c>
      <c r="C80" s="632">
        <f>'COEFIC 2023'!I73</f>
        <v>2.0717033148684965</v>
      </c>
      <c r="D80" s="633">
        <f t="shared" si="9"/>
        <v>1437577.6812187131</v>
      </c>
      <c r="E80" s="634">
        <f>'COEFIC 2023'!P73</f>
        <v>1.3350772698902451</v>
      </c>
      <c r="F80" s="635">
        <f t="shared" si="10"/>
        <v>926424.77912840375</v>
      </c>
      <c r="G80" s="653">
        <f>FPART!J81</f>
        <v>1.2715202471937566</v>
      </c>
      <c r="H80" s="637">
        <f t="shared" si="11"/>
        <v>196071.52513528851</v>
      </c>
      <c r="I80" s="638">
        <f t="shared" si="12"/>
        <v>2560073.9854824054</v>
      </c>
      <c r="M80" s="639"/>
      <c r="N80" s="640"/>
      <c r="O80" s="641"/>
    </row>
    <row r="81" spans="1:15" s="613" customFormat="1" ht="12.75" x14ac:dyDescent="0.2">
      <c r="A81" s="631">
        <v>67</v>
      </c>
      <c r="B81" s="631" t="s">
        <v>120</v>
      </c>
      <c r="C81" s="632">
        <f>'COEFIC 2023'!I74</f>
        <v>0.35000082125215265</v>
      </c>
      <c r="D81" s="633">
        <f t="shared" si="9"/>
        <v>242869.41350588758</v>
      </c>
      <c r="E81" s="634">
        <f>'COEFIC 2023'!P74</f>
        <v>0.49564708763613402</v>
      </c>
      <c r="F81" s="635">
        <f t="shared" si="10"/>
        <v>343934.95720790047</v>
      </c>
      <c r="G81" s="653">
        <f>FPART!J82</f>
        <v>0.8654049337071944</v>
      </c>
      <c r="H81" s="637">
        <f t="shared" si="11"/>
        <v>133447.5527118496</v>
      </c>
      <c r="I81" s="638">
        <f t="shared" si="12"/>
        <v>720251.92342563765</v>
      </c>
      <c r="M81" s="639"/>
      <c r="N81" s="640"/>
      <c r="O81" s="641"/>
    </row>
    <row r="82" spans="1:15" s="613" customFormat="1" ht="12.75" x14ac:dyDescent="0.2">
      <c r="A82" s="631">
        <v>68</v>
      </c>
      <c r="B82" s="631" t="s">
        <v>144</v>
      </c>
      <c r="C82" s="632">
        <f>'COEFIC 2023'!I75</f>
        <v>0.61886614137413598</v>
      </c>
      <c r="D82" s="633">
        <f t="shared" si="9"/>
        <v>429438.0117637043</v>
      </c>
      <c r="E82" s="634">
        <f>'COEFIC 2023'!P75</f>
        <v>0.67531065033607796</v>
      </c>
      <c r="F82" s="635">
        <f t="shared" si="10"/>
        <v>468605.47639470437</v>
      </c>
      <c r="G82" s="653">
        <f>FPART!J83</f>
        <v>0.99986875676695242</v>
      </c>
      <c r="H82" s="637">
        <f t="shared" si="11"/>
        <v>154182.20237317806</v>
      </c>
      <c r="I82" s="638">
        <f t="shared" si="12"/>
        <v>1052225.6905315868</v>
      </c>
      <c r="M82" s="639"/>
      <c r="N82" s="640"/>
      <c r="O82" s="641"/>
    </row>
    <row r="83" spans="1:15" s="613" customFormat="1" ht="12.75" x14ac:dyDescent="0.2">
      <c r="A83" s="631">
        <v>69</v>
      </c>
      <c r="B83" s="631" t="s">
        <v>84</v>
      </c>
      <c r="C83" s="632">
        <f>'COEFIC 2023'!I76</f>
        <v>2.2424395316251569</v>
      </c>
      <c r="D83" s="633">
        <f t="shared" si="9"/>
        <v>1556053.4170171451</v>
      </c>
      <c r="E83" s="634">
        <f>'COEFIC 2023'!P76</f>
        <v>1.9355321382709125</v>
      </c>
      <c r="F83" s="635">
        <f t="shared" si="10"/>
        <v>1343087.0063730225</v>
      </c>
      <c r="G83" s="653">
        <f>FPART!J84</f>
        <v>1.12226426101586</v>
      </c>
      <c r="H83" s="637">
        <f t="shared" si="11"/>
        <v>173055.88782234822</v>
      </c>
      <c r="I83" s="638">
        <f t="shared" si="12"/>
        <v>3072196.3112125159</v>
      </c>
      <c r="M83" s="639"/>
      <c r="N83" s="640"/>
      <c r="O83" s="641"/>
    </row>
    <row r="84" spans="1:15" s="613" customFormat="1" ht="12.75" x14ac:dyDescent="0.2">
      <c r="A84" s="631">
        <v>70</v>
      </c>
      <c r="B84" s="631" t="s">
        <v>53</v>
      </c>
      <c r="C84" s="632">
        <f>'COEFIC 2023'!I77</f>
        <v>0.32645825954347646</v>
      </c>
      <c r="D84" s="633">
        <f t="shared" si="9"/>
        <v>226532.97139653299</v>
      </c>
      <c r="E84" s="634">
        <f>'COEFIC 2023'!P77</f>
        <v>0.45201662211357152</v>
      </c>
      <c r="F84" s="635">
        <f t="shared" si="10"/>
        <v>313659.29804074805</v>
      </c>
      <c r="G84" s="653">
        <f>FPART!J85</f>
        <v>0.87684522131647236</v>
      </c>
      <c r="H84" s="637">
        <f t="shared" si="11"/>
        <v>135211.67298007815</v>
      </c>
      <c r="I84" s="638">
        <f t="shared" si="12"/>
        <v>675403.94241735921</v>
      </c>
      <c r="M84" s="639"/>
      <c r="N84" s="640"/>
      <c r="O84" s="641"/>
    </row>
    <row r="85" spans="1:15" s="613" customFormat="1" ht="12.75" x14ac:dyDescent="0.2">
      <c r="A85" s="631">
        <v>71</v>
      </c>
      <c r="B85" s="631" t="s">
        <v>143</v>
      </c>
      <c r="C85" s="632">
        <f>'COEFIC 2023'!I78</f>
        <v>1.4584595920777386</v>
      </c>
      <c r="D85" s="633">
        <f t="shared" si="9"/>
        <v>1012041.1274542912</v>
      </c>
      <c r="E85" s="634">
        <f>'COEFIC 2023'!P78</f>
        <v>1.0305721617264547</v>
      </c>
      <c r="F85" s="635">
        <f t="shared" si="10"/>
        <v>715125.34055935265</v>
      </c>
      <c r="G85" s="653">
        <f>FPART!J86</f>
        <v>1.2251911375010087</v>
      </c>
      <c r="H85" s="637">
        <f t="shared" si="11"/>
        <v>188927.46335910753</v>
      </c>
      <c r="I85" s="638">
        <f t="shared" si="12"/>
        <v>1916093.9313727512</v>
      </c>
      <c r="M85" s="639"/>
      <c r="N85" s="640"/>
      <c r="O85" s="641"/>
    </row>
    <row r="86" spans="1:15" s="613" customFormat="1" ht="12.75" x14ac:dyDescent="0.2">
      <c r="A86" s="631">
        <v>72</v>
      </c>
      <c r="B86" s="631" t="s">
        <v>132</v>
      </c>
      <c r="C86" s="632">
        <f>'COEFIC 2023'!I79</f>
        <v>0.29398721289340612</v>
      </c>
      <c r="D86" s="633">
        <f t="shared" si="9"/>
        <v>204000.9555355091</v>
      </c>
      <c r="E86" s="634">
        <f>'COEFIC 2023'!P79</f>
        <v>0.37946277923825678</v>
      </c>
      <c r="F86" s="635">
        <f t="shared" si="10"/>
        <v>263313.38969777542</v>
      </c>
      <c r="G86" s="653">
        <f>FPART!J87</f>
        <v>0.91277339179785055</v>
      </c>
      <c r="H86" s="637">
        <f t="shared" si="11"/>
        <v>140751.88454741391</v>
      </c>
      <c r="I86" s="638">
        <f t="shared" si="12"/>
        <v>608066.22978069843</v>
      </c>
      <c r="M86" s="639"/>
      <c r="N86" s="640"/>
      <c r="O86" s="641"/>
    </row>
    <row r="87" spans="1:15" s="613" customFormat="1" ht="12.75" x14ac:dyDescent="0.2">
      <c r="A87" s="631">
        <v>73</v>
      </c>
      <c r="B87" s="631" t="s">
        <v>85</v>
      </c>
      <c r="C87" s="632">
        <f>'COEFIC 2023'!I80</f>
        <v>0.5722653461493592</v>
      </c>
      <c r="D87" s="633">
        <f t="shared" si="9"/>
        <v>397101.20819661871</v>
      </c>
      <c r="E87" s="634">
        <f>'COEFIC 2023'!P80</f>
        <v>0.54450577422167679</v>
      </c>
      <c r="F87" s="635">
        <f t="shared" si="10"/>
        <v>377838.53638593288</v>
      </c>
      <c r="G87" s="653">
        <f>FPART!J88</f>
        <v>1.0714530756763703</v>
      </c>
      <c r="H87" s="637">
        <f t="shared" si="11"/>
        <v>165220.67904338217</v>
      </c>
      <c r="I87" s="638">
        <f t="shared" si="12"/>
        <v>940160.4236259337</v>
      </c>
      <c r="M87" s="639"/>
      <c r="N87" s="640"/>
      <c r="O87" s="641"/>
    </row>
    <row r="88" spans="1:15" s="613" customFormat="1" ht="12.75" x14ac:dyDescent="0.2">
      <c r="A88" s="631">
        <v>74</v>
      </c>
      <c r="B88" s="652" t="s">
        <v>133</v>
      </c>
      <c r="C88" s="632">
        <f>'COEFIC 2023'!I81</f>
        <v>0.22222240940220003</v>
      </c>
      <c r="D88" s="633">
        <f t="shared" si="9"/>
        <v>154202.5702862422</v>
      </c>
      <c r="E88" s="634">
        <f>'COEFIC 2023'!P81</f>
        <v>0.30271862627818635</v>
      </c>
      <c r="F88" s="635">
        <f t="shared" si="10"/>
        <v>210059.77916984359</v>
      </c>
      <c r="G88" s="653">
        <f>FPART!J89</f>
        <v>0.88515068741753156</v>
      </c>
      <c r="H88" s="637">
        <f t="shared" si="11"/>
        <v>136492.39612152096</v>
      </c>
      <c r="I88" s="638">
        <f t="shared" si="12"/>
        <v>500754.74557760678</v>
      </c>
      <c r="M88" s="639"/>
      <c r="N88" s="640"/>
      <c r="O88" s="641"/>
    </row>
    <row r="89" spans="1:15" s="613" customFormat="1" ht="12.75" x14ac:dyDescent="0.2">
      <c r="A89" s="631">
        <v>75</v>
      </c>
      <c r="B89" s="631" t="s">
        <v>146</v>
      </c>
      <c r="C89" s="632">
        <f>'COEFIC 2023'!I82</f>
        <v>1.6621932991720516</v>
      </c>
      <c r="D89" s="633">
        <f t="shared" si="9"/>
        <v>1153414.1841698596</v>
      </c>
      <c r="E89" s="634">
        <f>'COEFIC 2023'!P82</f>
        <v>1.0263852879652673</v>
      </c>
      <c r="F89" s="635">
        <f t="shared" si="10"/>
        <v>712220.02287705441</v>
      </c>
      <c r="G89" s="653">
        <f>FPART!J90</f>
        <v>1.2927027552766872</v>
      </c>
      <c r="H89" s="637">
        <f t="shared" si="11"/>
        <v>199337.91957546916</v>
      </c>
      <c r="I89" s="638">
        <f t="shared" si="12"/>
        <v>2064972.126622383</v>
      </c>
      <c r="M89" s="639"/>
      <c r="N89" s="640"/>
      <c r="O89" s="641"/>
    </row>
    <row r="90" spans="1:15" s="613" customFormat="1" ht="12.75" x14ac:dyDescent="0.2">
      <c r="A90" s="631">
        <v>76</v>
      </c>
      <c r="B90" s="631" t="s">
        <v>148</v>
      </c>
      <c r="C90" s="632">
        <f>'COEFIC 2023'!I83</f>
        <v>1.6525488508155455</v>
      </c>
      <c r="D90" s="633">
        <f t="shared" si="9"/>
        <v>1146721.7955418769</v>
      </c>
      <c r="E90" s="634">
        <f>'COEFIC 2023'!P83</f>
        <v>1.8504233032214761</v>
      </c>
      <c r="F90" s="635">
        <f t="shared" si="10"/>
        <v>1284029.0510840137</v>
      </c>
      <c r="G90" s="653">
        <f>FPART!J91</f>
        <v>0.98641008576890343</v>
      </c>
      <c r="H90" s="637">
        <f t="shared" si="11"/>
        <v>152106.84246073823</v>
      </c>
      <c r="I90" s="638">
        <f t="shared" si="12"/>
        <v>2582857.6890866286</v>
      </c>
      <c r="M90" s="639"/>
      <c r="N90" s="640"/>
      <c r="O90" s="641"/>
    </row>
    <row r="91" spans="1:15" s="613" customFormat="1" ht="12.75" x14ac:dyDescent="0.2">
      <c r="A91" s="631">
        <v>77</v>
      </c>
      <c r="B91" s="631" t="s">
        <v>45</v>
      </c>
      <c r="C91" s="632">
        <f>'COEFIC 2023'!I84</f>
        <v>0.37223780261562495</v>
      </c>
      <c r="D91" s="633">
        <f t="shared" si="9"/>
        <v>258299.89907608295</v>
      </c>
      <c r="E91" s="634">
        <f>'COEFIC 2023'!P84</f>
        <v>0.62678870776607709</v>
      </c>
      <c r="F91" s="635">
        <f t="shared" si="10"/>
        <v>434935.5675871119</v>
      </c>
      <c r="G91" s="653">
        <f>FPART!J92</f>
        <v>0.77908231415513252</v>
      </c>
      <c r="H91" s="637">
        <f t="shared" si="11"/>
        <v>120136.39411520091</v>
      </c>
      <c r="I91" s="638">
        <f t="shared" si="12"/>
        <v>813371.86077839579</v>
      </c>
      <c r="M91" s="639"/>
      <c r="N91" s="640"/>
      <c r="O91" s="641"/>
    </row>
    <row r="92" spans="1:15" s="613" customFormat="1" ht="12.75" x14ac:dyDescent="0.2">
      <c r="A92" s="631">
        <v>78</v>
      </c>
      <c r="B92" s="631" t="s">
        <v>349</v>
      </c>
      <c r="C92" s="632">
        <f>'COEFIC 2023'!I85</f>
        <v>0.26979186101212799</v>
      </c>
      <c r="D92" s="633">
        <f t="shared" si="9"/>
        <v>187211.53515657492</v>
      </c>
      <c r="E92" s="634">
        <f>'COEFIC 2023'!P85</f>
        <v>0.40979046274032732</v>
      </c>
      <c r="F92" s="635">
        <f t="shared" si="10"/>
        <v>284358.10233241686</v>
      </c>
      <c r="G92" s="653">
        <f>FPART!J93</f>
        <v>0.83009281053141881</v>
      </c>
      <c r="H92" s="637">
        <f t="shared" si="11"/>
        <v>128002.33714243962</v>
      </c>
      <c r="I92" s="638">
        <f t="shared" si="12"/>
        <v>599571.9746314314</v>
      </c>
      <c r="M92" s="639"/>
      <c r="N92" s="640"/>
      <c r="O92" s="641"/>
    </row>
    <row r="93" spans="1:15" s="613" customFormat="1" ht="12.75" x14ac:dyDescent="0.2">
      <c r="A93" s="631">
        <v>79</v>
      </c>
      <c r="B93" s="631" t="s">
        <v>138</v>
      </c>
      <c r="C93" s="632">
        <f>'COEFIC 2023'!I86</f>
        <v>1.0506973694240664</v>
      </c>
      <c r="D93" s="633">
        <f t="shared" si="9"/>
        <v>729090.44319173135</v>
      </c>
      <c r="E93" s="634">
        <f>'COEFIC 2023'!P86</f>
        <v>0.84314994921472297</v>
      </c>
      <c r="F93" s="635">
        <f t="shared" si="10"/>
        <v>585071.0090642086</v>
      </c>
      <c r="G93" s="653">
        <f>FPART!J94</f>
        <v>1.160038930477814</v>
      </c>
      <c r="H93" s="637">
        <f t="shared" si="11"/>
        <v>178880.83403868487</v>
      </c>
      <c r="I93" s="638">
        <f t="shared" si="12"/>
        <v>1493042.2862946249</v>
      </c>
      <c r="M93" s="639"/>
      <c r="N93" s="640"/>
      <c r="O93" s="641"/>
    </row>
    <row r="94" spans="1:15" s="613" customFormat="1" ht="12.75" x14ac:dyDescent="0.2">
      <c r="A94" s="631">
        <v>80</v>
      </c>
      <c r="B94" s="631" t="s">
        <v>93</v>
      </c>
      <c r="C94" s="632">
        <f>'COEFIC 2023'!I87</f>
        <v>0.41763830623271425</v>
      </c>
      <c r="D94" s="633">
        <f t="shared" si="9"/>
        <v>289803.80711523182</v>
      </c>
      <c r="E94" s="634">
        <f>'COEFIC 2023'!P87</f>
        <v>0.46314450232260923</v>
      </c>
      <c r="F94" s="635">
        <f t="shared" si="10"/>
        <v>321381.05632195418</v>
      </c>
      <c r="G94" s="653">
        <f>FPART!J95</f>
        <v>0.99145128306937969</v>
      </c>
      <c r="H94" s="637">
        <f t="shared" si="11"/>
        <v>152884.20738700955</v>
      </c>
      <c r="I94" s="638">
        <f t="shared" si="12"/>
        <v>764069.07082419551</v>
      </c>
      <c r="M94" s="639"/>
      <c r="N94" s="640"/>
      <c r="O94" s="641"/>
    </row>
    <row r="95" spans="1:15" s="613" customFormat="1" ht="12.75" x14ac:dyDescent="0.2">
      <c r="A95" s="631">
        <v>81</v>
      </c>
      <c r="B95" s="631" t="s">
        <v>116</v>
      </c>
      <c r="C95" s="632">
        <f>'COEFIC 2023'!I88</f>
        <v>0.19112011633984341</v>
      </c>
      <c r="D95" s="633">
        <f t="shared" si="9"/>
        <v>132620.34757111096</v>
      </c>
      <c r="E95" s="634">
        <f>'COEFIC 2023'!P88</f>
        <v>0.43209989462611942</v>
      </c>
      <c r="F95" s="635">
        <f t="shared" si="10"/>
        <v>299838.86211568711</v>
      </c>
      <c r="G95" s="653">
        <f>FPART!J96</f>
        <v>0.64121680254968882</v>
      </c>
      <c r="H95" s="637">
        <f t="shared" si="11"/>
        <v>98877.195778646972</v>
      </c>
      <c r="I95" s="638">
        <f t="shared" si="12"/>
        <v>531336.40546544502</v>
      </c>
      <c r="M95" s="639"/>
      <c r="N95" s="640"/>
      <c r="O95" s="641"/>
    </row>
    <row r="96" spans="1:15" s="613" customFormat="1" ht="12.75" x14ac:dyDescent="0.2">
      <c r="A96" s="631">
        <v>82</v>
      </c>
      <c r="B96" s="631" t="s">
        <v>152</v>
      </c>
      <c r="C96" s="632">
        <f>'COEFIC 2023'!I89</f>
        <v>1.6749332364115408</v>
      </c>
      <c r="D96" s="633">
        <f t="shared" si="9"/>
        <v>1162254.5665277839</v>
      </c>
      <c r="E96" s="634">
        <f>'COEFIC 2023'!P89</f>
        <v>1.3119994634053675</v>
      </c>
      <c r="F96" s="635">
        <f t="shared" si="10"/>
        <v>910410.83577269188</v>
      </c>
      <c r="G96" s="653">
        <f>FPART!J97</f>
        <v>1.1724975552384336</v>
      </c>
      <c r="H96" s="637">
        <f t="shared" si="11"/>
        <v>180801.98438080028</v>
      </c>
      <c r="I96" s="638">
        <f t="shared" si="12"/>
        <v>2253467.3866812759</v>
      </c>
      <c r="M96" s="639"/>
      <c r="N96" s="640"/>
      <c r="O96" s="641"/>
    </row>
    <row r="97" spans="1:15" s="613" customFormat="1" ht="12.75" x14ac:dyDescent="0.2">
      <c r="A97" s="631">
        <v>83</v>
      </c>
      <c r="B97" s="631" t="s">
        <v>153</v>
      </c>
      <c r="C97" s="632">
        <f>'COEFIC 2023'!I90</f>
        <v>0.70444482722749913</v>
      </c>
      <c r="D97" s="633">
        <f t="shared" si="9"/>
        <v>488822.00168536539</v>
      </c>
      <c r="E97" s="634">
        <f>'COEFIC 2023'!P90</f>
        <v>0.84846349141285227</v>
      </c>
      <c r="F97" s="635">
        <f t="shared" si="10"/>
        <v>588758.13434774824</v>
      </c>
      <c r="G97" s="653">
        <f>FPART!J98</f>
        <v>0.94850811469966656</v>
      </c>
      <c r="H97" s="637">
        <f t="shared" si="11"/>
        <v>146262.2660258917</v>
      </c>
      <c r="I97" s="638">
        <f t="shared" si="12"/>
        <v>1223842.4020590053</v>
      </c>
      <c r="M97" s="639"/>
      <c r="N97" s="640"/>
      <c r="O97" s="641"/>
    </row>
    <row r="98" spans="1:15" s="613" customFormat="1" ht="12.75" x14ac:dyDescent="0.2">
      <c r="A98" s="631">
        <v>84</v>
      </c>
      <c r="B98" s="631" t="s">
        <v>107</v>
      </c>
      <c r="C98" s="632">
        <f>'COEFIC 2023'!I91</f>
        <v>0.66786751981428749</v>
      </c>
      <c r="D98" s="633">
        <f t="shared" si="9"/>
        <v>463440.60638666322</v>
      </c>
      <c r="E98" s="634">
        <f>'COEFIC 2023'!P91</f>
        <v>0.50669760758141813</v>
      </c>
      <c r="F98" s="635">
        <f t="shared" si="10"/>
        <v>351603.034352533</v>
      </c>
      <c r="G98" s="653">
        <f>FPART!J99</f>
        <v>1.1889212876884179</v>
      </c>
      <c r="H98" s="637">
        <f t="shared" si="11"/>
        <v>183334.56400506455</v>
      </c>
      <c r="I98" s="638">
        <f t="shared" si="12"/>
        <v>998378.20474426076</v>
      </c>
      <c r="M98" s="639"/>
      <c r="N98" s="640"/>
      <c r="O98" s="641"/>
    </row>
    <row r="99" spans="1:15" s="613" customFormat="1" ht="12.75" x14ac:dyDescent="0.2">
      <c r="A99" s="631">
        <v>85</v>
      </c>
      <c r="B99" s="631" t="s">
        <v>124</v>
      </c>
      <c r="C99" s="632">
        <f>'COEFIC 2023'!I92</f>
        <v>0.74241194597592763</v>
      </c>
      <c r="D99" s="633">
        <f t="shared" si="9"/>
        <v>515167.80233220459</v>
      </c>
      <c r="E99" s="634">
        <f>'COEFIC 2023'!P92</f>
        <v>0.66451015921013734</v>
      </c>
      <c r="F99" s="635">
        <f t="shared" si="10"/>
        <v>461110.8969935808</v>
      </c>
      <c r="G99" s="653">
        <f>FPART!J100</f>
        <v>1.1033537639277704</v>
      </c>
      <c r="H99" s="637">
        <f t="shared" si="11"/>
        <v>170139.84302218768</v>
      </c>
      <c r="I99" s="638">
        <f t="shared" si="12"/>
        <v>1146418.542347973</v>
      </c>
      <c r="M99" s="639"/>
      <c r="N99" s="640"/>
      <c r="O99" s="641"/>
    </row>
    <row r="100" spans="1:15" s="613" customFormat="1" ht="12.75" x14ac:dyDescent="0.2">
      <c r="A100" s="631">
        <v>86</v>
      </c>
      <c r="B100" s="631" t="s">
        <v>129</v>
      </c>
      <c r="C100" s="632">
        <f>'COEFIC 2023'!I93</f>
        <v>0.32711104971607841</v>
      </c>
      <c r="D100" s="633">
        <f t="shared" si="9"/>
        <v>226985.9496661126</v>
      </c>
      <c r="E100" s="634">
        <f>'COEFIC 2023'!P93</f>
        <v>0.39136182539384073</v>
      </c>
      <c r="F100" s="635">
        <f t="shared" si="10"/>
        <v>271570.2684980802</v>
      </c>
      <c r="G100" s="653">
        <f>FPART!J101</f>
        <v>0.9519731967183146</v>
      </c>
      <c r="H100" s="637">
        <f t="shared" si="11"/>
        <v>146796.5901293534</v>
      </c>
      <c r="I100" s="638">
        <f t="shared" si="12"/>
        <v>645352.8082935462</v>
      </c>
      <c r="M100" s="639"/>
      <c r="N100" s="640"/>
      <c r="O100" s="641"/>
    </row>
    <row r="101" spans="1:15" s="613" customFormat="1" ht="12.75" x14ac:dyDescent="0.2">
      <c r="A101" s="631">
        <v>87</v>
      </c>
      <c r="B101" s="631" t="s">
        <v>350</v>
      </c>
      <c r="C101" s="632">
        <f>'COEFIC 2023'!I94</f>
        <v>0.32826922582875923</v>
      </c>
      <c r="D101" s="633">
        <f t="shared" si="9"/>
        <v>227789.62078956026</v>
      </c>
      <c r="E101" s="634">
        <f>'COEFIC 2023'!P94</f>
        <v>0.36366268944449609</v>
      </c>
      <c r="F101" s="635">
        <f t="shared" si="10"/>
        <v>252349.53387645879</v>
      </c>
      <c r="G101" s="653">
        <f>FPART!J102</f>
        <v>0.9919886218149192</v>
      </c>
      <c r="H101" s="637">
        <f t="shared" si="11"/>
        <v>152967.06633289324</v>
      </c>
      <c r="I101" s="638">
        <f t="shared" si="12"/>
        <v>633106.22099891223</v>
      </c>
      <c r="M101" s="639"/>
      <c r="N101" s="640"/>
      <c r="O101" s="641"/>
    </row>
    <row r="102" spans="1:15" s="613" customFormat="1" ht="12.75" x14ac:dyDescent="0.2">
      <c r="A102" s="631">
        <v>88</v>
      </c>
      <c r="B102" s="631" t="s">
        <v>99</v>
      </c>
      <c r="C102" s="632">
        <f>'COEFIC 2023'!I95</f>
        <v>2.411385839844038</v>
      </c>
      <c r="D102" s="633">
        <f t="shared" si="9"/>
        <v>1673287.115624794</v>
      </c>
      <c r="E102" s="634">
        <f>'COEFIC 2023'!P95</f>
        <v>1.5072208482992138</v>
      </c>
      <c r="F102" s="635">
        <f t="shared" si="10"/>
        <v>1045877.0986327364</v>
      </c>
      <c r="G102" s="653">
        <f>FPART!J103</f>
        <v>1.2866929269784904</v>
      </c>
      <c r="H102" s="637">
        <f t="shared" si="11"/>
        <v>198411.18938550222</v>
      </c>
      <c r="I102" s="638">
        <f t="shared" si="12"/>
        <v>2917575.4036430325</v>
      </c>
      <c r="M102" s="639"/>
      <c r="N102" s="640"/>
      <c r="O102" s="641"/>
    </row>
    <row r="103" spans="1:15" s="613" customFormat="1" ht="12.75" x14ac:dyDescent="0.2">
      <c r="A103" s="631">
        <v>89</v>
      </c>
      <c r="B103" s="631" t="s">
        <v>55</v>
      </c>
      <c r="C103" s="632">
        <f>'COEFIC 2023'!I96</f>
        <v>0.50694421339415929</v>
      </c>
      <c r="D103" s="633">
        <f t="shared" si="9"/>
        <v>351774.15683416981</v>
      </c>
      <c r="E103" s="634">
        <f>'COEFIC 2023'!P96</f>
        <v>0.8277868069583757</v>
      </c>
      <c r="F103" s="635">
        <f t="shared" si="10"/>
        <v>574410.35593757359</v>
      </c>
      <c r="G103" s="653">
        <f>FPART!J104</f>
        <v>0.79415687293111992</v>
      </c>
      <c r="H103" s="637">
        <f t="shared" si="11"/>
        <v>122460.92786641141</v>
      </c>
      <c r="I103" s="638">
        <f t="shared" si="12"/>
        <v>1048645.4406381547</v>
      </c>
      <c r="M103" s="639"/>
      <c r="N103" s="640"/>
      <c r="O103" s="641"/>
    </row>
    <row r="104" spans="1:15" s="613" customFormat="1" ht="12.75" x14ac:dyDescent="0.2">
      <c r="A104" s="631">
        <v>90</v>
      </c>
      <c r="B104" s="631" t="s">
        <v>147</v>
      </c>
      <c r="C104" s="632">
        <f>'COEFIC 2023'!I97</f>
        <v>0.34376772799117933</v>
      </c>
      <c r="D104" s="633">
        <f t="shared" si="9"/>
        <v>238544.20164151464</v>
      </c>
      <c r="E104" s="634">
        <f>'COEFIC 2023'!P97</f>
        <v>0.35072713773174047</v>
      </c>
      <c r="F104" s="635">
        <f t="shared" si="10"/>
        <v>243373.41248733585</v>
      </c>
      <c r="G104" s="653">
        <f>FPART!J105</f>
        <v>1.0349895076901878</v>
      </c>
      <c r="H104" s="637">
        <f t="shared" si="11"/>
        <v>159597.90787422154</v>
      </c>
      <c r="I104" s="638">
        <f t="shared" si="12"/>
        <v>641515.52200307208</v>
      </c>
      <c r="M104" s="639"/>
      <c r="N104" s="640"/>
      <c r="O104" s="641"/>
    </row>
    <row r="105" spans="1:15" s="613" customFormat="1" ht="12.75" x14ac:dyDescent="0.2">
      <c r="A105" s="631">
        <v>91</v>
      </c>
      <c r="B105" s="631" t="s">
        <v>351</v>
      </c>
      <c r="C105" s="632">
        <f>'COEFIC 2023'!I98</f>
        <v>0.31447640121410547</v>
      </c>
      <c r="D105" s="633">
        <f t="shared" si="9"/>
        <v>218218.62831941067</v>
      </c>
      <c r="E105" s="634">
        <f>'COEFIC 2023'!P98</f>
        <v>0.3913826442102713</v>
      </c>
      <c r="F105" s="635">
        <f t="shared" si="10"/>
        <v>271584.7149034295</v>
      </c>
      <c r="G105" s="653">
        <f>FPART!J106</f>
        <v>0.93155812720200115</v>
      </c>
      <c r="H105" s="637">
        <f t="shared" si="11"/>
        <v>143648.53658900221</v>
      </c>
      <c r="I105" s="638">
        <f t="shared" si="12"/>
        <v>633451.87981184234</v>
      </c>
      <c r="M105" s="639"/>
      <c r="N105" s="640"/>
      <c r="O105" s="641"/>
    </row>
    <row r="106" spans="1:15" s="613" customFormat="1" ht="12.75" x14ac:dyDescent="0.2">
      <c r="A106" s="631">
        <v>92</v>
      </c>
      <c r="B106" s="631" t="s">
        <v>352</v>
      </c>
      <c r="C106" s="632">
        <f>'COEFIC 2023'!I99</f>
        <v>0.27029724695220692</v>
      </c>
      <c r="D106" s="633">
        <f t="shared" si="9"/>
        <v>187562.22801044298</v>
      </c>
      <c r="E106" s="634">
        <f>'COEFIC 2023'!P99</f>
        <v>1.386545035984039</v>
      </c>
      <c r="F106" s="635">
        <f t="shared" si="10"/>
        <v>962138.82722960087</v>
      </c>
      <c r="G106" s="653">
        <f>FPART!J107</f>
        <v>0.34111462177289331</v>
      </c>
      <c r="H106" s="637">
        <f t="shared" si="11"/>
        <v>52600.707133503129</v>
      </c>
      <c r="I106" s="638">
        <f t="shared" si="12"/>
        <v>1202301.7623735471</v>
      </c>
      <c r="M106" s="639"/>
      <c r="N106" s="640"/>
      <c r="O106" s="641"/>
    </row>
    <row r="107" spans="1:15" s="613" customFormat="1" ht="12.75" x14ac:dyDescent="0.2">
      <c r="A107" s="631">
        <v>93</v>
      </c>
      <c r="B107" s="631" t="s">
        <v>353</v>
      </c>
      <c r="C107" s="632">
        <f>'COEFIC 2023'!I100</f>
        <v>0.60132503770389689</v>
      </c>
      <c r="D107" s="633">
        <f t="shared" si="9"/>
        <v>417266.04729403317</v>
      </c>
      <c r="E107" s="634">
        <f>'COEFIC 2023'!P100</f>
        <v>0.65567373347769853</v>
      </c>
      <c r="F107" s="635">
        <f t="shared" si="10"/>
        <v>454979.2041379814</v>
      </c>
      <c r="G107" s="653">
        <f>FPART!J108</f>
        <v>1.0002632586827527</v>
      </c>
      <c r="H107" s="637">
        <f t="shared" si="11"/>
        <v>154243.03553133697</v>
      </c>
      <c r="I107" s="638">
        <f t="shared" si="12"/>
        <v>1026488.2869633515</v>
      </c>
      <c r="M107" s="639"/>
      <c r="N107" s="640"/>
      <c r="O107" s="641"/>
    </row>
    <row r="108" spans="1:15" s="613" customFormat="1" ht="12.75" x14ac:dyDescent="0.2">
      <c r="A108" s="631">
        <v>94</v>
      </c>
      <c r="B108" s="631" t="s">
        <v>354</v>
      </c>
      <c r="C108" s="632">
        <f>'COEFIC 2023'!I101</f>
        <v>0.13519073897111003</v>
      </c>
      <c r="D108" s="633">
        <f t="shared" si="9"/>
        <v>93810.338409710486</v>
      </c>
      <c r="E108" s="634">
        <f>'COEFIC 2023'!P101</f>
        <v>0.28459801121905781</v>
      </c>
      <c r="F108" s="635">
        <f t="shared" si="10"/>
        <v>197485.68538334384</v>
      </c>
      <c r="G108" s="653">
        <f>FPART!J109</f>
        <v>0.67337351189936723</v>
      </c>
      <c r="H108" s="637">
        <f t="shared" si="11"/>
        <v>103835.83883560087</v>
      </c>
      <c r="I108" s="638">
        <f t="shared" si="12"/>
        <v>395131.86262865522</v>
      </c>
      <c r="M108" s="639"/>
      <c r="N108" s="640"/>
      <c r="O108" s="641"/>
    </row>
    <row r="109" spans="1:15" s="613" customFormat="1" ht="12.75" x14ac:dyDescent="0.2">
      <c r="A109" s="631">
        <v>95</v>
      </c>
      <c r="B109" s="631" t="s">
        <v>100</v>
      </c>
      <c r="C109" s="632">
        <f>'COEFIC 2023'!I102</f>
        <v>0.25953673797802668</v>
      </c>
      <c r="D109" s="633">
        <f t="shared" si="9"/>
        <v>180095.39266350184</v>
      </c>
      <c r="E109" s="634">
        <f>'COEFIC 2023'!P102</f>
        <v>0.50154876438978779</v>
      </c>
      <c r="F109" s="635">
        <f t="shared" si="10"/>
        <v>348030.19551829452</v>
      </c>
      <c r="G109" s="653">
        <f>FPART!J110</f>
        <v>0.7130258503350696</v>
      </c>
      <c r="H109" s="637">
        <f t="shared" si="11"/>
        <v>109950.32618995289</v>
      </c>
      <c r="I109" s="638">
        <f t="shared" si="12"/>
        <v>638075.91437174927</v>
      </c>
      <c r="M109" s="639"/>
      <c r="N109" s="640"/>
      <c r="O109" s="641"/>
    </row>
    <row r="110" spans="1:15" s="613" customFormat="1" ht="12.75" x14ac:dyDescent="0.2">
      <c r="A110" s="631">
        <v>96</v>
      </c>
      <c r="B110" s="631" t="s">
        <v>78</v>
      </c>
      <c r="C110" s="632">
        <f>'COEFIC 2023'!I103</f>
        <v>0.12573581034213366</v>
      </c>
      <c r="D110" s="633">
        <f t="shared" si="9"/>
        <v>87249.459601928582</v>
      </c>
      <c r="E110" s="634">
        <f>'COEFIC 2023'!P103</f>
        <v>1.3013400949509077</v>
      </c>
      <c r="F110" s="635">
        <f t="shared" si="10"/>
        <v>903014.18294308963</v>
      </c>
      <c r="G110" s="653">
        <f>FPART!J111</f>
        <v>0.18422636972178577</v>
      </c>
      <c r="H110" s="637">
        <f t="shared" si="11"/>
        <v>28408.155797132036</v>
      </c>
      <c r="I110" s="638">
        <f t="shared" si="12"/>
        <v>1018671.7983421503</v>
      </c>
      <c r="M110" s="639"/>
      <c r="N110" s="640"/>
      <c r="O110" s="641"/>
    </row>
    <row r="111" spans="1:15" s="613" customFormat="1" ht="12.75" x14ac:dyDescent="0.2">
      <c r="A111" s="631">
        <v>97</v>
      </c>
      <c r="B111" s="631" t="s">
        <v>130</v>
      </c>
      <c r="C111" s="632">
        <f>'COEFIC 2023'!I104</f>
        <v>0.61185391145554102</v>
      </c>
      <c r="D111" s="633">
        <f t="shared" ref="D111:D127" si="13">$F$8*C111%</f>
        <v>424572.14841628482</v>
      </c>
      <c r="E111" s="634">
        <f>'COEFIC 2023'!P104</f>
        <v>1.6393849867608183</v>
      </c>
      <c r="F111" s="635">
        <f t="shared" ref="F111:F127" si="14">$F$9*E111%</f>
        <v>1137587.2457113795</v>
      </c>
      <c r="G111" s="653">
        <f>FPART!J112</f>
        <v>0.56828479898068007</v>
      </c>
      <c r="H111" s="637">
        <f t="shared" ref="H111:H127" si="15">$F$10*G111%</f>
        <v>87630.9028450443</v>
      </c>
      <c r="I111" s="638">
        <f t="shared" ref="I111:I127" si="16">D111+F111+H111</f>
        <v>1649790.2969727085</v>
      </c>
      <c r="M111" s="639"/>
      <c r="N111" s="640"/>
      <c r="O111" s="641"/>
    </row>
    <row r="112" spans="1:15" s="613" customFormat="1" ht="12.75" x14ac:dyDescent="0.2">
      <c r="A112" s="631">
        <v>98</v>
      </c>
      <c r="B112" s="631" t="s">
        <v>355</v>
      </c>
      <c r="C112" s="632">
        <f>'COEFIC 2023'!I105</f>
        <v>0.54238440244219333</v>
      </c>
      <c r="D112" s="633">
        <f t="shared" si="13"/>
        <v>376366.49321166868</v>
      </c>
      <c r="E112" s="634">
        <f>'COEFIC 2023'!P105</f>
        <v>0.65675616703162876</v>
      </c>
      <c r="F112" s="635">
        <f t="shared" si="14"/>
        <v>455730.31666812231</v>
      </c>
      <c r="G112" s="653">
        <f>FPART!J113</f>
        <v>0.94575136814049388</v>
      </c>
      <c r="H112" s="637">
        <f t="shared" si="15"/>
        <v>145837.16897890298</v>
      </c>
      <c r="I112" s="638">
        <f t="shared" si="16"/>
        <v>977933.97885869397</v>
      </c>
      <c r="M112" s="639"/>
      <c r="N112" s="640"/>
      <c r="O112" s="641"/>
    </row>
    <row r="113" spans="1:15" s="613" customFormat="1" ht="12.75" x14ac:dyDescent="0.2">
      <c r="A113" s="631">
        <v>99</v>
      </c>
      <c r="B113" s="631" t="s">
        <v>139</v>
      </c>
      <c r="C113" s="632">
        <f>'COEFIC 2023'!I106</f>
        <v>0.30173646397461618</v>
      </c>
      <c r="D113" s="633">
        <f t="shared" si="13"/>
        <v>209378.24596148625</v>
      </c>
      <c r="E113" s="634">
        <f>'COEFIC 2023'!P106</f>
        <v>1.0151448119377655</v>
      </c>
      <c r="F113" s="635">
        <f t="shared" si="14"/>
        <v>704420.13312091131</v>
      </c>
      <c r="G113" s="653">
        <f>FPART!J114</f>
        <v>0.47909435811536139</v>
      </c>
      <c r="H113" s="637">
        <f t="shared" si="15"/>
        <v>73877.519203260279</v>
      </c>
      <c r="I113" s="638">
        <f t="shared" si="16"/>
        <v>987675.89828565787</v>
      </c>
      <c r="M113" s="639"/>
      <c r="N113" s="640"/>
      <c r="O113" s="641"/>
    </row>
    <row r="114" spans="1:15" s="613" customFormat="1" ht="12.75" x14ac:dyDescent="0.2">
      <c r="A114" s="631">
        <v>100</v>
      </c>
      <c r="B114" s="631" t="s">
        <v>125</v>
      </c>
      <c r="C114" s="632">
        <f>'COEFIC 2023'!I107</f>
        <v>0.31399207302152987</v>
      </c>
      <c r="D114" s="633">
        <f t="shared" si="13"/>
        <v>217882.54766778712</v>
      </c>
      <c r="E114" s="634">
        <f>'COEFIC 2023'!P107</f>
        <v>0.41005540499195375</v>
      </c>
      <c r="F114" s="635">
        <f t="shared" si="14"/>
        <v>284541.94867036329</v>
      </c>
      <c r="G114" s="653">
        <f>FPART!J115</f>
        <v>0.90675826255322967</v>
      </c>
      <c r="H114" s="637">
        <f t="shared" si="15"/>
        <v>139824.33693857197</v>
      </c>
      <c r="I114" s="638">
        <f t="shared" si="16"/>
        <v>642248.83327672235</v>
      </c>
      <c r="M114" s="639"/>
      <c r="N114" s="640"/>
      <c r="O114" s="641"/>
    </row>
    <row r="115" spans="1:15" s="613" customFormat="1" ht="12.75" x14ac:dyDescent="0.2">
      <c r="A115" s="631">
        <v>101</v>
      </c>
      <c r="B115" s="631" t="s">
        <v>66</v>
      </c>
      <c r="C115" s="632">
        <f>'COEFIC 2023'!I108</f>
        <v>0.18646635414161672</v>
      </c>
      <c r="D115" s="633">
        <f t="shared" si="13"/>
        <v>129391.05087507577</v>
      </c>
      <c r="E115" s="634">
        <f>'COEFIC 2023'!P108</f>
        <v>1.1972559825788365</v>
      </c>
      <c r="F115" s="635">
        <f t="shared" si="14"/>
        <v>830789.07433720422</v>
      </c>
      <c r="G115" s="653">
        <f>FPART!J116</f>
        <v>0.28176783207365719</v>
      </c>
      <c r="H115" s="637">
        <f t="shared" si="15"/>
        <v>43449.287331975334</v>
      </c>
      <c r="I115" s="638">
        <f t="shared" si="16"/>
        <v>1003629.4125442553</v>
      </c>
      <c r="M115" s="639"/>
      <c r="N115" s="640"/>
      <c r="O115" s="641"/>
    </row>
    <row r="116" spans="1:15" s="613" customFormat="1" ht="12.75" x14ac:dyDescent="0.2">
      <c r="A116" s="631">
        <v>102</v>
      </c>
      <c r="B116" s="631" t="s">
        <v>117</v>
      </c>
      <c r="C116" s="632">
        <f>'COEFIC 2023'!I109</f>
        <v>7.5131095007081719</v>
      </c>
      <c r="D116" s="633">
        <f t="shared" si="13"/>
        <v>5213429.1900073159</v>
      </c>
      <c r="E116" s="634">
        <f>'COEFIC 2023'!P109</f>
        <v>3.2046435796815618</v>
      </c>
      <c r="F116" s="635">
        <f t="shared" si="14"/>
        <v>2223737.3726958996</v>
      </c>
      <c r="G116" s="653">
        <f>FPART!J117</f>
        <v>1.4657363346795347</v>
      </c>
      <c r="H116" s="637">
        <f t="shared" si="15"/>
        <v>226020.11979053542</v>
      </c>
      <c r="I116" s="638">
        <f t="shared" si="16"/>
        <v>7663186.6824937509</v>
      </c>
      <c r="M116" s="639"/>
      <c r="N116" s="640"/>
      <c r="O116" s="641"/>
    </row>
    <row r="117" spans="1:15" s="613" customFormat="1" ht="12.75" x14ac:dyDescent="0.2">
      <c r="A117" s="631">
        <v>103</v>
      </c>
      <c r="B117" s="631" t="s">
        <v>356</v>
      </c>
      <c r="C117" s="632">
        <f>'COEFIC 2023'!I110</f>
        <v>0.49420427615467</v>
      </c>
      <c r="D117" s="633">
        <f t="shared" si="13"/>
        <v>342933.77447624539</v>
      </c>
      <c r="E117" s="634">
        <f>'COEFIC 2023'!P110</f>
        <v>0.56434491249142493</v>
      </c>
      <c r="F117" s="635">
        <f t="shared" si="14"/>
        <v>391605.13230075978</v>
      </c>
      <c r="G117" s="653">
        <f>FPART!J118</f>
        <v>0.97619221060691552</v>
      </c>
      <c r="H117" s="637">
        <f t="shared" si="15"/>
        <v>150531.22117505714</v>
      </c>
      <c r="I117" s="638">
        <f t="shared" si="16"/>
        <v>885070.12795206229</v>
      </c>
      <c r="M117" s="639"/>
      <c r="N117" s="640"/>
      <c r="O117" s="641"/>
    </row>
    <row r="118" spans="1:15" s="613" customFormat="1" ht="12.75" x14ac:dyDescent="0.2">
      <c r="A118" s="631">
        <v>104</v>
      </c>
      <c r="B118" s="631" t="s">
        <v>109</v>
      </c>
      <c r="C118" s="632">
        <f>'COEFIC 2023'!I111</f>
        <v>0.33406010639216349</v>
      </c>
      <c r="D118" s="633">
        <f t="shared" si="13"/>
        <v>231807.97640679864</v>
      </c>
      <c r="E118" s="634">
        <f>'COEFIC 2023'!P111</f>
        <v>0.47064902069414494</v>
      </c>
      <c r="F118" s="635">
        <f t="shared" si="14"/>
        <v>326588.52403308265</v>
      </c>
      <c r="G118" s="653">
        <f>FPART!J119</f>
        <v>0.86801168304157472</v>
      </c>
      <c r="H118" s="637">
        <f t="shared" si="15"/>
        <v>133849.51982072211</v>
      </c>
      <c r="I118" s="638">
        <f t="shared" si="16"/>
        <v>692246.0202606034</v>
      </c>
      <c r="M118" s="639"/>
      <c r="N118" s="640"/>
      <c r="O118" s="641"/>
    </row>
    <row r="119" spans="1:15" s="613" customFormat="1" ht="12.75" x14ac:dyDescent="0.2">
      <c r="A119" s="631">
        <v>105</v>
      </c>
      <c r="B119" s="631" t="s">
        <v>150</v>
      </c>
      <c r="C119" s="632">
        <f>'COEFIC 2023'!I112</f>
        <v>0.44183365811399233</v>
      </c>
      <c r="D119" s="633">
        <f t="shared" si="13"/>
        <v>306593.227494166</v>
      </c>
      <c r="E119" s="634">
        <f>'COEFIC 2023'!P112</f>
        <v>0.4853513770445434</v>
      </c>
      <c r="F119" s="635">
        <f t="shared" si="14"/>
        <v>336790.65056296112</v>
      </c>
      <c r="G119" s="653">
        <f>FPART!J120</f>
        <v>0.99639666628438228</v>
      </c>
      <c r="H119" s="637">
        <f t="shared" si="15"/>
        <v>153646.79754747616</v>
      </c>
      <c r="I119" s="638">
        <f t="shared" si="16"/>
        <v>797030.67560460325</v>
      </c>
      <c r="M119" s="639"/>
      <c r="N119" s="640"/>
      <c r="O119" s="641"/>
    </row>
    <row r="120" spans="1:15" s="613" customFormat="1" ht="12.75" x14ac:dyDescent="0.2">
      <c r="A120" s="631">
        <v>106</v>
      </c>
      <c r="B120" s="631" t="s">
        <v>357</v>
      </c>
      <c r="C120" s="632">
        <f>'COEFIC 2023'!I113</f>
        <v>0.68022841759871766</v>
      </c>
      <c r="D120" s="633">
        <f t="shared" si="13"/>
        <v>472017.96910418663</v>
      </c>
      <c r="E120" s="634">
        <f>'COEFIC 2023'!P113</f>
        <v>0.6649816513046064</v>
      </c>
      <c r="F120" s="635">
        <f t="shared" si="14"/>
        <v>461438.07053576474</v>
      </c>
      <c r="G120" s="653">
        <f>FPART!J121</f>
        <v>1.0573153678859981</v>
      </c>
      <c r="H120" s="637">
        <f t="shared" si="15"/>
        <v>163040.61000044469</v>
      </c>
      <c r="I120" s="638">
        <f t="shared" si="16"/>
        <v>1096496.6496403962</v>
      </c>
      <c r="M120" s="639"/>
      <c r="N120" s="640"/>
      <c r="O120" s="641"/>
    </row>
    <row r="121" spans="1:15" s="613" customFormat="1" ht="12.75" x14ac:dyDescent="0.2">
      <c r="A121" s="631">
        <v>107</v>
      </c>
      <c r="B121" s="631" t="s">
        <v>358</v>
      </c>
      <c r="C121" s="632">
        <f>'COEFIC 2023'!I114</f>
        <v>1.6178456829301266</v>
      </c>
      <c r="D121" s="633">
        <f t="shared" si="13"/>
        <v>1122640.8862429359</v>
      </c>
      <c r="E121" s="634">
        <f>'COEFIC 2023'!P114</f>
        <v>1.0775803879663932</v>
      </c>
      <c r="F121" s="635">
        <f t="shared" si="14"/>
        <v>747744.86498218495</v>
      </c>
      <c r="G121" s="653">
        <f>FPART!J122</f>
        <v>1.2550168374600785</v>
      </c>
      <c r="H121" s="637">
        <f t="shared" si="15"/>
        <v>193526.65907943426</v>
      </c>
      <c r="I121" s="638">
        <f t="shared" si="16"/>
        <v>2063912.4103045552</v>
      </c>
      <c r="M121" s="639"/>
      <c r="N121" s="640"/>
      <c r="O121" s="641"/>
    </row>
    <row r="122" spans="1:15" s="613" customFormat="1" ht="12.75" x14ac:dyDescent="0.2">
      <c r="A122" s="631">
        <v>108</v>
      </c>
      <c r="B122" s="631" t="s">
        <v>149</v>
      </c>
      <c r="C122" s="632">
        <f>'COEFIC 2023'!I115</f>
        <v>4.313890153523614</v>
      </c>
      <c r="D122" s="633">
        <f t="shared" si="13"/>
        <v>2993455.7518089241</v>
      </c>
      <c r="E122" s="634">
        <f>'COEFIC 2023'!P115</f>
        <v>2.6970472672578447</v>
      </c>
      <c r="F122" s="635">
        <f t="shared" si="14"/>
        <v>1871510.7171838982</v>
      </c>
      <c r="G122" s="653">
        <f>FPART!J123</f>
        <v>1.2865683823402381</v>
      </c>
      <c r="H122" s="637">
        <f t="shared" si="15"/>
        <v>198391.98429834499</v>
      </c>
      <c r="I122" s="638">
        <f t="shared" si="16"/>
        <v>5063358.4532911666</v>
      </c>
      <c r="M122" s="639"/>
      <c r="N122" s="640"/>
      <c r="O122" s="641"/>
    </row>
    <row r="123" spans="1:15" s="613" customFormat="1" ht="12.75" x14ac:dyDescent="0.2">
      <c r="A123" s="631">
        <v>109</v>
      </c>
      <c r="B123" s="631" t="s">
        <v>50</v>
      </c>
      <c r="C123" s="632">
        <f>'COEFIC 2023'!I116</f>
        <v>6.8058639930627357E-2</v>
      </c>
      <c r="D123" s="633">
        <f t="shared" si="13"/>
        <v>47226.637654234313</v>
      </c>
      <c r="E123" s="634">
        <f>'COEFIC 2023'!P116</f>
        <v>0.2211655189413736</v>
      </c>
      <c r="F123" s="635">
        <f t="shared" si="14"/>
        <v>153469.18238891507</v>
      </c>
      <c r="G123" s="653">
        <f>FPART!J124</f>
        <v>0.49202659964457895</v>
      </c>
      <c r="H123" s="637">
        <f t="shared" si="15"/>
        <v>75871.702406907847</v>
      </c>
      <c r="I123" s="638">
        <f t="shared" si="16"/>
        <v>276567.52245005721</v>
      </c>
      <c r="M123" s="639"/>
      <c r="N123" s="640"/>
      <c r="O123" s="641"/>
    </row>
    <row r="124" spans="1:15" s="613" customFormat="1" ht="12.75" x14ac:dyDescent="0.2">
      <c r="A124" s="631">
        <v>110</v>
      </c>
      <c r="B124" s="631" t="s">
        <v>111</v>
      </c>
      <c r="C124" s="632">
        <f>'COEFIC 2023'!I117</f>
        <v>1.0319349163986367</v>
      </c>
      <c r="D124" s="633">
        <f t="shared" si="13"/>
        <v>716070.97099187889</v>
      </c>
      <c r="E124" s="634">
        <f>'COEFIC 2023'!P117</f>
        <v>0.93707100970791035</v>
      </c>
      <c r="F124" s="635">
        <f t="shared" si="14"/>
        <v>650243.86436273356</v>
      </c>
      <c r="G124" s="653">
        <f>FPART!J125</f>
        <v>1.0958349989493676</v>
      </c>
      <c r="H124" s="637">
        <f t="shared" si="15"/>
        <v>168980.43111372396</v>
      </c>
      <c r="I124" s="638">
        <f t="shared" si="16"/>
        <v>1535295.2664683363</v>
      </c>
      <c r="M124" s="639"/>
      <c r="N124" s="640"/>
      <c r="O124" s="641"/>
    </row>
    <row r="125" spans="1:15" s="613" customFormat="1" ht="12.75" x14ac:dyDescent="0.2">
      <c r="A125" s="631">
        <v>111</v>
      </c>
      <c r="B125" s="631" t="s">
        <v>140</v>
      </c>
      <c r="C125" s="632">
        <f>'COEFIC 2023'!I118</f>
        <v>0.38750466955550888</v>
      </c>
      <c r="D125" s="633">
        <f t="shared" si="13"/>
        <v>268893.74570334778</v>
      </c>
      <c r="E125" s="634">
        <f>'COEFIC 2023'!P118</f>
        <v>0.45366995431345297</v>
      </c>
      <c r="F125" s="635">
        <f t="shared" si="14"/>
        <v>314806.56341080932</v>
      </c>
      <c r="G125" s="653">
        <f>FPART!J126</f>
        <v>0.96323146383146219</v>
      </c>
      <c r="H125" s="637">
        <f t="shared" si="15"/>
        <v>148532.6423928758</v>
      </c>
      <c r="I125" s="638">
        <f t="shared" si="16"/>
        <v>732232.95150703285</v>
      </c>
      <c r="M125" s="639"/>
      <c r="N125" s="640"/>
      <c r="O125" s="641"/>
    </row>
    <row r="126" spans="1:15" s="613" customFormat="1" ht="12.75" x14ac:dyDescent="0.2">
      <c r="A126" s="631">
        <v>112</v>
      </c>
      <c r="B126" s="631" t="s">
        <v>142</v>
      </c>
      <c r="C126" s="632">
        <f>'COEFIC 2023'!I119</f>
        <v>3.3072455918764265</v>
      </c>
      <c r="D126" s="633">
        <f t="shared" si="13"/>
        <v>2294934.0357126934</v>
      </c>
      <c r="E126" s="634">
        <f>'COEFIC 2023'!P119</f>
        <v>1.8287280295210968</v>
      </c>
      <c r="F126" s="635">
        <f t="shared" si="14"/>
        <v>1268974.4624101638</v>
      </c>
      <c r="G126" s="653">
        <f>FPART!J127</f>
        <v>1.3464292708166699</v>
      </c>
      <c r="H126" s="637">
        <f t="shared" si="15"/>
        <v>207622.67938592299</v>
      </c>
      <c r="I126" s="638">
        <f t="shared" si="16"/>
        <v>3771531.1775087798</v>
      </c>
      <c r="M126" s="639"/>
      <c r="N126" s="640"/>
      <c r="O126" s="641"/>
    </row>
    <row r="127" spans="1:15" s="613" customFormat="1" ht="12.75" x14ac:dyDescent="0.2">
      <c r="A127" s="631">
        <v>113</v>
      </c>
      <c r="B127" s="631" t="s">
        <v>101</v>
      </c>
      <c r="C127" s="632">
        <f>'COEFIC 2023'!I120</f>
        <v>0.55198673530369269</v>
      </c>
      <c r="D127" s="633">
        <f t="shared" si="13"/>
        <v>383029.65743516217</v>
      </c>
      <c r="E127" s="634">
        <f>'COEFIC 2023'!P120</f>
        <v>0.58979875485710986</v>
      </c>
      <c r="F127" s="635">
        <f t="shared" si="14"/>
        <v>409267.83304731466</v>
      </c>
      <c r="G127" s="653">
        <f>FPART!J128</f>
        <v>1.0108436899472564</v>
      </c>
      <c r="H127" s="637">
        <f t="shared" si="15"/>
        <v>155874.56385280789</v>
      </c>
      <c r="I127" s="638">
        <f t="shared" si="16"/>
        <v>948172.05433528463</v>
      </c>
      <c r="J127" s="643"/>
      <c r="K127" s="643"/>
      <c r="L127" s="643"/>
      <c r="M127" s="639"/>
      <c r="N127" s="640"/>
      <c r="O127" s="641"/>
    </row>
    <row r="128" spans="1:15" s="643" customFormat="1" ht="13.5" thickBot="1" x14ac:dyDescent="0.25">
      <c r="A128" s="644"/>
      <c r="B128" s="645" t="s">
        <v>156</v>
      </c>
      <c r="C128" s="654">
        <f t="shared" ref="C128:I128" si="17">SUM(C15:C127)</f>
        <v>100.00000000000004</v>
      </c>
      <c r="D128" s="647">
        <f t="shared" si="17"/>
        <v>69391098.180000022</v>
      </c>
      <c r="E128" s="654">
        <f t="shared" si="17"/>
        <v>99.999999999999915</v>
      </c>
      <c r="F128" s="647">
        <f t="shared" si="17"/>
        <v>69391098.179999962</v>
      </c>
      <c r="G128" s="655">
        <f t="shared" si="17"/>
        <v>100.00000000000006</v>
      </c>
      <c r="H128" s="647">
        <f t="shared" si="17"/>
        <v>15420244.040000007</v>
      </c>
      <c r="I128" s="646">
        <f t="shared" si="17"/>
        <v>154202440.39999995</v>
      </c>
      <c r="M128" s="656"/>
      <c r="N128" s="657"/>
    </row>
    <row r="129" spans="1:10" s="613" customFormat="1" ht="13.5" thickTop="1" x14ac:dyDescent="0.2">
      <c r="D129" s="620"/>
      <c r="F129" s="620"/>
      <c r="H129" s="620"/>
      <c r="I129" s="620"/>
      <c r="J129" s="658"/>
    </row>
    <row r="130" spans="1:10" s="613" customFormat="1" ht="12.75" x14ac:dyDescent="0.2">
      <c r="D130" s="620"/>
      <c r="E130" s="620"/>
      <c r="F130" s="620"/>
      <c r="G130" s="620"/>
      <c r="H130" s="620"/>
      <c r="I130" s="620"/>
    </row>
    <row r="131" spans="1:10" s="613" customFormat="1" ht="12.75" x14ac:dyDescent="0.2">
      <c r="H131" s="620"/>
    </row>
    <row r="132" spans="1:10" s="613" customFormat="1" ht="12.75" x14ac:dyDescent="0.2">
      <c r="D132" s="620"/>
    </row>
    <row r="133" spans="1:10" s="613" customFormat="1" ht="12.75" x14ac:dyDescent="0.2"/>
    <row r="134" spans="1:10" s="613" customFormat="1" ht="12.75" x14ac:dyDescent="0.2">
      <c r="C134" s="648" t="s">
        <v>7</v>
      </c>
      <c r="D134" s="648"/>
      <c r="I134" s="621"/>
    </row>
    <row r="135" spans="1:10" s="613" customFormat="1" ht="12.75" x14ac:dyDescent="0.2">
      <c r="A135" s="613" t="s">
        <v>7</v>
      </c>
      <c r="B135" s="613" t="s">
        <v>7</v>
      </c>
      <c r="I135" s="621"/>
    </row>
    <row r="136" spans="1:10" s="613" customFormat="1" ht="12.75" x14ac:dyDescent="0.2">
      <c r="A136" s="613" t="s">
        <v>7</v>
      </c>
      <c r="B136" s="613" t="s">
        <v>7</v>
      </c>
      <c r="I136" s="621"/>
    </row>
    <row r="137" spans="1:10" s="613" customFormat="1" ht="12.75" x14ac:dyDescent="0.2">
      <c r="I137" s="621"/>
    </row>
    <row r="138" spans="1:10" s="613" customFormat="1" ht="12.75" x14ac:dyDescent="0.2">
      <c r="I138" s="621"/>
    </row>
    <row r="139" spans="1:10" s="613" customFormat="1" ht="12.75" x14ac:dyDescent="0.2">
      <c r="I139" s="621"/>
    </row>
    <row r="140" spans="1:10" s="613" customFormat="1" ht="12.75" x14ac:dyDescent="0.2">
      <c r="I140" s="621"/>
    </row>
    <row r="141" spans="1:10" s="613" customFormat="1" ht="12.75" x14ac:dyDescent="0.2">
      <c r="I141" s="621"/>
    </row>
    <row r="142" spans="1:10" s="613" customFormat="1" ht="12.75" x14ac:dyDescent="0.2">
      <c r="I142" s="621"/>
    </row>
    <row r="143" spans="1:10" s="613" customFormat="1" ht="12.75" x14ac:dyDescent="0.2">
      <c r="I143" s="621"/>
    </row>
    <row r="144" spans="1:10" s="613" customFormat="1" ht="12.75" x14ac:dyDescent="0.2">
      <c r="I144" s="621"/>
    </row>
    <row r="145" spans="9:9" s="613" customFormat="1" ht="12.75" x14ac:dyDescent="0.2">
      <c r="I145" s="621"/>
    </row>
    <row r="146" spans="9:9" s="613" customFormat="1" ht="12.75" x14ac:dyDescent="0.2">
      <c r="I146" s="621"/>
    </row>
    <row r="147" spans="9:9" s="613" customFormat="1" ht="12.75" x14ac:dyDescent="0.2">
      <c r="I147" s="621"/>
    </row>
    <row r="148" spans="9:9" s="613" customFormat="1" ht="12.75" x14ac:dyDescent="0.2">
      <c r="I148" s="621"/>
    </row>
    <row r="149" spans="9:9" s="613" customFormat="1" ht="12.75" x14ac:dyDescent="0.2">
      <c r="I149" s="621"/>
    </row>
    <row r="150" spans="9:9" s="613" customFormat="1" ht="12.75" x14ac:dyDescent="0.2">
      <c r="I150" s="621"/>
    </row>
    <row r="151" spans="9:9" s="613" customFormat="1" ht="12.75" x14ac:dyDescent="0.2">
      <c r="I151" s="621"/>
    </row>
    <row r="152" spans="9:9" s="613" customFormat="1" ht="12.75" x14ac:dyDescent="0.2">
      <c r="I152" s="621"/>
    </row>
    <row r="153" spans="9:9" s="613" customFormat="1" ht="12.75" x14ac:dyDescent="0.2">
      <c r="I153" s="621"/>
    </row>
    <row r="154" spans="9:9" s="613" customFormat="1" ht="12.75" x14ac:dyDescent="0.2">
      <c r="I154" s="621"/>
    </row>
    <row r="155" spans="9:9" s="613" customFormat="1" ht="12.75" x14ac:dyDescent="0.2">
      <c r="I155" s="621"/>
    </row>
    <row r="156" spans="9:9" s="613" customFormat="1" ht="12.75" x14ac:dyDescent="0.2">
      <c r="I156" s="621"/>
    </row>
    <row r="157" spans="9:9" s="613" customFormat="1" ht="12.75" x14ac:dyDescent="0.2">
      <c r="I157" s="621"/>
    </row>
    <row r="158" spans="9:9" s="613" customFormat="1" ht="12.75" x14ac:dyDescent="0.2">
      <c r="I158" s="621"/>
    </row>
    <row r="159" spans="9:9" s="613" customFormat="1" ht="12.75" x14ac:dyDescent="0.2">
      <c r="I159" s="621"/>
    </row>
    <row r="160" spans="9:9" s="613" customFormat="1" ht="12.75" x14ac:dyDescent="0.2">
      <c r="I160" s="621"/>
    </row>
    <row r="161" spans="9:9" s="613" customFormat="1" ht="12.75" x14ac:dyDescent="0.2">
      <c r="I161" s="621"/>
    </row>
    <row r="162" spans="9:9" s="613" customFormat="1" ht="12.75" x14ac:dyDescent="0.2">
      <c r="I162" s="621"/>
    </row>
    <row r="163" spans="9:9" s="613" customFormat="1" ht="12.75" x14ac:dyDescent="0.2">
      <c r="I163" s="621"/>
    </row>
    <row r="164" spans="9:9" s="613" customFormat="1" ht="12.75" x14ac:dyDescent="0.2">
      <c r="I164" s="621"/>
    </row>
    <row r="165" spans="9:9" s="613" customFormat="1" ht="12.75" x14ac:dyDescent="0.2">
      <c r="I165" s="621"/>
    </row>
    <row r="166" spans="9:9" s="613" customFormat="1" ht="12.75" x14ac:dyDescent="0.2">
      <c r="I166" s="621"/>
    </row>
    <row r="167" spans="9:9" s="613" customFormat="1" ht="12.75" x14ac:dyDescent="0.2">
      <c r="I167" s="621"/>
    </row>
    <row r="168" spans="9:9" s="613" customFormat="1" ht="12.75" x14ac:dyDescent="0.2">
      <c r="I168" s="621"/>
    </row>
    <row r="169" spans="9:9" s="613" customFormat="1" ht="12.75" x14ac:dyDescent="0.2">
      <c r="I169" s="621"/>
    </row>
    <row r="170" spans="9:9" s="613" customFormat="1" ht="12.75" x14ac:dyDescent="0.2">
      <c r="I170" s="621"/>
    </row>
    <row r="171" spans="9:9" s="613" customFormat="1" ht="12.75" x14ac:dyDescent="0.2">
      <c r="I171" s="621"/>
    </row>
    <row r="172" spans="9:9" s="613" customFormat="1" ht="12.75" x14ac:dyDescent="0.2">
      <c r="I172" s="621"/>
    </row>
    <row r="173" spans="9:9" s="613" customFormat="1" ht="12.75" x14ac:dyDescent="0.2">
      <c r="I173" s="621"/>
    </row>
    <row r="174" spans="9:9" s="613" customFormat="1" ht="12.75" x14ac:dyDescent="0.2">
      <c r="I174" s="621"/>
    </row>
    <row r="175" spans="9:9" s="613" customFormat="1" ht="12.75" x14ac:dyDescent="0.2">
      <c r="I175" s="621"/>
    </row>
    <row r="176" spans="9:9" s="613" customFormat="1" ht="12.75" x14ac:dyDescent="0.2">
      <c r="I176" s="621"/>
    </row>
    <row r="177" spans="9:9" s="613" customFormat="1" ht="12.75" x14ac:dyDescent="0.2">
      <c r="I177" s="621"/>
    </row>
    <row r="178" spans="9:9" s="613" customFormat="1" ht="12.75" x14ac:dyDescent="0.2">
      <c r="I178" s="621"/>
    </row>
    <row r="179" spans="9:9" s="613" customFormat="1" ht="12.75" x14ac:dyDescent="0.2">
      <c r="I179" s="621"/>
    </row>
    <row r="180" spans="9:9" s="613" customFormat="1" ht="12.75" x14ac:dyDescent="0.2">
      <c r="I180" s="621"/>
    </row>
    <row r="181" spans="9:9" s="613" customFormat="1" ht="12.75" x14ac:dyDescent="0.2">
      <c r="I181" s="621"/>
    </row>
    <row r="182" spans="9:9" s="613" customFormat="1" ht="12.75" x14ac:dyDescent="0.2">
      <c r="I182" s="621"/>
    </row>
    <row r="183" spans="9:9" s="613" customFormat="1" ht="12.75" x14ac:dyDescent="0.2">
      <c r="I183" s="621"/>
    </row>
    <row r="184" spans="9:9" s="613" customFormat="1" ht="12.75" x14ac:dyDescent="0.2">
      <c r="I184" s="621"/>
    </row>
    <row r="185" spans="9:9" s="613" customFormat="1" ht="12.75" x14ac:dyDescent="0.2">
      <c r="I185" s="621"/>
    </row>
    <row r="186" spans="9:9" s="613" customFormat="1" ht="12.75" x14ac:dyDescent="0.2">
      <c r="I186" s="621"/>
    </row>
    <row r="187" spans="9:9" s="613" customFormat="1" ht="12.75" x14ac:dyDescent="0.2">
      <c r="I187" s="621"/>
    </row>
    <row r="188" spans="9:9" s="613" customFormat="1" ht="12.75" x14ac:dyDescent="0.2">
      <c r="I188" s="621"/>
    </row>
    <row r="189" spans="9:9" s="613" customFormat="1" ht="12.75" x14ac:dyDescent="0.2">
      <c r="I189" s="621"/>
    </row>
    <row r="190" spans="9:9" s="613" customFormat="1" ht="12.75" x14ac:dyDescent="0.2">
      <c r="I190" s="621"/>
    </row>
    <row r="191" spans="9:9" s="613" customFormat="1" ht="12.75" x14ac:dyDescent="0.2">
      <c r="I191" s="621"/>
    </row>
    <row r="192" spans="9:9" s="613" customFormat="1" ht="12.75" x14ac:dyDescent="0.2">
      <c r="I192" s="621"/>
    </row>
    <row r="193" spans="9:9" s="613" customFormat="1" ht="12.75" x14ac:dyDescent="0.2">
      <c r="I193" s="621"/>
    </row>
    <row r="194" spans="9:9" s="613" customFormat="1" ht="12.75" x14ac:dyDescent="0.2">
      <c r="I194" s="621"/>
    </row>
    <row r="195" spans="9:9" s="613" customFormat="1" ht="12.75" x14ac:dyDescent="0.2">
      <c r="I195" s="621"/>
    </row>
    <row r="196" spans="9:9" s="613" customFormat="1" ht="12.75" x14ac:dyDescent="0.2">
      <c r="I196" s="621"/>
    </row>
    <row r="197" spans="9:9" s="613" customFormat="1" ht="12.75" x14ac:dyDescent="0.2">
      <c r="I197" s="621"/>
    </row>
    <row r="198" spans="9:9" s="613" customFormat="1" ht="12.75" x14ac:dyDescent="0.2">
      <c r="I198" s="621"/>
    </row>
    <row r="199" spans="9:9" s="613" customFormat="1" ht="12.75" x14ac:dyDescent="0.2">
      <c r="I199" s="621"/>
    </row>
    <row r="200" spans="9:9" s="613" customFormat="1" ht="12.75" x14ac:dyDescent="0.2">
      <c r="I200" s="621"/>
    </row>
    <row r="201" spans="9:9" s="613" customFormat="1" ht="12.75" x14ac:dyDescent="0.2">
      <c r="I201" s="621"/>
    </row>
    <row r="202" spans="9:9" s="613" customFormat="1" ht="12.75" x14ac:dyDescent="0.2">
      <c r="I202" s="621"/>
    </row>
    <row r="203" spans="9:9" s="613" customFormat="1" ht="12.75" x14ac:dyDescent="0.2">
      <c r="I203" s="621"/>
    </row>
    <row r="204" spans="9:9" s="613" customFormat="1" ht="12.75" x14ac:dyDescent="0.2">
      <c r="I204" s="621"/>
    </row>
    <row r="205" spans="9:9" s="613" customFormat="1" ht="12.75" x14ac:dyDescent="0.2">
      <c r="I205" s="621"/>
    </row>
    <row r="206" spans="9:9" s="613" customFormat="1" ht="12.75" x14ac:dyDescent="0.2">
      <c r="I206" s="621"/>
    </row>
    <row r="207" spans="9:9" s="613" customFormat="1" ht="12.75" x14ac:dyDescent="0.2">
      <c r="I207" s="621"/>
    </row>
    <row r="208" spans="9:9" s="613" customFormat="1" ht="12.75" x14ac:dyDescent="0.2">
      <c r="I208" s="621"/>
    </row>
    <row r="209" spans="9:9" s="613" customFormat="1" ht="12.75" x14ac:dyDescent="0.2">
      <c r="I209" s="621"/>
    </row>
    <row r="210" spans="9:9" s="613" customFormat="1" ht="12.75" x14ac:dyDescent="0.2">
      <c r="I210" s="621"/>
    </row>
    <row r="211" spans="9:9" s="613" customFormat="1" ht="12.75" x14ac:dyDescent="0.2">
      <c r="I211" s="621"/>
    </row>
    <row r="212" spans="9:9" s="613" customFormat="1" ht="12.75" x14ac:dyDescent="0.2">
      <c r="I212" s="621"/>
    </row>
    <row r="213" spans="9:9" s="613" customFormat="1" ht="12.75" x14ac:dyDescent="0.2">
      <c r="I213" s="621"/>
    </row>
    <row r="214" spans="9:9" s="613" customFormat="1" ht="12.75" x14ac:dyDescent="0.2">
      <c r="I214" s="621"/>
    </row>
    <row r="215" spans="9:9" s="613" customFormat="1" ht="12.75" x14ac:dyDescent="0.2">
      <c r="I215" s="621"/>
    </row>
    <row r="216" spans="9:9" s="613" customFormat="1" ht="12.75" x14ac:dyDescent="0.2">
      <c r="I216" s="621"/>
    </row>
    <row r="217" spans="9:9" s="613" customFormat="1" ht="12.75" x14ac:dyDescent="0.2">
      <c r="I217" s="621"/>
    </row>
    <row r="218" spans="9:9" s="613" customFormat="1" ht="12.75" x14ac:dyDescent="0.2">
      <c r="I218" s="621"/>
    </row>
    <row r="219" spans="9:9" s="613" customFormat="1" ht="12.75" x14ac:dyDescent="0.2">
      <c r="I219" s="621"/>
    </row>
    <row r="220" spans="9:9" s="613" customFormat="1" ht="12.75" x14ac:dyDescent="0.2">
      <c r="I220" s="621"/>
    </row>
    <row r="221" spans="9:9" s="613" customFormat="1" ht="12.75" x14ac:dyDescent="0.2">
      <c r="I221" s="621"/>
    </row>
    <row r="222" spans="9:9" s="613" customFormat="1" ht="12.75" x14ac:dyDescent="0.2">
      <c r="I222" s="621"/>
    </row>
    <row r="223" spans="9:9" s="613" customFormat="1" ht="12.75" x14ac:dyDescent="0.2">
      <c r="I223" s="621"/>
    </row>
    <row r="224" spans="9:9" s="613" customFormat="1" ht="12.75" x14ac:dyDescent="0.2">
      <c r="I224" s="621"/>
    </row>
    <row r="225" spans="9:9" s="613" customFormat="1" ht="12.75" x14ac:dyDescent="0.2">
      <c r="I225" s="621"/>
    </row>
    <row r="226" spans="9:9" s="613" customFormat="1" ht="12.75" x14ac:dyDescent="0.2">
      <c r="I226" s="621"/>
    </row>
    <row r="227" spans="9:9" s="613" customFormat="1" ht="12.75" x14ac:dyDescent="0.2">
      <c r="I227" s="621"/>
    </row>
    <row r="228" spans="9:9" s="613" customFormat="1" ht="12.75" x14ac:dyDescent="0.2">
      <c r="I228" s="621"/>
    </row>
    <row r="229" spans="9:9" s="613" customFormat="1" ht="12.75" x14ac:dyDescent="0.2">
      <c r="I229" s="621"/>
    </row>
    <row r="230" spans="9:9" s="613" customFormat="1" ht="12.75" x14ac:dyDescent="0.2">
      <c r="I230" s="621"/>
    </row>
    <row r="231" spans="9:9" s="613" customFormat="1" ht="12.75" x14ac:dyDescent="0.2">
      <c r="I231" s="621"/>
    </row>
    <row r="232" spans="9:9" s="613" customFormat="1" ht="12.75" x14ac:dyDescent="0.2">
      <c r="I232" s="621"/>
    </row>
    <row r="233" spans="9:9" s="613" customFormat="1" ht="12.75" x14ac:dyDescent="0.2">
      <c r="I233" s="621"/>
    </row>
    <row r="234" spans="9:9" s="613" customFormat="1" ht="12.75" x14ac:dyDescent="0.2">
      <c r="I234" s="621"/>
    </row>
    <row r="235" spans="9:9" s="613" customFormat="1" ht="12.75" x14ac:dyDescent="0.2">
      <c r="I235" s="621"/>
    </row>
    <row r="236" spans="9:9" s="613" customFormat="1" ht="12.75" x14ac:dyDescent="0.2">
      <c r="I236" s="621"/>
    </row>
    <row r="237" spans="9:9" s="613" customFormat="1" ht="12.75" x14ac:dyDescent="0.2">
      <c r="I237" s="621"/>
    </row>
    <row r="238" spans="9:9" s="613" customFormat="1" ht="12.75" x14ac:dyDescent="0.2">
      <c r="I238" s="621"/>
    </row>
    <row r="239" spans="9:9" s="613" customFormat="1" ht="12.75" x14ac:dyDescent="0.2">
      <c r="I239" s="621"/>
    </row>
    <row r="240" spans="9:9" s="613" customFormat="1" ht="12.75" x14ac:dyDescent="0.2">
      <c r="I240" s="621"/>
    </row>
    <row r="241" spans="9:9" s="613" customFormat="1" ht="12.75" x14ac:dyDescent="0.2">
      <c r="I241" s="621"/>
    </row>
    <row r="242" spans="9:9" s="613" customFormat="1" ht="12.75" x14ac:dyDescent="0.2">
      <c r="I242" s="621"/>
    </row>
    <row r="243" spans="9:9" s="613" customFormat="1" ht="12.75" x14ac:dyDescent="0.2">
      <c r="I243" s="621"/>
    </row>
    <row r="244" spans="9:9" s="613" customFormat="1" ht="12.75" x14ac:dyDescent="0.2">
      <c r="I244" s="621"/>
    </row>
    <row r="245" spans="9:9" s="613" customFormat="1" ht="12.75" x14ac:dyDescent="0.2">
      <c r="I245" s="621"/>
    </row>
    <row r="246" spans="9:9" s="613" customFormat="1" ht="12.75" x14ac:dyDescent="0.2">
      <c r="I246" s="621"/>
    </row>
    <row r="247" spans="9:9" s="613" customFormat="1" ht="12.75" x14ac:dyDescent="0.2">
      <c r="I247" s="621"/>
    </row>
    <row r="248" spans="9:9" s="613" customFormat="1" ht="12.75" x14ac:dyDescent="0.2">
      <c r="I248" s="621"/>
    </row>
    <row r="249" spans="9:9" s="613" customFormat="1" ht="12.75" x14ac:dyDescent="0.2">
      <c r="I249" s="621"/>
    </row>
    <row r="250" spans="9:9" s="613" customFormat="1" ht="12.75" x14ac:dyDescent="0.2">
      <c r="I250" s="621"/>
    </row>
    <row r="251" spans="9:9" s="613" customFormat="1" ht="12.75" x14ac:dyDescent="0.2">
      <c r="I251" s="621"/>
    </row>
    <row r="252" spans="9:9" s="613" customFormat="1" ht="12.75" x14ac:dyDescent="0.2">
      <c r="I252" s="621"/>
    </row>
    <row r="253" spans="9:9" s="613" customFormat="1" ht="12.75" x14ac:dyDescent="0.2">
      <c r="I253" s="621"/>
    </row>
    <row r="254" spans="9:9" s="613" customFormat="1" ht="12.75" x14ac:dyDescent="0.2">
      <c r="I254" s="621"/>
    </row>
    <row r="255" spans="9:9" s="613" customFormat="1" ht="12.75" x14ac:dyDescent="0.2">
      <c r="I255" s="621"/>
    </row>
    <row r="256" spans="9:9" s="613" customFormat="1" ht="12.75" x14ac:dyDescent="0.2">
      <c r="I256" s="621"/>
    </row>
    <row r="257" spans="9:9" s="613" customFormat="1" ht="12.75" x14ac:dyDescent="0.2">
      <c r="I257" s="621"/>
    </row>
    <row r="258" spans="9:9" s="613" customFormat="1" ht="12.75" x14ac:dyDescent="0.2">
      <c r="I258" s="621"/>
    </row>
    <row r="259" spans="9:9" s="613" customFormat="1" ht="12.75" x14ac:dyDescent="0.2">
      <c r="I259" s="621"/>
    </row>
    <row r="260" spans="9:9" s="613" customFormat="1" ht="12.75" x14ac:dyDescent="0.2">
      <c r="I260" s="621"/>
    </row>
    <row r="261" spans="9:9" s="613" customFormat="1" ht="12.75" x14ac:dyDescent="0.2">
      <c r="I261" s="621"/>
    </row>
    <row r="262" spans="9:9" s="613" customFormat="1" ht="12.75" x14ac:dyDescent="0.2">
      <c r="I262" s="621"/>
    </row>
    <row r="263" spans="9:9" s="613" customFormat="1" ht="12.75" x14ac:dyDescent="0.2">
      <c r="I263" s="621"/>
    </row>
    <row r="264" spans="9:9" s="613" customFormat="1" ht="12.75" x14ac:dyDescent="0.2">
      <c r="I264" s="621"/>
    </row>
    <row r="265" spans="9:9" s="613" customFormat="1" ht="12.75" x14ac:dyDescent="0.2">
      <c r="I265" s="621"/>
    </row>
    <row r="266" spans="9:9" s="613" customFormat="1" ht="12.75" x14ac:dyDescent="0.2">
      <c r="I266" s="621"/>
    </row>
    <row r="267" spans="9:9" s="613" customFormat="1" ht="12.75" x14ac:dyDescent="0.2">
      <c r="I267" s="621"/>
    </row>
    <row r="268" spans="9:9" s="613" customFormat="1" ht="12.75" x14ac:dyDescent="0.2">
      <c r="I268" s="621"/>
    </row>
    <row r="269" spans="9:9" s="613" customFormat="1" ht="12.75" x14ac:dyDescent="0.2">
      <c r="I269" s="621"/>
    </row>
    <row r="270" spans="9:9" s="613" customFormat="1" ht="12.75" x14ac:dyDescent="0.2">
      <c r="I270" s="621"/>
    </row>
    <row r="271" spans="9:9" s="613" customFormat="1" ht="12.75" x14ac:dyDescent="0.2">
      <c r="I271" s="621"/>
    </row>
    <row r="272" spans="9:9" s="613" customFormat="1" ht="12.75" x14ac:dyDescent="0.2">
      <c r="I272" s="621"/>
    </row>
    <row r="273" spans="9:9" s="613" customFormat="1" ht="12.75" x14ac:dyDescent="0.2">
      <c r="I273" s="621"/>
    </row>
    <row r="274" spans="9:9" s="613" customFormat="1" ht="12.75" x14ac:dyDescent="0.2">
      <c r="I274" s="621"/>
    </row>
    <row r="275" spans="9:9" s="613" customFormat="1" ht="12.75" x14ac:dyDescent="0.2">
      <c r="I275" s="621"/>
    </row>
    <row r="276" spans="9:9" s="613" customFormat="1" ht="12.75" x14ac:dyDescent="0.2">
      <c r="I276" s="621"/>
    </row>
    <row r="277" spans="9:9" s="613" customFormat="1" ht="12.75" x14ac:dyDescent="0.2">
      <c r="I277" s="621"/>
    </row>
    <row r="278" spans="9:9" s="613" customFormat="1" ht="12.75" x14ac:dyDescent="0.2">
      <c r="I278" s="621"/>
    </row>
    <row r="279" spans="9:9" s="613" customFormat="1" ht="12.75" x14ac:dyDescent="0.2">
      <c r="I279" s="621"/>
    </row>
    <row r="280" spans="9:9" s="613" customFormat="1" ht="12.75" x14ac:dyDescent="0.2">
      <c r="I280" s="621"/>
    </row>
    <row r="281" spans="9:9" s="613" customFormat="1" ht="12.75" x14ac:dyDescent="0.2">
      <c r="I281" s="621"/>
    </row>
    <row r="282" spans="9:9" s="613" customFormat="1" ht="12.75" x14ac:dyDescent="0.2">
      <c r="I282" s="621"/>
    </row>
    <row r="283" spans="9:9" s="613" customFormat="1" ht="12.75" x14ac:dyDescent="0.2">
      <c r="I283" s="621"/>
    </row>
    <row r="284" spans="9:9" s="613" customFormat="1" ht="12.75" x14ac:dyDescent="0.2">
      <c r="I284" s="621"/>
    </row>
    <row r="285" spans="9:9" s="613" customFormat="1" ht="12.75" x14ac:dyDescent="0.2">
      <c r="I285" s="621"/>
    </row>
    <row r="286" spans="9:9" s="613" customFormat="1" ht="12.75" x14ac:dyDescent="0.2">
      <c r="I286" s="621"/>
    </row>
    <row r="287" spans="9:9" s="613" customFormat="1" ht="12.75" x14ac:dyDescent="0.2">
      <c r="I287" s="621"/>
    </row>
    <row r="288" spans="9:9" s="613" customFormat="1" ht="12.75" x14ac:dyDescent="0.2">
      <c r="I288" s="621"/>
    </row>
    <row r="289" spans="9:9" s="613" customFormat="1" ht="12.75" x14ac:dyDescent="0.2">
      <c r="I289" s="621"/>
    </row>
    <row r="290" spans="9:9" s="613" customFormat="1" ht="12.75" x14ac:dyDescent="0.2">
      <c r="I290" s="621"/>
    </row>
    <row r="291" spans="9:9" s="613" customFormat="1" ht="12.75" x14ac:dyDescent="0.2">
      <c r="I291" s="621"/>
    </row>
    <row r="292" spans="9:9" s="613" customFormat="1" ht="12.75" x14ac:dyDescent="0.2">
      <c r="I292" s="621"/>
    </row>
    <row r="293" spans="9:9" s="613" customFormat="1" ht="12.75" x14ac:dyDescent="0.2">
      <c r="I293" s="621"/>
    </row>
    <row r="294" spans="9:9" s="613" customFormat="1" ht="12.75" x14ac:dyDescent="0.2">
      <c r="I294" s="621"/>
    </row>
    <row r="295" spans="9:9" s="613" customFormat="1" ht="12.75" x14ac:dyDescent="0.2">
      <c r="I295" s="621"/>
    </row>
    <row r="296" spans="9:9" s="613" customFormat="1" ht="12.75" x14ac:dyDescent="0.2">
      <c r="I296" s="621"/>
    </row>
    <row r="297" spans="9:9" s="613" customFormat="1" ht="12.75" x14ac:dyDescent="0.2">
      <c r="I297" s="621"/>
    </row>
    <row r="298" spans="9:9" s="613" customFormat="1" ht="12.75" x14ac:dyDescent="0.2">
      <c r="I298" s="621"/>
    </row>
    <row r="299" spans="9:9" s="613" customFormat="1" ht="12.75" x14ac:dyDescent="0.2">
      <c r="I299" s="621"/>
    </row>
    <row r="300" spans="9:9" s="613" customFormat="1" ht="12.75" x14ac:dyDescent="0.2">
      <c r="I300" s="621"/>
    </row>
    <row r="301" spans="9:9" s="613" customFormat="1" ht="12.75" x14ac:dyDescent="0.2">
      <c r="I301" s="621"/>
    </row>
    <row r="302" spans="9:9" s="613" customFormat="1" ht="12.75" x14ac:dyDescent="0.2">
      <c r="I302" s="621"/>
    </row>
    <row r="303" spans="9:9" s="613" customFormat="1" ht="12.75" x14ac:dyDescent="0.2">
      <c r="I303" s="621"/>
    </row>
    <row r="304" spans="9:9" s="613" customFormat="1" ht="12.75" x14ac:dyDescent="0.2">
      <c r="I304" s="621"/>
    </row>
    <row r="305" spans="9:9" s="613" customFormat="1" ht="12.75" x14ac:dyDescent="0.2">
      <c r="I305" s="621"/>
    </row>
    <row r="306" spans="9:9" s="613" customFormat="1" ht="12.75" x14ac:dyDescent="0.2">
      <c r="I306" s="621"/>
    </row>
    <row r="307" spans="9:9" s="613" customFormat="1" ht="12.75" x14ac:dyDescent="0.2">
      <c r="I307" s="621"/>
    </row>
    <row r="308" spans="9:9" s="613" customFormat="1" ht="12.75" x14ac:dyDescent="0.2">
      <c r="I308" s="621"/>
    </row>
    <row r="309" spans="9:9" s="613" customFormat="1" ht="12.75" x14ac:dyDescent="0.2">
      <c r="I309" s="621"/>
    </row>
    <row r="310" spans="9:9" s="613" customFormat="1" ht="12.75" x14ac:dyDescent="0.2">
      <c r="I310" s="621"/>
    </row>
    <row r="311" spans="9:9" s="613" customFormat="1" ht="12.75" x14ac:dyDescent="0.2">
      <c r="I311" s="621"/>
    </row>
    <row r="312" spans="9:9" s="613" customFormat="1" ht="12.75" x14ac:dyDescent="0.2">
      <c r="I312" s="621"/>
    </row>
    <row r="313" spans="9:9" s="613" customFormat="1" ht="12.75" x14ac:dyDescent="0.2">
      <c r="I313" s="621"/>
    </row>
    <row r="314" spans="9:9" s="613" customFormat="1" ht="12.75" x14ac:dyDescent="0.2">
      <c r="I314" s="621"/>
    </row>
    <row r="315" spans="9:9" s="613" customFormat="1" ht="12.75" x14ac:dyDescent="0.2">
      <c r="I315" s="621"/>
    </row>
    <row r="316" spans="9:9" s="613" customFormat="1" ht="12.75" x14ac:dyDescent="0.2">
      <c r="I316" s="621"/>
    </row>
    <row r="317" spans="9:9" s="613" customFormat="1" ht="12.75" x14ac:dyDescent="0.2">
      <c r="I317" s="621"/>
    </row>
    <row r="318" spans="9:9" s="613" customFormat="1" ht="12.75" x14ac:dyDescent="0.2">
      <c r="I318" s="621"/>
    </row>
    <row r="319" spans="9:9" s="613" customFormat="1" ht="12.75" x14ac:dyDescent="0.2">
      <c r="I319" s="621"/>
    </row>
    <row r="320" spans="9:9" s="613" customFormat="1" ht="12.75" x14ac:dyDescent="0.2">
      <c r="I320" s="621"/>
    </row>
    <row r="321" spans="9:9" s="613" customFormat="1" ht="12.75" x14ac:dyDescent="0.2">
      <c r="I321" s="621"/>
    </row>
    <row r="322" spans="9:9" s="613" customFormat="1" ht="12.75" x14ac:dyDescent="0.2">
      <c r="I322" s="621"/>
    </row>
    <row r="323" spans="9:9" s="613" customFormat="1" ht="12.75" x14ac:dyDescent="0.2">
      <c r="I323" s="621"/>
    </row>
    <row r="324" spans="9:9" s="613" customFormat="1" ht="12.75" x14ac:dyDescent="0.2">
      <c r="I324" s="621"/>
    </row>
    <row r="325" spans="9:9" s="613" customFormat="1" ht="12.75" x14ac:dyDescent="0.2">
      <c r="I325" s="621"/>
    </row>
    <row r="326" spans="9:9" s="613" customFormat="1" ht="12.75" x14ac:dyDescent="0.2">
      <c r="I326" s="621"/>
    </row>
    <row r="327" spans="9:9" s="613" customFormat="1" ht="12.75" x14ac:dyDescent="0.2">
      <c r="I327" s="621"/>
    </row>
    <row r="328" spans="9:9" s="613" customFormat="1" ht="12.75" x14ac:dyDescent="0.2">
      <c r="I328" s="621"/>
    </row>
    <row r="329" spans="9:9" s="613" customFormat="1" ht="12.75" x14ac:dyDescent="0.2">
      <c r="I329" s="621"/>
    </row>
    <row r="330" spans="9:9" s="613" customFormat="1" ht="12.75" x14ac:dyDescent="0.2">
      <c r="I330" s="621"/>
    </row>
    <row r="331" spans="9:9" s="613" customFormat="1" ht="12.75" x14ac:dyDescent="0.2">
      <c r="I331" s="621"/>
    </row>
    <row r="332" spans="9:9" s="613" customFormat="1" ht="12.75" x14ac:dyDescent="0.2">
      <c r="I332" s="621"/>
    </row>
    <row r="333" spans="9:9" s="613" customFormat="1" ht="12.75" x14ac:dyDescent="0.2">
      <c r="I333" s="621"/>
    </row>
    <row r="334" spans="9:9" s="613" customFormat="1" ht="12.75" x14ac:dyDescent="0.2">
      <c r="I334" s="621"/>
    </row>
    <row r="335" spans="9:9" s="613" customFormat="1" ht="12.75" x14ac:dyDescent="0.2">
      <c r="I335" s="621"/>
    </row>
    <row r="336" spans="9:9" s="613" customFormat="1" ht="12.75" x14ac:dyDescent="0.2">
      <c r="I336" s="621"/>
    </row>
    <row r="337" spans="9:9" s="613" customFormat="1" ht="12.75" x14ac:dyDescent="0.2">
      <c r="I337" s="621"/>
    </row>
    <row r="338" spans="9:9" s="613" customFormat="1" ht="12.75" x14ac:dyDescent="0.2">
      <c r="I338" s="621"/>
    </row>
    <row r="339" spans="9:9" s="613" customFormat="1" ht="12.75" x14ac:dyDescent="0.2">
      <c r="I339" s="621"/>
    </row>
    <row r="340" spans="9:9" s="613" customFormat="1" ht="12.75" x14ac:dyDescent="0.2">
      <c r="I340" s="621"/>
    </row>
    <row r="341" spans="9:9" s="613" customFormat="1" ht="12.75" x14ac:dyDescent="0.2">
      <c r="I341" s="621"/>
    </row>
    <row r="342" spans="9:9" s="613" customFormat="1" ht="12.75" x14ac:dyDescent="0.2">
      <c r="I342" s="621"/>
    </row>
    <row r="343" spans="9:9" s="613" customFormat="1" ht="12.75" x14ac:dyDescent="0.2">
      <c r="I343" s="621"/>
    </row>
    <row r="344" spans="9:9" s="613" customFormat="1" ht="12.75" x14ac:dyDescent="0.2">
      <c r="I344" s="621"/>
    </row>
    <row r="345" spans="9:9" s="613" customFormat="1" ht="12.75" x14ac:dyDescent="0.2">
      <c r="I345" s="621"/>
    </row>
    <row r="346" spans="9:9" s="613" customFormat="1" ht="12.75" x14ac:dyDescent="0.2">
      <c r="I346" s="621"/>
    </row>
    <row r="347" spans="9:9" s="613" customFormat="1" ht="12.75" x14ac:dyDescent="0.2">
      <c r="I347" s="621"/>
    </row>
    <row r="348" spans="9:9" s="613" customFormat="1" ht="12.75" x14ac:dyDescent="0.2">
      <c r="I348" s="621"/>
    </row>
    <row r="349" spans="9:9" s="613" customFormat="1" ht="12.75" x14ac:dyDescent="0.2">
      <c r="I349" s="621"/>
    </row>
    <row r="350" spans="9:9" s="613" customFormat="1" ht="12.75" x14ac:dyDescent="0.2">
      <c r="I350" s="621"/>
    </row>
    <row r="351" spans="9:9" s="613" customFormat="1" ht="12.75" x14ac:dyDescent="0.2">
      <c r="I351" s="621"/>
    </row>
    <row r="352" spans="9:9" s="613" customFormat="1" ht="12.75" x14ac:dyDescent="0.2">
      <c r="I352" s="621"/>
    </row>
    <row r="353" spans="9:9" s="613" customFormat="1" ht="12.75" x14ac:dyDescent="0.2">
      <c r="I353" s="621"/>
    </row>
    <row r="354" spans="9:9" s="613" customFormat="1" ht="12.75" x14ac:dyDescent="0.2">
      <c r="I354" s="621"/>
    </row>
    <row r="355" spans="9:9" s="613" customFormat="1" ht="12.75" x14ac:dyDescent="0.2">
      <c r="I355" s="621"/>
    </row>
    <row r="356" spans="9:9" s="613" customFormat="1" ht="12.75" x14ac:dyDescent="0.2">
      <c r="I356" s="621"/>
    </row>
    <row r="357" spans="9:9" s="613" customFormat="1" ht="12.75" x14ac:dyDescent="0.2">
      <c r="I357" s="621"/>
    </row>
    <row r="358" spans="9:9" s="613" customFormat="1" ht="12.75" x14ac:dyDescent="0.2">
      <c r="I358" s="621"/>
    </row>
    <row r="359" spans="9:9" s="613" customFormat="1" ht="12.75" x14ac:dyDescent="0.2">
      <c r="I359" s="621"/>
    </row>
    <row r="360" spans="9:9" s="613" customFormat="1" ht="12.75" x14ac:dyDescent="0.2">
      <c r="I360" s="621"/>
    </row>
    <row r="361" spans="9:9" s="613" customFormat="1" ht="12.75" x14ac:dyDescent="0.2">
      <c r="I361" s="621"/>
    </row>
    <row r="362" spans="9:9" s="613" customFormat="1" ht="12.75" x14ac:dyDescent="0.2">
      <c r="I362" s="621"/>
    </row>
    <row r="363" spans="9:9" s="613" customFormat="1" ht="12.75" x14ac:dyDescent="0.2">
      <c r="I363" s="621"/>
    </row>
    <row r="364" spans="9:9" s="613" customFormat="1" ht="12.75" x14ac:dyDescent="0.2">
      <c r="I364" s="621"/>
    </row>
    <row r="365" spans="9:9" s="613" customFormat="1" ht="12.75" x14ac:dyDescent="0.2">
      <c r="I365" s="621"/>
    </row>
    <row r="366" spans="9:9" s="613" customFormat="1" ht="12.75" x14ac:dyDescent="0.2">
      <c r="I366" s="621"/>
    </row>
    <row r="367" spans="9:9" s="613" customFormat="1" ht="12.75" x14ac:dyDescent="0.2">
      <c r="I367" s="621"/>
    </row>
    <row r="368" spans="9:9" s="613" customFormat="1" ht="12.75" x14ac:dyDescent="0.2">
      <c r="I368" s="621"/>
    </row>
    <row r="369" spans="9:9" s="613" customFormat="1" ht="12.75" x14ac:dyDescent="0.2">
      <c r="I369" s="621"/>
    </row>
    <row r="370" spans="9:9" s="613" customFormat="1" ht="12.75" x14ac:dyDescent="0.2">
      <c r="I370" s="621"/>
    </row>
    <row r="371" spans="9:9" s="613" customFormat="1" ht="12.75" x14ac:dyDescent="0.2">
      <c r="I371" s="621"/>
    </row>
    <row r="372" spans="9:9" s="613" customFormat="1" ht="12.75" x14ac:dyDescent="0.2">
      <c r="I372" s="621"/>
    </row>
    <row r="373" spans="9:9" s="613" customFormat="1" ht="12.75" x14ac:dyDescent="0.2">
      <c r="I373" s="621"/>
    </row>
    <row r="374" spans="9:9" s="613" customFormat="1" ht="12.75" x14ac:dyDescent="0.2">
      <c r="I374" s="621"/>
    </row>
    <row r="375" spans="9:9" s="613" customFormat="1" ht="12.75" x14ac:dyDescent="0.2">
      <c r="I375" s="621"/>
    </row>
    <row r="376" spans="9:9" s="613" customFormat="1" ht="12.75" x14ac:dyDescent="0.2">
      <c r="I376" s="621"/>
    </row>
    <row r="377" spans="9:9" s="613" customFormat="1" ht="12.75" x14ac:dyDescent="0.2">
      <c r="I377" s="621"/>
    </row>
    <row r="378" spans="9:9" s="613" customFormat="1" ht="12.75" x14ac:dyDescent="0.2">
      <c r="I378" s="621"/>
    </row>
    <row r="379" spans="9:9" s="613" customFormat="1" ht="12.75" x14ac:dyDescent="0.2">
      <c r="I379" s="621"/>
    </row>
    <row r="380" spans="9:9" s="613" customFormat="1" ht="12.75" x14ac:dyDescent="0.2">
      <c r="I380" s="621"/>
    </row>
    <row r="381" spans="9:9" s="613" customFormat="1" ht="12.75" x14ac:dyDescent="0.2">
      <c r="I381" s="621"/>
    </row>
    <row r="382" spans="9:9" s="613" customFormat="1" ht="12.75" x14ac:dyDescent="0.2">
      <c r="I382" s="621"/>
    </row>
    <row r="383" spans="9:9" s="613" customFormat="1" ht="12.75" x14ac:dyDescent="0.2">
      <c r="I383" s="621"/>
    </row>
    <row r="384" spans="9:9" s="613" customFormat="1" ht="12.75" x14ac:dyDescent="0.2">
      <c r="I384" s="621"/>
    </row>
    <row r="385" spans="9:9" s="613" customFormat="1" ht="12.75" x14ac:dyDescent="0.2">
      <c r="I385" s="621"/>
    </row>
    <row r="386" spans="9:9" s="613" customFormat="1" ht="12.75" x14ac:dyDescent="0.2">
      <c r="I386" s="621"/>
    </row>
    <row r="387" spans="9:9" s="613" customFormat="1" ht="12.75" x14ac:dyDescent="0.2">
      <c r="I387" s="621"/>
    </row>
    <row r="388" spans="9:9" s="613" customFormat="1" ht="12.75" x14ac:dyDescent="0.2">
      <c r="I388" s="621"/>
    </row>
    <row r="389" spans="9:9" s="613" customFormat="1" ht="12.75" x14ac:dyDescent="0.2">
      <c r="I389" s="621"/>
    </row>
    <row r="390" spans="9:9" s="613" customFormat="1" ht="12.75" x14ac:dyDescent="0.2">
      <c r="I390" s="621"/>
    </row>
    <row r="391" spans="9:9" s="613" customFormat="1" ht="12.75" x14ac:dyDescent="0.2">
      <c r="I391" s="621"/>
    </row>
    <row r="392" spans="9:9" s="613" customFormat="1" ht="12.75" x14ac:dyDescent="0.2">
      <c r="I392" s="621"/>
    </row>
    <row r="393" spans="9:9" s="613" customFormat="1" ht="12.75" x14ac:dyDescent="0.2">
      <c r="I393" s="621"/>
    </row>
    <row r="394" spans="9:9" s="613" customFormat="1" ht="12.75" x14ac:dyDescent="0.2">
      <c r="I394" s="621"/>
    </row>
    <row r="395" spans="9:9" s="613" customFormat="1" ht="12.75" x14ac:dyDescent="0.2">
      <c r="I395" s="621"/>
    </row>
    <row r="396" spans="9:9" s="613" customFormat="1" ht="12.75" x14ac:dyDescent="0.2">
      <c r="I396" s="621"/>
    </row>
    <row r="397" spans="9:9" s="613" customFormat="1" ht="12.75" x14ac:dyDescent="0.2">
      <c r="I397" s="621"/>
    </row>
    <row r="398" spans="9:9" s="613" customFormat="1" ht="12.75" x14ac:dyDescent="0.2">
      <c r="I398" s="621"/>
    </row>
    <row r="399" spans="9:9" s="613" customFormat="1" ht="12.75" x14ac:dyDescent="0.2">
      <c r="I399" s="621"/>
    </row>
    <row r="400" spans="9:9" s="613" customFormat="1" ht="12.75" x14ac:dyDescent="0.2">
      <c r="I400" s="621"/>
    </row>
    <row r="401" spans="9:9" s="613" customFormat="1" ht="12.75" x14ac:dyDescent="0.2">
      <c r="I401" s="621"/>
    </row>
    <row r="402" spans="9:9" s="613" customFormat="1" ht="12.75" x14ac:dyDescent="0.2">
      <c r="I402" s="621"/>
    </row>
    <row r="403" spans="9:9" s="613" customFormat="1" ht="12.75" x14ac:dyDescent="0.2">
      <c r="I403" s="621"/>
    </row>
    <row r="404" spans="9:9" s="613" customFormat="1" ht="12.75" x14ac:dyDescent="0.2">
      <c r="I404" s="621"/>
    </row>
    <row r="405" spans="9:9" s="613" customFormat="1" ht="12.75" x14ac:dyDescent="0.2">
      <c r="I405" s="621"/>
    </row>
    <row r="406" spans="9:9" s="613" customFormat="1" ht="12.75" x14ac:dyDescent="0.2">
      <c r="I406" s="621"/>
    </row>
    <row r="407" spans="9:9" s="613" customFormat="1" ht="12.75" x14ac:dyDescent="0.2">
      <c r="I407" s="621"/>
    </row>
    <row r="408" spans="9:9" s="613" customFormat="1" ht="12.75" x14ac:dyDescent="0.2">
      <c r="I408" s="621"/>
    </row>
    <row r="409" spans="9:9" s="613" customFormat="1" ht="12.75" x14ac:dyDescent="0.2">
      <c r="I409" s="621"/>
    </row>
    <row r="410" spans="9:9" s="613" customFormat="1" ht="12.75" x14ac:dyDescent="0.2">
      <c r="I410" s="621"/>
    </row>
    <row r="411" spans="9:9" s="613" customFormat="1" ht="12.75" x14ac:dyDescent="0.2">
      <c r="I411" s="621"/>
    </row>
    <row r="412" spans="9:9" s="613" customFormat="1" ht="12.75" x14ac:dyDescent="0.2">
      <c r="I412" s="621"/>
    </row>
    <row r="413" spans="9:9" s="613" customFormat="1" ht="12.75" x14ac:dyDescent="0.2">
      <c r="I413" s="621"/>
    </row>
    <row r="414" spans="9:9" s="613" customFormat="1" ht="12.75" x14ac:dyDescent="0.2">
      <c r="I414" s="621"/>
    </row>
    <row r="415" spans="9:9" s="613" customFormat="1" ht="12.75" x14ac:dyDescent="0.2">
      <c r="I415" s="621"/>
    </row>
    <row r="416" spans="9:9" s="613" customFormat="1" ht="12.75" x14ac:dyDescent="0.2">
      <c r="I416" s="621"/>
    </row>
    <row r="417" spans="9:9" s="613" customFormat="1" ht="12.75" x14ac:dyDescent="0.2">
      <c r="I417" s="621"/>
    </row>
    <row r="418" spans="9:9" s="613" customFormat="1" ht="12.75" x14ac:dyDescent="0.2">
      <c r="I418" s="621"/>
    </row>
    <row r="419" spans="9:9" s="613" customFormat="1" ht="12.75" x14ac:dyDescent="0.2">
      <c r="I419" s="621"/>
    </row>
    <row r="420" spans="9:9" s="613" customFormat="1" ht="12.75" x14ac:dyDescent="0.2">
      <c r="I420" s="621"/>
    </row>
    <row r="421" spans="9:9" s="613" customFormat="1" ht="12.75" x14ac:dyDescent="0.2">
      <c r="I421" s="621"/>
    </row>
    <row r="422" spans="9:9" s="613" customFormat="1" ht="12.75" x14ac:dyDescent="0.2">
      <c r="I422" s="621"/>
    </row>
    <row r="423" spans="9:9" s="613" customFormat="1" ht="12.75" x14ac:dyDescent="0.2">
      <c r="I423" s="621"/>
    </row>
    <row r="424" spans="9:9" s="613" customFormat="1" ht="12.75" x14ac:dyDescent="0.2">
      <c r="I424" s="621"/>
    </row>
    <row r="425" spans="9:9" s="613" customFormat="1" ht="12.75" x14ac:dyDescent="0.2">
      <c r="I425" s="621"/>
    </row>
    <row r="426" spans="9:9" s="613" customFormat="1" ht="12.75" x14ac:dyDescent="0.2">
      <c r="I426" s="621"/>
    </row>
    <row r="427" spans="9:9" s="613" customFormat="1" ht="12.75" x14ac:dyDescent="0.2">
      <c r="I427" s="621"/>
    </row>
    <row r="428" spans="9:9" s="613" customFormat="1" ht="12.75" x14ac:dyDescent="0.2">
      <c r="I428" s="621"/>
    </row>
    <row r="429" spans="9:9" s="613" customFormat="1" ht="12.75" x14ac:dyDescent="0.2">
      <c r="I429" s="621"/>
    </row>
    <row r="430" spans="9:9" s="613" customFormat="1" ht="12.75" x14ac:dyDescent="0.2">
      <c r="I430" s="621"/>
    </row>
    <row r="431" spans="9:9" s="613" customFormat="1" ht="12.75" x14ac:dyDescent="0.2">
      <c r="I431" s="621"/>
    </row>
    <row r="432" spans="9:9" s="613" customFormat="1" ht="12.75" x14ac:dyDescent="0.2">
      <c r="I432" s="621"/>
    </row>
    <row r="433" spans="9:9" s="613" customFormat="1" ht="12.75" x14ac:dyDescent="0.2">
      <c r="I433" s="621"/>
    </row>
    <row r="434" spans="9:9" s="613" customFormat="1" ht="12.75" x14ac:dyDescent="0.2">
      <c r="I434" s="621"/>
    </row>
    <row r="435" spans="9:9" s="613" customFormat="1" ht="12.75" x14ac:dyDescent="0.2">
      <c r="I435" s="621"/>
    </row>
    <row r="436" spans="9:9" s="613" customFormat="1" ht="12.75" x14ac:dyDescent="0.2">
      <c r="I436" s="621"/>
    </row>
    <row r="437" spans="9:9" s="613" customFormat="1" ht="12.75" x14ac:dyDescent="0.2">
      <c r="I437" s="621"/>
    </row>
    <row r="438" spans="9:9" s="613" customFormat="1" ht="12.75" x14ac:dyDescent="0.2">
      <c r="I438" s="621"/>
    </row>
    <row r="439" spans="9:9" s="613" customFormat="1" ht="12.75" x14ac:dyDescent="0.2">
      <c r="I439" s="621"/>
    </row>
    <row r="440" spans="9:9" s="613" customFormat="1" ht="12.75" x14ac:dyDescent="0.2">
      <c r="I440" s="621"/>
    </row>
    <row r="441" spans="9:9" s="613" customFormat="1" ht="12.75" x14ac:dyDescent="0.2">
      <c r="I441" s="621"/>
    </row>
    <row r="442" spans="9:9" s="613" customFormat="1" ht="12.75" x14ac:dyDescent="0.2">
      <c r="I442" s="621"/>
    </row>
    <row r="443" spans="9:9" s="613" customFormat="1" ht="12.75" x14ac:dyDescent="0.2">
      <c r="I443" s="621"/>
    </row>
    <row r="444" spans="9:9" s="613" customFormat="1" ht="12.75" x14ac:dyDescent="0.2">
      <c r="I444" s="621"/>
    </row>
    <row r="445" spans="9:9" s="613" customFormat="1" ht="12.75" x14ac:dyDescent="0.2">
      <c r="I445" s="621"/>
    </row>
    <row r="446" spans="9:9" s="613" customFormat="1" ht="12.75" x14ac:dyDescent="0.2">
      <c r="I446" s="621"/>
    </row>
    <row r="447" spans="9:9" s="613" customFormat="1" ht="12.75" x14ac:dyDescent="0.2">
      <c r="I447" s="621"/>
    </row>
    <row r="448" spans="9:9" s="613" customFormat="1" ht="12.75" x14ac:dyDescent="0.2">
      <c r="I448" s="621"/>
    </row>
    <row r="449" spans="9:9" s="613" customFormat="1" ht="12.75" x14ac:dyDescent="0.2">
      <c r="I449" s="621"/>
    </row>
    <row r="450" spans="9:9" s="613" customFormat="1" ht="12.75" x14ac:dyDescent="0.2">
      <c r="I450" s="621"/>
    </row>
    <row r="451" spans="9:9" s="613" customFormat="1" ht="12.75" x14ac:dyDescent="0.2">
      <c r="I451" s="621"/>
    </row>
    <row r="452" spans="9:9" s="613" customFormat="1" ht="12.75" x14ac:dyDescent="0.2">
      <c r="I452" s="621"/>
    </row>
    <row r="453" spans="9:9" s="613" customFormat="1" ht="12.75" x14ac:dyDescent="0.2">
      <c r="I453" s="621"/>
    </row>
    <row r="454" spans="9:9" s="613" customFormat="1" ht="12.75" x14ac:dyDescent="0.2">
      <c r="I454" s="621"/>
    </row>
    <row r="455" spans="9:9" s="613" customFormat="1" ht="12.75" x14ac:dyDescent="0.2">
      <c r="I455" s="621"/>
    </row>
    <row r="456" spans="9:9" s="613" customFormat="1" ht="12.75" x14ac:dyDescent="0.2">
      <c r="I456" s="621"/>
    </row>
    <row r="457" spans="9:9" s="613" customFormat="1" ht="12.75" x14ac:dyDescent="0.2">
      <c r="I457" s="621"/>
    </row>
    <row r="458" spans="9:9" s="613" customFormat="1" ht="12.75" x14ac:dyDescent="0.2">
      <c r="I458" s="621"/>
    </row>
    <row r="459" spans="9:9" s="613" customFormat="1" ht="12.75" x14ac:dyDescent="0.2">
      <c r="I459" s="621"/>
    </row>
    <row r="460" spans="9:9" s="613" customFormat="1" ht="12.75" x14ac:dyDescent="0.2">
      <c r="I460" s="621"/>
    </row>
    <row r="461" spans="9:9" s="613" customFormat="1" ht="12.75" x14ac:dyDescent="0.2">
      <c r="I461" s="621"/>
    </row>
    <row r="462" spans="9:9" s="613" customFormat="1" ht="12.75" x14ac:dyDescent="0.2">
      <c r="I462" s="621"/>
    </row>
    <row r="463" spans="9:9" s="613" customFormat="1" ht="12.75" x14ac:dyDescent="0.2">
      <c r="I463" s="621"/>
    </row>
    <row r="464" spans="9:9" s="613" customFormat="1" ht="12.75" x14ac:dyDescent="0.2">
      <c r="I464" s="621"/>
    </row>
    <row r="465" spans="9:9" s="613" customFormat="1" ht="12.75" x14ac:dyDescent="0.2">
      <c r="I465" s="621"/>
    </row>
    <row r="466" spans="9:9" s="613" customFormat="1" ht="12.75" x14ac:dyDescent="0.2">
      <c r="I466" s="621"/>
    </row>
    <row r="467" spans="9:9" s="613" customFormat="1" ht="12.75" x14ac:dyDescent="0.2">
      <c r="I467" s="621"/>
    </row>
    <row r="468" spans="9:9" s="613" customFormat="1" ht="12.75" x14ac:dyDescent="0.2">
      <c r="I468" s="621"/>
    </row>
    <row r="469" spans="9:9" s="613" customFormat="1" ht="12.75" x14ac:dyDescent="0.2">
      <c r="I469" s="621"/>
    </row>
    <row r="470" spans="9:9" s="613" customFormat="1" ht="12.75" x14ac:dyDescent="0.2">
      <c r="I470" s="621"/>
    </row>
    <row r="471" spans="9:9" s="613" customFormat="1" ht="12.75" x14ac:dyDescent="0.2">
      <c r="I471" s="621"/>
    </row>
    <row r="472" spans="9:9" s="613" customFormat="1" ht="12.75" x14ac:dyDescent="0.2">
      <c r="I472" s="621"/>
    </row>
    <row r="473" spans="9:9" s="613" customFormat="1" ht="12.75" x14ac:dyDescent="0.2">
      <c r="I473" s="621"/>
    </row>
    <row r="474" spans="9:9" s="613" customFormat="1" ht="12.75" x14ac:dyDescent="0.2">
      <c r="I474" s="621"/>
    </row>
    <row r="475" spans="9:9" s="613" customFormat="1" ht="12.75" x14ac:dyDescent="0.2">
      <c r="I475" s="621"/>
    </row>
    <row r="476" spans="9:9" s="613" customFormat="1" ht="12.75" x14ac:dyDescent="0.2">
      <c r="I476" s="621"/>
    </row>
    <row r="477" spans="9:9" s="613" customFormat="1" ht="12.75" x14ac:dyDescent="0.2">
      <c r="I477" s="621"/>
    </row>
    <row r="478" spans="9:9" s="613" customFormat="1" ht="12.75" x14ac:dyDescent="0.2">
      <c r="I478" s="621"/>
    </row>
    <row r="479" spans="9:9" s="613" customFormat="1" ht="12.75" x14ac:dyDescent="0.2">
      <c r="I479" s="621"/>
    </row>
    <row r="480" spans="9:9" s="613" customFormat="1" ht="12.75" x14ac:dyDescent="0.2">
      <c r="I480" s="621"/>
    </row>
    <row r="481" spans="9:9" s="613" customFormat="1" ht="12.75" x14ac:dyDescent="0.2">
      <c r="I481" s="621"/>
    </row>
    <row r="482" spans="9:9" s="613" customFormat="1" ht="12.75" x14ac:dyDescent="0.2">
      <c r="I482" s="621"/>
    </row>
    <row r="483" spans="9:9" s="613" customFormat="1" ht="12.75" x14ac:dyDescent="0.2">
      <c r="I483" s="621"/>
    </row>
    <row r="484" spans="9:9" s="613" customFormat="1" ht="12.75" x14ac:dyDescent="0.2">
      <c r="I484" s="621"/>
    </row>
    <row r="485" spans="9:9" s="613" customFormat="1" ht="12.75" x14ac:dyDescent="0.2">
      <c r="I485" s="621"/>
    </row>
    <row r="486" spans="9:9" s="613" customFormat="1" ht="12.75" x14ac:dyDescent="0.2">
      <c r="I486" s="621"/>
    </row>
    <row r="487" spans="9:9" s="613" customFormat="1" ht="12.75" x14ac:dyDescent="0.2">
      <c r="I487" s="621"/>
    </row>
    <row r="488" spans="9:9" s="613" customFormat="1" ht="12.75" x14ac:dyDescent="0.2">
      <c r="I488" s="621"/>
    </row>
    <row r="489" spans="9:9" s="613" customFormat="1" ht="12.75" x14ac:dyDescent="0.2">
      <c r="I489" s="621"/>
    </row>
    <row r="490" spans="9:9" s="613" customFormat="1" ht="12.75" x14ac:dyDescent="0.2">
      <c r="I490" s="621"/>
    </row>
    <row r="491" spans="9:9" s="613" customFormat="1" ht="12.75" x14ac:dyDescent="0.2">
      <c r="I491" s="621"/>
    </row>
    <row r="492" spans="9:9" s="613" customFormat="1" ht="12.75" x14ac:dyDescent="0.2">
      <c r="I492" s="621"/>
    </row>
    <row r="493" spans="9:9" s="613" customFormat="1" ht="12.75" x14ac:dyDescent="0.2">
      <c r="I493" s="621"/>
    </row>
    <row r="494" spans="9:9" s="613" customFormat="1" ht="12.75" x14ac:dyDescent="0.2">
      <c r="I494" s="621"/>
    </row>
    <row r="495" spans="9:9" s="613" customFormat="1" ht="12.75" x14ac:dyDescent="0.2">
      <c r="I495" s="621"/>
    </row>
    <row r="496" spans="9:9" s="613" customFormat="1" ht="12.75" x14ac:dyDescent="0.2">
      <c r="I496" s="621"/>
    </row>
    <row r="497" spans="9:9" s="613" customFormat="1" ht="12.75" x14ac:dyDescent="0.2">
      <c r="I497" s="621"/>
    </row>
    <row r="498" spans="9:9" s="613" customFormat="1" ht="12.75" x14ac:dyDescent="0.2">
      <c r="I498" s="621"/>
    </row>
    <row r="499" spans="9:9" s="613" customFormat="1" ht="12.75" x14ac:dyDescent="0.2">
      <c r="I499" s="621"/>
    </row>
    <row r="500" spans="9:9" s="613" customFormat="1" ht="12.75" x14ac:dyDescent="0.2">
      <c r="I500" s="621"/>
    </row>
    <row r="501" spans="9:9" s="613" customFormat="1" ht="12.75" x14ac:dyDescent="0.2">
      <c r="I501" s="621"/>
    </row>
    <row r="502" spans="9:9" s="613" customFormat="1" ht="12.75" x14ac:dyDescent="0.2">
      <c r="I502" s="621"/>
    </row>
    <row r="503" spans="9:9" s="613" customFormat="1" ht="12.75" x14ac:dyDescent="0.2">
      <c r="I503" s="621"/>
    </row>
    <row r="504" spans="9:9" s="613" customFormat="1" ht="12.75" x14ac:dyDescent="0.2">
      <c r="I504" s="621"/>
    </row>
    <row r="505" spans="9:9" s="613" customFormat="1" ht="12.75" x14ac:dyDescent="0.2">
      <c r="I505" s="621"/>
    </row>
    <row r="506" spans="9:9" s="613" customFormat="1" ht="12.75" x14ac:dyDescent="0.2">
      <c r="I506" s="621"/>
    </row>
    <row r="507" spans="9:9" s="613" customFormat="1" ht="12.75" x14ac:dyDescent="0.2">
      <c r="I507" s="621"/>
    </row>
    <row r="508" spans="9:9" s="613" customFormat="1" ht="12.75" x14ac:dyDescent="0.2">
      <c r="I508" s="621"/>
    </row>
    <row r="509" spans="9:9" s="613" customFormat="1" ht="12.75" x14ac:dyDescent="0.2">
      <c r="I509" s="621"/>
    </row>
    <row r="510" spans="9:9" s="613" customFormat="1" ht="12.75" x14ac:dyDescent="0.2">
      <c r="I510" s="621"/>
    </row>
    <row r="511" spans="9:9" s="613" customFormat="1" ht="12.75" x14ac:dyDescent="0.2">
      <c r="I511" s="621"/>
    </row>
    <row r="512" spans="9:9" s="613" customFormat="1" ht="12.75" x14ac:dyDescent="0.2">
      <c r="I512" s="621"/>
    </row>
    <row r="513" spans="9:9" s="613" customFormat="1" ht="12.75" x14ac:dyDescent="0.2">
      <c r="I513" s="621"/>
    </row>
    <row r="514" spans="9:9" s="613" customFormat="1" ht="12.75" x14ac:dyDescent="0.2">
      <c r="I514" s="621"/>
    </row>
    <row r="515" spans="9:9" s="613" customFormat="1" ht="12.75" x14ac:dyDescent="0.2">
      <c r="I515" s="621"/>
    </row>
    <row r="516" spans="9:9" s="613" customFormat="1" ht="12.75" x14ac:dyDescent="0.2">
      <c r="I516" s="621"/>
    </row>
    <row r="517" spans="9:9" s="613" customFormat="1" ht="12.75" x14ac:dyDescent="0.2">
      <c r="I517" s="621"/>
    </row>
    <row r="518" spans="9:9" s="613" customFormat="1" ht="12.75" x14ac:dyDescent="0.2">
      <c r="I518" s="621"/>
    </row>
    <row r="519" spans="9:9" s="613" customFormat="1" ht="12.75" x14ac:dyDescent="0.2">
      <c r="I519" s="621"/>
    </row>
    <row r="520" spans="9:9" s="613" customFormat="1" ht="12.75" x14ac:dyDescent="0.2">
      <c r="I520" s="621"/>
    </row>
    <row r="521" spans="9:9" s="613" customFormat="1" ht="12.75" x14ac:dyDescent="0.2">
      <c r="I521" s="621"/>
    </row>
    <row r="522" spans="9:9" s="613" customFormat="1" ht="12.75" x14ac:dyDescent="0.2">
      <c r="I522" s="621"/>
    </row>
    <row r="523" spans="9:9" s="613" customFormat="1" ht="12.75" x14ac:dyDescent="0.2">
      <c r="I523" s="621"/>
    </row>
    <row r="524" spans="9:9" s="613" customFormat="1" ht="12.75" x14ac:dyDescent="0.2">
      <c r="I524" s="621"/>
    </row>
    <row r="525" spans="9:9" s="613" customFormat="1" ht="12.75" x14ac:dyDescent="0.2">
      <c r="I525" s="621"/>
    </row>
    <row r="526" spans="9:9" s="613" customFormat="1" ht="12.75" x14ac:dyDescent="0.2">
      <c r="I526" s="621"/>
    </row>
    <row r="527" spans="9:9" s="613" customFormat="1" ht="12.75" x14ac:dyDescent="0.2">
      <c r="I527" s="621"/>
    </row>
    <row r="528" spans="9:9" s="613" customFormat="1" ht="12.75" x14ac:dyDescent="0.2">
      <c r="I528" s="621"/>
    </row>
    <row r="529" spans="9:9" s="613" customFormat="1" ht="12.75" x14ac:dyDescent="0.2">
      <c r="I529" s="621"/>
    </row>
    <row r="530" spans="9:9" s="613" customFormat="1" ht="12.75" x14ac:dyDescent="0.2">
      <c r="I530" s="621"/>
    </row>
    <row r="531" spans="9:9" s="613" customFormat="1" ht="12.75" x14ac:dyDescent="0.2">
      <c r="I531" s="621"/>
    </row>
    <row r="532" spans="9:9" s="613" customFormat="1" ht="12.75" x14ac:dyDescent="0.2">
      <c r="I532" s="621"/>
    </row>
    <row r="533" spans="9:9" s="613" customFormat="1" ht="12.75" x14ac:dyDescent="0.2">
      <c r="I533" s="621"/>
    </row>
    <row r="534" spans="9:9" s="613" customFormat="1" ht="12.75" x14ac:dyDescent="0.2">
      <c r="I534" s="621"/>
    </row>
    <row r="535" spans="9:9" s="613" customFormat="1" ht="12.75" x14ac:dyDescent="0.2">
      <c r="I535" s="621"/>
    </row>
    <row r="536" spans="9:9" s="613" customFormat="1" ht="12.75" x14ac:dyDescent="0.2">
      <c r="I536" s="621"/>
    </row>
    <row r="537" spans="9:9" s="613" customFormat="1" ht="12.75" x14ac:dyDescent="0.2">
      <c r="I537" s="621"/>
    </row>
    <row r="538" spans="9:9" s="613" customFormat="1" ht="12.75" x14ac:dyDescent="0.2">
      <c r="I538" s="621"/>
    </row>
    <row r="539" spans="9:9" s="613" customFormat="1" ht="12.75" x14ac:dyDescent="0.2">
      <c r="I539" s="621"/>
    </row>
    <row r="540" spans="9:9" s="613" customFormat="1" ht="12.75" x14ac:dyDescent="0.2">
      <c r="I540" s="621"/>
    </row>
    <row r="541" spans="9:9" s="613" customFormat="1" ht="12.75" x14ac:dyDescent="0.2">
      <c r="I541" s="621"/>
    </row>
    <row r="542" spans="9:9" s="613" customFormat="1" ht="12.75" x14ac:dyDescent="0.2">
      <c r="I542" s="621"/>
    </row>
    <row r="543" spans="9:9" s="613" customFormat="1" ht="12.75" x14ac:dyDescent="0.2">
      <c r="I543" s="621"/>
    </row>
    <row r="544" spans="9:9" s="613" customFormat="1" ht="12.75" x14ac:dyDescent="0.2">
      <c r="I544" s="621"/>
    </row>
    <row r="545" spans="9:9" s="613" customFormat="1" ht="12.75" x14ac:dyDescent="0.2">
      <c r="I545" s="621"/>
    </row>
    <row r="546" spans="9:9" s="613" customFormat="1" ht="12.75" x14ac:dyDescent="0.2">
      <c r="I546" s="621"/>
    </row>
    <row r="547" spans="9:9" s="613" customFormat="1" ht="12.75" x14ac:dyDescent="0.2">
      <c r="I547" s="621"/>
    </row>
    <row r="548" spans="9:9" s="613" customFormat="1" ht="12.75" x14ac:dyDescent="0.2">
      <c r="I548" s="621"/>
    </row>
    <row r="549" spans="9:9" s="613" customFormat="1" ht="12.75" x14ac:dyDescent="0.2">
      <c r="I549" s="621"/>
    </row>
    <row r="550" spans="9:9" s="613" customFormat="1" ht="12.75" x14ac:dyDescent="0.2">
      <c r="I550" s="621"/>
    </row>
    <row r="551" spans="9:9" s="613" customFormat="1" ht="12.75" x14ac:dyDescent="0.2">
      <c r="I551" s="621"/>
    </row>
    <row r="552" spans="9:9" s="613" customFormat="1" ht="12.75" x14ac:dyDescent="0.2">
      <c r="I552" s="621"/>
    </row>
    <row r="553" spans="9:9" s="613" customFormat="1" ht="12.75" x14ac:dyDescent="0.2">
      <c r="I553" s="621"/>
    </row>
    <row r="554" spans="9:9" s="613" customFormat="1" ht="12.75" x14ac:dyDescent="0.2">
      <c r="I554" s="621"/>
    </row>
    <row r="555" spans="9:9" s="613" customFormat="1" ht="12.75" x14ac:dyDescent="0.2">
      <c r="I555" s="621"/>
    </row>
    <row r="556" spans="9:9" s="613" customFormat="1" ht="12.75" x14ac:dyDescent="0.2">
      <c r="I556" s="621"/>
    </row>
    <row r="557" spans="9:9" s="613" customFormat="1" ht="12.75" x14ac:dyDescent="0.2">
      <c r="I557" s="621"/>
    </row>
    <row r="558" spans="9:9" s="613" customFormat="1" ht="12.75" x14ac:dyDescent="0.2">
      <c r="I558" s="621"/>
    </row>
    <row r="559" spans="9:9" s="613" customFormat="1" ht="12.75" x14ac:dyDescent="0.2">
      <c r="I559" s="621"/>
    </row>
    <row r="560" spans="9:9" s="613" customFormat="1" ht="12.75" x14ac:dyDescent="0.2">
      <c r="I560" s="621"/>
    </row>
    <row r="561" spans="9:9" s="613" customFormat="1" ht="12.75" x14ac:dyDescent="0.2">
      <c r="I561" s="621"/>
    </row>
    <row r="562" spans="9:9" s="613" customFormat="1" ht="12.75" x14ac:dyDescent="0.2">
      <c r="I562" s="621"/>
    </row>
    <row r="563" spans="9:9" s="613" customFormat="1" ht="12.75" x14ac:dyDescent="0.2">
      <c r="I563" s="621"/>
    </row>
    <row r="564" spans="9:9" s="613" customFormat="1" ht="12.75" x14ac:dyDescent="0.2">
      <c r="I564" s="621"/>
    </row>
    <row r="565" spans="9:9" s="613" customFormat="1" ht="12.75" x14ac:dyDescent="0.2">
      <c r="I565" s="621"/>
    </row>
    <row r="566" spans="9:9" s="613" customFormat="1" ht="12.75" x14ac:dyDescent="0.2">
      <c r="I566" s="621"/>
    </row>
    <row r="567" spans="9:9" s="613" customFormat="1" ht="12.75" x14ac:dyDescent="0.2">
      <c r="I567" s="621"/>
    </row>
    <row r="568" spans="9:9" s="613" customFormat="1" ht="12.75" x14ac:dyDescent="0.2">
      <c r="I568" s="621"/>
    </row>
    <row r="569" spans="9:9" s="613" customFormat="1" ht="12.75" x14ac:dyDescent="0.2">
      <c r="I569" s="621"/>
    </row>
    <row r="570" spans="9:9" s="613" customFormat="1" ht="12.75" x14ac:dyDescent="0.2">
      <c r="I570" s="621"/>
    </row>
    <row r="571" spans="9:9" s="613" customFormat="1" ht="12.75" x14ac:dyDescent="0.2">
      <c r="I571" s="621"/>
    </row>
    <row r="572" spans="9:9" s="613" customFormat="1" ht="12.75" x14ac:dyDescent="0.2">
      <c r="I572" s="621"/>
    </row>
    <row r="573" spans="9:9" s="613" customFormat="1" ht="12.75" x14ac:dyDescent="0.2">
      <c r="I573" s="621"/>
    </row>
    <row r="574" spans="9:9" s="613" customFormat="1" ht="12.75" x14ac:dyDescent="0.2">
      <c r="I574" s="621"/>
    </row>
    <row r="575" spans="9:9" s="613" customFormat="1" ht="12.75" x14ac:dyDescent="0.2">
      <c r="I575" s="621"/>
    </row>
    <row r="576" spans="9:9" s="613" customFormat="1" ht="12.75" x14ac:dyDescent="0.2">
      <c r="I576" s="621"/>
    </row>
    <row r="577" spans="9:9" s="613" customFormat="1" ht="12.75" x14ac:dyDescent="0.2">
      <c r="I577" s="621"/>
    </row>
    <row r="578" spans="9:9" s="613" customFormat="1" ht="12.75" x14ac:dyDescent="0.2">
      <c r="I578" s="621"/>
    </row>
    <row r="579" spans="9:9" s="613" customFormat="1" ht="12.75" x14ac:dyDescent="0.2">
      <c r="I579" s="621"/>
    </row>
    <row r="580" spans="9:9" s="613" customFormat="1" ht="12.75" x14ac:dyDescent="0.2">
      <c r="I580" s="621"/>
    </row>
    <row r="581" spans="9:9" s="613" customFormat="1" ht="12.75" x14ac:dyDescent="0.2">
      <c r="I581" s="621"/>
    </row>
    <row r="582" spans="9:9" s="613" customFormat="1" ht="12.75" x14ac:dyDescent="0.2">
      <c r="I582" s="621"/>
    </row>
    <row r="583" spans="9:9" s="613" customFormat="1" ht="12.75" x14ac:dyDescent="0.2">
      <c r="I583" s="621"/>
    </row>
    <row r="584" spans="9:9" s="613" customFormat="1" ht="12.75" x14ac:dyDescent="0.2">
      <c r="I584" s="621"/>
    </row>
    <row r="585" spans="9:9" s="613" customFormat="1" ht="12.75" x14ac:dyDescent="0.2">
      <c r="I585" s="621"/>
    </row>
    <row r="586" spans="9:9" s="613" customFormat="1" ht="12.75" x14ac:dyDescent="0.2">
      <c r="I586" s="621"/>
    </row>
    <row r="587" spans="9:9" s="613" customFormat="1" ht="12.75" x14ac:dyDescent="0.2">
      <c r="I587" s="621"/>
    </row>
    <row r="588" spans="9:9" s="613" customFormat="1" ht="12.75" x14ac:dyDescent="0.2">
      <c r="I588" s="621"/>
    </row>
    <row r="589" spans="9:9" s="613" customFormat="1" ht="12.75" x14ac:dyDescent="0.2">
      <c r="I589" s="621"/>
    </row>
    <row r="590" spans="9:9" s="613" customFormat="1" ht="12.75" x14ac:dyDescent="0.2">
      <c r="I590" s="621"/>
    </row>
    <row r="591" spans="9:9" s="613" customFormat="1" ht="12.75" x14ac:dyDescent="0.2">
      <c r="I591" s="621"/>
    </row>
    <row r="592" spans="9:9" s="613" customFormat="1" ht="12.75" x14ac:dyDescent="0.2">
      <c r="I592" s="621"/>
    </row>
    <row r="593" spans="9:9" s="613" customFormat="1" ht="12.75" x14ac:dyDescent="0.2">
      <c r="I593" s="621"/>
    </row>
    <row r="594" spans="9:9" s="613" customFormat="1" ht="12.75" x14ac:dyDescent="0.2">
      <c r="I594" s="621"/>
    </row>
    <row r="595" spans="9:9" s="613" customFormat="1" ht="12.75" x14ac:dyDescent="0.2">
      <c r="I595" s="621"/>
    </row>
    <row r="596" spans="9:9" s="613" customFormat="1" ht="12.75" x14ac:dyDescent="0.2">
      <c r="I596" s="621"/>
    </row>
    <row r="597" spans="9:9" s="613" customFormat="1" ht="12.75" x14ac:dyDescent="0.2">
      <c r="I597" s="621"/>
    </row>
    <row r="598" spans="9:9" s="613" customFormat="1" ht="12.75" x14ac:dyDescent="0.2">
      <c r="I598" s="621"/>
    </row>
    <row r="599" spans="9:9" s="613" customFormat="1" ht="12.75" x14ac:dyDescent="0.2">
      <c r="I599" s="621"/>
    </row>
    <row r="600" spans="9:9" s="613" customFormat="1" ht="12.75" x14ac:dyDescent="0.2">
      <c r="I600" s="621"/>
    </row>
    <row r="601" spans="9:9" s="613" customFormat="1" ht="12.75" x14ac:dyDescent="0.2">
      <c r="I601" s="621"/>
    </row>
    <row r="602" spans="9:9" s="613" customFormat="1" ht="12.75" x14ac:dyDescent="0.2">
      <c r="I602" s="621"/>
    </row>
    <row r="603" spans="9:9" s="613" customFormat="1" ht="12.75" x14ac:dyDescent="0.2">
      <c r="I603" s="621"/>
    </row>
    <row r="604" spans="9:9" s="613" customFormat="1" ht="12.75" x14ac:dyDescent="0.2">
      <c r="I604" s="621"/>
    </row>
    <row r="605" spans="9:9" s="613" customFormat="1" ht="12.75" x14ac:dyDescent="0.2">
      <c r="I605" s="621"/>
    </row>
    <row r="606" spans="9:9" s="613" customFormat="1" ht="12.75" x14ac:dyDescent="0.2">
      <c r="I606" s="621"/>
    </row>
    <row r="607" spans="9:9" s="613" customFormat="1" ht="12.75" x14ac:dyDescent="0.2">
      <c r="I607" s="621"/>
    </row>
    <row r="608" spans="9:9" s="613" customFormat="1" ht="12.75" x14ac:dyDescent="0.2">
      <c r="I608" s="621"/>
    </row>
    <row r="609" spans="9:9" s="613" customFormat="1" ht="12.75" x14ac:dyDescent="0.2">
      <c r="I609" s="621"/>
    </row>
    <row r="610" spans="9:9" s="613" customFormat="1" ht="12.75" x14ac:dyDescent="0.2">
      <c r="I610" s="621"/>
    </row>
    <row r="611" spans="9:9" s="613" customFormat="1" ht="12.75" x14ac:dyDescent="0.2">
      <c r="I611" s="621"/>
    </row>
    <row r="612" spans="9:9" s="613" customFormat="1" ht="12.75" x14ac:dyDescent="0.2">
      <c r="I612" s="621"/>
    </row>
    <row r="613" spans="9:9" s="613" customFormat="1" ht="12.75" x14ac:dyDescent="0.2">
      <c r="I613" s="621"/>
    </row>
    <row r="614" spans="9:9" s="613" customFormat="1" ht="12.75" x14ac:dyDescent="0.2">
      <c r="I614" s="621"/>
    </row>
    <row r="615" spans="9:9" s="613" customFormat="1" ht="12.75" x14ac:dyDescent="0.2">
      <c r="I615" s="621"/>
    </row>
    <row r="616" spans="9:9" s="613" customFormat="1" ht="12.75" x14ac:dyDescent="0.2">
      <c r="I616" s="621"/>
    </row>
    <row r="617" spans="9:9" s="613" customFormat="1" ht="12.75" x14ac:dyDescent="0.2">
      <c r="I617" s="621"/>
    </row>
    <row r="618" spans="9:9" s="613" customFormat="1" ht="12.75" x14ac:dyDescent="0.2">
      <c r="I618" s="621"/>
    </row>
    <row r="619" spans="9:9" s="613" customFormat="1" ht="12.75" x14ac:dyDescent="0.2">
      <c r="I619" s="621"/>
    </row>
    <row r="620" spans="9:9" s="613" customFormat="1" ht="12.75" x14ac:dyDescent="0.2">
      <c r="I620" s="621"/>
    </row>
    <row r="621" spans="9:9" s="613" customFormat="1" ht="12.75" x14ac:dyDescent="0.2">
      <c r="I621" s="621"/>
    </row>
    <row r="622" spans="9:9" s="613" customFormat="1" ht="12.75" x14ac:dyDescent="0.2">
      <c r="I622" s="621"/>
    </row>
    <row r="623" spans="9:9" s="613" customFormat="1" ht="12.75" x14ac:dyDescent="0.2">
      <c r="I623" s="621"/>
    </row>
    <row r="624" spans="9:9" s="613" customFormat="1" ht="12.75" x14ac:dyDescent="0.2">
      <c r="I624" s="621"/>
    </row>
    <row r="625" spans="9:9" s="613" customFormat="1" ht="12.75" x14ac:dyDescent="0.2">
      <c r="I625" s="621"/>
    </row>
    <row r="626" spans="9:9" s="613" customFormat="1" ht="12.75" x14ac:dyDescent="0.2">
      <c r="I626" s="621"/>
    </row>
    <row r="627" spans="9:9" s="613" customFormat="1" ht="12.75" x14ac:dyDescent="0.2">
      <c r="I627" s="621"/>
    </row>
    <row r="628" spans="9:9" s="613" customFormat="1" ht="12.75" x14ac:dyDescent="0.2">
      <c r="I628" s="621"/>
    </row>
    <row r="629" spans="9:9" s="613" customFormat="1" ht="12.75" x14ac:dyDescent="0.2">
      <c r="I629" s="621"/>
    </row>
    <row r="630" spans="9:9" s="613" customFormat="1" ht="12.75" x14ac:dyDescent="0.2">
      <c r="I630" s="621"/>
    </row>
    <row r="631" spans="9:9" s="613" customFormat="1" ht="12.75" x14ac:dyDescent="0.2">
      <c r="I631" s="621"/>
    </row>
    <row r="632" spans="9:9" s="613" customFormat="1" ht="12.75" x14ac:dyDescent="0.2">
      <c r="I632" s="621"/>
    </row>
    <row r="633" spans="9:9" s="613" customFormat="1" ht="12.75" x14ac:dyDescent="0.2">
      <c r="I633" s="621"/>
    </row>
    <row r="634" spans="9:9" s="613" customFormat="1" ht="12.75" x14ac:dyDescent="0.2">
      <c r="I634" s="621"/>
    </row>
    <row r="635" spans="9:9" s="613" customFormat="1" ht="12.75" x14ac:dyDescent="0.2">
      <c r="I635" s="621"/>
    </row>
    <row r="636" spans="9:9" s="613" customFormat="1" ht="12.75" x14ac:dyDescent="0.2">
      <c r="I636" s="621"/>
    </row>
    <row r="637" spans="9:9" s="613" customFormat="1" ht="12.75" x14ac:dyDescent="0.2">
      <c r="I637" s="621"/>
    </row>
    <row r="638" spans="9:9" s="613" customFormat="1" ht="12.75" x14ac:dyDescent="0.2">
      <c r="I638" s="621"/>
    </row>
    <row r="639" spans="9:9" s="613" customFormat="1" ht="12.75" x14ac:dyDescent="0.2">
      <c r="I639" s="621"/>
    </row>
    <row r="640" spans="9:9" s="613" customFormat="1" ht="12.75" x14ac:dyDescent="0.2">
      <c r="I640" s="621"/>
    </row>
    <row r="641" spans="9:9" s="613" customFormat="1" ht="12.75" x14ac:dyDescent="0.2">
      <c r="I641" s="621"/>
    </row>
    <row r="642" spans="9:9" s="613" customFormat="1" ht="12.75" x14ac:dyDescent="0.2">
      <c r="I642" s="621"/>
    </row>
    <row r="643" spans="9:9" s="613" customFormat="1" ht="12.75" x14ac:dyDescent="0.2">
      <c r="I643" s="621"/>
    </row>
    <row r="644" spans="9:9" s="613" customFormat="1" ht="12.75" x14ac:dyDescent="0.2">
      <c r="I644" s="621"/>
    </row>
    <row r="645" spans="9:9" s="613" customFormat="1" ht="12.75" x14ac:dyDescent="0.2">
      <c r="I645" s="621"/>
    </row>
    <row r="646" spans="9:9" s="613" customFormat="1" ht="12.75" x14ac:dyDescent="0.2">
      <c r="I646" s="621"/>
    </row>
    <row r="647" spans="9:9" s="613" customFormat="1" ht="12.75" x14ac:dyDescent="0.2">
      <c r="I647" s="621"/>
    </row>
    <row r="648" spans="9:9" s="613" customFormat="1" ht="12.75" x14ac:dyDescent="0.2">
      <c r="I648" s="621"/>
    </row>
    <row r="649" spans="9:9" s="613" customFormat="1" ht="12.75" x14ac:dyDescent="0.2">
      <c r="I649" s="621"/>
    </row>
    <row r="650" spans="9:9" s="613" customFormat="1" ht="12.75" x14ac:dyDescent="0.2">
      <c r="I650" s="621"/>
    </row>
    <row r="651" spans="9:9" s="613" customFormat="1" ht="12.75" x14ac:dyDescent="0.2">
      <c r="I651" s="621"/>
    </row>
    <row r="652" spans="9:9" s="613" customFormat="1" ht="12.75" x14ac:dyDescent="0.2">
      <c r="I652" s="621"/>
    </row>
    <row r="653" spans="9:9" s="613" customFormat="1" ht="12.75" x14ac:dyDescent="0.2">
      <c r="I653" s="621"/>
    </row>
    <row r="654" spans="9:9" s="613" customFormat="1" ht="12.75" x14ac:dyDescent="0.2">
      <c r="I654" s="621"/>
    </row>
    <row r="655" spans="9:9" s="613" customFormat="1" ht="12.75" x14ac:dyDescent="0.2">
      <c r="I655" s="621"/>
    </row>
    <row r="656" spans="9:9" s="613" customFormat="1" ht="12.75" x14ac:dyDescent="0.2">
      <c r="I656" s="621"/>
    </row>
    <row r="657" spans="9:9" s="613" customFormat="1" ht="12.75" x14ac:dyDescent="0.2">
      <c r="I657" s="621"/>
    </row>
    <row r="658" spans="9:9" s="613" customFormat="1" ht="12.75" x14ac:dyDescent="0.2">
      <c r="I658" s="621"/>
    </row>
    <row r="659" spans="9:9" s="613" customFormat="1" ht="12.75" x14ac:dyDescent="0.2">
      <c r="I659" s="621"/>
    </row>
    <row r="660" spans="9:9" s="613" customFormat="1" ht="12.75" x14ac:dyDescent="0.2">
      <c r="I660" s="621"/>
    </row>
    <row r="661" spans="9:9" s="613" customFormat="1" ht="12.75" x14ac:dyDescent="0.2">
      <c r="I661" s="621"/>
    </row>
    <row r="662" spans="9:9" s="613" customFormat="1" ht="12.75" x14ac:dyDescent="0.2">
      <c r="I662" s="621"/>
    </row>
    <row r="663" spans="9:9" s="613" customFormat="1" ht="12.75" x14ac:dyDescent="0.2">
      <c r="I663" s="621"/>
    </row>
    <row r="664" spans="9:9" s="613" customFormat="1" ht="12.75" x14ac:dyDescent="0.2">
      <c r="I664" s="621"/>
    </row>
    <row r="665" spans="9:9" s="613" customFormat="1" ht="12.75" x14ac:dyDescent="0.2">
      <c r="I665" s="621"/>
    </row>
    <row r="666" spans="9:9" s="613" customFormat="1" ht="12.75" x14ac:dyDescent="0.2">
      <c r="I666" s="621"/>
    </row>
    <row r="667" spans="9:9" s="613" customFormat="1" ht="12.75" x14ac:dyDescent="0.2">
      <c r="I667" s="621"/>
    </row>
    <row r="668" spans="9:9" s="613" customFormat="1" ht="12.75" x14ac:dyDescent="0.2">
      <c r="I668" s="621"/>
    </row>
    <row r="669" spans="9:9" s="613" customFormat="1" ht="12.75" x14ac:dyDescent="0.2">
      <c r="I669" s="621"/>
    </row>
    <row r="670" spans="9:9" s="613" customFormat="1" ht="12.75" x14ac:dyDescent="0.2">
      <c r="I670" s="621"/>
    </row>
    <row r="671" spans="9:9" s="613" customFormat="1" ht="12.75" x14ac:dyDescent="0.2">
      <c r="I671" s="621"/>
    </row>
    <row r="672" spans="9:9" s="613" customFormat="1" ht="12.75" x14ac:dyDescent="0.2">
      <c r="I672" s="621"/>
    </row>
    <row r="673" spans="9:9" s="613" customFormat="1" ht="12.75" x14ac:dyDescent="0.2">
      <c r="I673" s="621"/>
    </row>
    <row r="674" spans="9:9" s="613" customFormat="1" ht="12.75" x14ac:dyDescent="0.2">
      <c r="I674" s="621"/>
    </row>
    <row r="675" spans="9:9" s="613" customFormat="1" ht="12.75" x14ac:dyDescent="0.2">
      <c r="I675" s="621"/>
    </row>
    <row r="676" spans="9:9" s="613" customFormat="1" ht="12.75" x14ac:dyDescent="0.2">
      <c r="I676" s="621"/>
    </row>
    <row r="677" spans="9:9" s="613" customFormat="1" ht="12.75" x14ac:dyDescent="0.2">
      <c r="I677" s="621"/>
    </row>
    <row r="678" spans="9:9" s="613" customFormat="1" ht="12.75" x14ac:dyDescent="0.2">
      <c r="I678" s="621"/>
    </row>
    <row r="679" spans="9:9" s="613" customFormat="1" ht="12.75" x14ac:dyDescent="0.2">
      <c r="I679" s="621"/>
    </row>
    <row r="680" spans="9:9" s="613" customFormat="1" ht="12.75" x14ac:dyDescent="0.2">
      <c r="I680" s="621"/>
    </row>
    <row r="681" spans="9:9" s="613" customFormat="1" ht="12.75" x14ac:dyDescent="0.2">
      <c r="I681" s="621"/>
    </row>
    <row r="682" spans="9:9" s="613" customFormat="1" ht="12.75" x14ac:dyDescent="0.2">
      <c r="I682" s="621"/>
    </row>
    <row r="683" spans="9:9" s="613" customFormat="1" ht="12.75" x14ac:dyDescent="0.2">
      <c r="I683" s="621"/>
    </row>
    <row r="684" spans="9:9" s="613" customFormat="1" ht="12.75" x14ac:dyDescent="0.2">
      <c r="I684" s="621"/>
    </row>
    <row r="685" spans="9:9" s="613" customFormat="1" ht="12.75" x14ac:dyDescent="0.2">
      <c r="I685" s="621"/>
    </row>
    <row r="686" spans="9:9" s="613" customFormat="1" ht="12.75" x14ac:dyDescent="0.2">
      <c r="I686" s="621"/>
    </row>
    <row r="687" spans="9:9" s="613" customFormat="1" ht="12.75" x14ac:dyDescent="0.2">
      <c r="I687" s="621"/>
    </row>
    <row r="688" spans="9:9" s="613" customFormat="1" ht="12.75" x14ac:dyDescent="0.2">
      <c r="I688" s="621"/>
    </row>
    <row r="689" spans="9:9" s="613" customFormat="1" ht="12.75" x14ac:dyDescent="0.2">
      <c r="I689" s="621"/>
    </row>
    <row r="690" spans="9:9" s="613" customFormat="1" ht="12.75" x14ac:dyDescent="0.2">
      <c r="I690" s="621"/>
    </row>
    <row r="691" spans="9:9" s="613" customFormat="1" ht="12.75" x14ac:dyDescent="0.2">
      <c r="I691" s="621"/>
    </row>
    <row r="692" spans="9:9" s="613" customFormat="1" ht="12.75" x14ac:dyDescent="0.2">
      <c r="I692" s="621"/>
    </row>
    <row r="693" spans="9:9" s="613" customFormat="1" ht="12.75" x14ac:dyDescent="0.2">
      <c r="I693" s="621"/>
    </row>
    <row r="694" spans="9:9" s="613" customFormat="1" ht="12.75" x14ac:dyDescent="0.2">
      <c r="I694" s="621"/>
    </row>
    <row r="695" spans="9:9" s="613" customFormat="1" ht="12.75" x14ac:dyDescent="0.2">
      <c r="I695" s="621"/>
    </row>
    <row r="696" spans="9:9" s="613" customFormat="1" ht="12.75" x14ac:dyDescent="0.2">
      <c r="I696" s="621"/>
    </row>
    <row r="697" spans="9:9" s="613" customFormat="1" ht="12.75" x14ac:dyDescent="0.2">
      <c r="I697" s="621"/>
    </row>
    <row r="698" spans="9:9" s="613" customFormat="1" ht="12.75" x14ac:dyDescent="0.2">
      <c r="I698" s="621"/>
    </row>
    <row r="699" spans="9:9" s="613" customFormat="1" ht="12.75" x14ac:dyDescent="0.2">
      <c r="I699" s="621"/>
    </row>
    <row r="700" spans="9:9" s="613" customFormat="1" ht="12.75" x14ac:dyDescent="0.2">
      <c r="I700" s="621"/>
    </row>
    <row r="701" spans="9:9" s="613" customFormat="1" ht="12.75" x14ac:dyDescent="0.2">
      <c r="I701" s="621"/>
    </row>
    <row r="702" spans="9:9" s="613" customFormat="1" ht="12.75" x14ac:dyDescent="0.2">
      <c r="I702" s="621"/>
    </row>
    <row r="703" spans="9:9" s="613" customFormat="1" ht="12.75" x14ac:dyDescent="0.2">
      <c r="I703" s="621"/>
    </row>
    <row r="704" spans="9:9" s="613" customFormat="1" ht="12.75" x14ac:dyDescent="0.2">
      <c r="I704" s="621"/>
    </row>
    <row r="705" spans="9:9" s="613" customFormat="1" ht="12.75" x14ac:dyDescent="0.2">
      <c r="I705" s="621"/>
    </row>
    <row r="706" spans="9:9" s="613" customFormat="1" ht="12.75" x14ac:dyDescent="0.2">
      <c r="I706" s="621"/>
    </row>
    <row r="707" spans="9:9" s="613" customFormat="1" ht="12.75" x14ac:dyDescent="0.2">
      <c r="I707" s="621"/>
    </row>
    <row r="708" spans="9:9" s="613" customFormat="1" ht="12.75" x14ac:dyDescent="0.2">
      <c r="I708" s="621"/>
    </row>
    <row r="709" spans="9:9" s="613" customFormat="1" ht="12.75" x14ac:dyDescent="0.2">
      <c r="I709" s="621"/>
    </row>
    <row r="710" spans="9:9" s="613" customFormat="1" ht="12.75" x14ac:dyDescent="0.2">
      <c r="I710" s="621"/>
    </row>
    <row r="711" spans="9:9" s="613" customFormat="1" ht="12.75" x14ac:dyDescent="0.2">
      <c r="I711" s="621"/>
    </row>
    <row r="712" spans="9:9" s="613" customFormat="1" ht="12.75" x14ac:dyDescent="0.2">
      <c r="I712" s="621"/>
    </row>
    <row r="713" spans="9:9" s="613" customFormat="1" ht="12.75" x14ac:dyDescent="0.2">
      <c r="I713" s="621"/>
    </row>
    <row r="714" spans="9:9" s="613" customFormat="1" ht="12.75" x14ac:dyDescent="0.2">
      <c r="I714" s="621"/>
    </row>
    <row r="715" spans="9:9" s="613" customFormat="1" ht="12.75" x14ac:dyDescent="0.2">
      <c r="I715" s="621"/>
    </row>
    <row r="716" spans="9:9" s="613" customFormat="1" ht="12.75" x14ac:dyDescent="0.2">
      <c r="I716" s="621"/>
    </row>
    <row r="717" spans="9:9" s="613" customFormat="1" ht="12.75" x14ac:dyDescent="0.2">
      <c r="I717" s="621"/>
    </row>
    <row r="718" spans="9:9" s="613" customFormat="1" ht="12.75" x14ac:dyDescent="0.2">
      <c r="I718" s="621"/>
    </row>
    <row r="719" spans="9:9" s="613" customFormat="1" ht="12.75" x14ac:dyDescent="0.2">
      <c r="I719" s="621"/>
    </row>
    <row r="720" spans="9:9" s="613" customFormat="1" ht="12.75" x14ac:dyDescent="0.2">
      <c r="I720" s="621"/>
    </row>
    <row r="721" spans="9:9" s="613" customFormat="1" ht="12.75" x14ac:dyDescent="0.2">
      <c r="I721" s="621"/>
    </row>
    <row r="722" spans="9:9" s="613" customFormat="1" ht="12.75" x14ac:dyDescent="0.2">
      <c r="I722" s="621"/>
    </row>
    <row r="723" spans="9:9" s="613" customFormat="1" ht="12.75" x14ac:dyDescent="0.2">
      <c r="I723" s="621"/>
    </row>
    <row r="724" spans="9:9" s="613" customFormat="1" ht="12.75" x14ac:dyDescent="0.2">
      <c r="I724" s="621"/>
    </row>
    <row r="725" spans="9:9" s="613" customFormat="1" ht="12.75" x14ac:dyDescent="0.2">
      <c r="I725" s="621"/>
    </row>
    <row r="726" spans="9:9" s="613" customFormat="1" ht="12.75" x14ac:dyDescent="0.2">
      <c r="I726" s="621"/>
    </row>
    <row r="727" spans="9:9" s="613" customFormat="1" ht="12.75" x14ac:dyDescent="0.2">
      <c r="I727" s="621"/>
    </row>
    <row r="728" spans="9:9" s="613" customFormat="1" ht="12.75" x14ac:dyDescent="0.2">
      <c r="I728" s="621"/>
    </row>
    <row r="729" spans="9:9" s="613" customFormat="1" ht="12.75" x14ac:dyDescent="0.2">
      <c r="I729" s="621"/>
    </row>
    <row r="730" spans="9:9" s="613" customFormat="1" ht="12.75" x14ac:dyDescent="0.2">
      <c r="I730" s="621"/>
    </row>
    <row r="731" spans="9:9" s="613" customFormat="1" ht="12.75" x14ac:dyDescent="0.2">
      <c r="I731" s="621"/>
    </row>
    <row r="732" spans="9:9" s="613" customFormat="1" ht="12.75" x14ac:dyDescent="0.2">
      <c r="I732" s="621"/>
    </row>
    <row r="733" spans="9:9" s="613" customFormat="1" ht="12.75" x14ac:dyDescent="0.2">
      <c r="I733" s="621"/>
    </row>
    <row r="734" spans="9:9" s="613" customFormat="1" ht="12.75" x14ac:dyDescent="0.2">
      <c r="I734" s="621"/>
    </row>
    <row r="735" spans="9:9" s="613" customFormat="1" ht="12.75" x14ac:dyDescent="0.2">
      <c r="I735" s="621"/>
    </row>
    <row r="736" spans="9:9" s="613" customFormat="1" ht="12.75" x14ac:dyDescent="0.2">
      <c r="I736" s="621"/>
    </row>
    <row r="737" spans="9:9" s="613" customFormat="1" ht="12.75" x14ac:dyDescent="0.2">
      <c r="I737" s="621"/>
    </row>
    <row r="738" spans="9:9" s="613" customFormat="1" ht="12.75" x14ac:dyDescent="0.2">
      <c r="I738" s="621"/>
    </row>
    <row r="739" spans="9:9" s="613" customFormat="1" ht="12.75" x14ac:dyDescent="0.2">
      <c r="I739" s="621"/>
    </row>
    <row r="740" spans="9:9" s="613" customFormat="1" ht="12.75" x14ac:dyDescent="0.2">
      <c r="I740" s="621"/>
    </row>
    <row r="741" spans="9:9" s="613" customFormat="1" ht="12.75" x14ac:dyDescent="0.2">
      <c r="I741" s="621"/>
    </row>
    <row r="742" spans="9:9" s="613" customFormat="1" ht="12.75" x14ac:dyDescent="0.2">
      <c r="I742" s="621"/>
    </row>
    <row r="743" spans="9:9" s="613" customFormat="1" ht="12.75" x14ac:dyDescent="0.2">
      <c r="I743" s="621"/>
    </row>
  </sheetData>
  <mergeCells count="3">
    <mergeCell ref="A3:I3"/>
    <mergeCell ref="A5:I5"/>
    <mergeCell ref="B6:D6"/>
  </mergeCells>
  <printOptions horizontalCentered="1"/>
  <pageMargins left="0" right="0" top="1.3775590551181103" bottom="0.59015748031496074" header="0.98385826771653528" footer="0.19645669291338586"/>
  <pageSetup paperSize="0" scale="90" fitToWidth="0" fitToHeight="0" orientation="landscape" horizontalDpi="0" verticalDpi="0" copie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43"/>
  <sheetViews>
    <sheetView showGridLines="0" workbookViewId="0">
      <selection activeCell="A12" sqref="A12:I12"/>
    </sheetView>
  </sheetViews>
  <sheetFormatPr baseColWidth="10" defaultRowHeight="14.25" x14ac:dyDescent="0.2"/>
  <cols>
    <col min="1" max="1" width="6" style="675" customWidth="1"/>
    <col min="2" max="2" width="20.375" style="675" customWidth="1"/>
    <col min="3" max="3" width="12.5" style="675" customWidth="1"/>
    <col min="4" max="4" width="10.625" style="675" bestFit="1" customWidth="1"/>
    <col min="5" max="5" width="12.75" style="675" customWidth="1"/>
    <col min="6" max="6" width="13.875" style="675" bestFit="1" customWidth="1"/>
    <col min="7" max="7" width="12" style="675" bestFit="1" customWidth="1"/>
    <col min="8" max="8" width="13.875" style="675" bestFit="1" customWidth="1"/>
    <col min="9" max="9" width="11.625" style="681" bestFit="1" customWidth="1"/>
    <col min="10" max="10" width="7.5" style="675" customWidth="1"/>
    <col min="11" max="15" width="6.75" style="675" customWidth="1"/>
    <col min="16" max="1024" width="12.875" style="675" customWidth="1"/>
    <col min="1025" max="16384" width="11" style="674"/>
  </cols>
  <sheetData>
    <row r="1" spans="1:15" s="673" customFormat="1" ht="12.75" x14ac:dyDescent="0.2">
      <c r="A1" s="212"/>
      <c r="B1" s="212"/>
      <c r="C1" s="671" t="s">
        <v>0</v>
      </c>
      <c r="D1" s="672"/>
      <c r="E1" s="212"/>
      <c r="F1" s="212"/>
      <c r="G1" s="212"/>
      <c r="H1" s="212"/>
      <c r="I1" s="212"/>
    </row>
    <row r="2" spans="1:15" s="673" customFormat="1" ht="12.75" x14ac:dyDescent="0.2">
      <c r="A2" s="212"/>
      <c r="B2" s="212"/>
      <c r="C2" s="671" t="s">
        <v>163</v>
      </c>
      <c r="D2" s="672"/>
      <c r="E2" s="212"/>
      <c r="F2" s="212"/>
      <c r="G2" s="212"/>
      <c r="H2" s="212"/>
      <c r="I2" s="212"/>
    </row>
    <row r="3" spans="1:15" s="673" customFormat="1" ht="12.75" x14ac:dyDescent="0.2">
      <c r="A3" s="212"/>
      <c r="B3" s="212"/>
      <c r="C3" s="212"/>
      <c r="D3" s="212"/>
      <c r="E3" s="212"/>
      <c r="F3" s="212"/>
      <c r="G3" s="212"/>
      <c r="H3" s="212"/>
      <c r="I3" s="212"/>
    </row>
    <row r="4" spans="1:15" s="673" customFormat="1" ht="12.75" x14ac:dyDescent="0.2">
      <c r="A4" s="759" t="s">
        <v>527</v>
      </c>
      <c r="B4" s="759"/>
      <c r="C4" s="759"/>
      <c r="D4" s="759"/>
      <c r="E4" s="759"/>
      <c r="F4" s="759"/>
      <c r="G4" s="759"/>
      <c r="H4" s="759"/>
      <c r="I4" s="759"/>
    </row>
    <row r="5" spans="1:15" s="673" customFormat="1" x14ac:dyDescent="0.2">
      <c r="A5" s="760"/>
      <c r="B5" s="760"/>
      <c r="C5" s="760"/>
      <c r="D5" s="760"/>
      <c r="E5" s="760"/>
      <c r="F5" s="760"/>
      <c r="G5" s="760"/>
      <c r="H5" s="760"/>
      <c r="I5" s="760"/>
    </row>
    <row r="6" spans="1:15" s="673" customFormat="1" ht="12.75" x14ac:dyDescent="0.2">
      <c r="A6" s="675"/>
      <c r="B6" s="761" t="s">
        <v>379</v>
      </c>
      <c r="C6" s="761"/>
      <c r="D6" s="761"/>
      <c r="E6" s="676"/>
      <c r="F6" s="677"/>
      <c r="G6" s="675"/>
      <c r="H6" s="678"/>
      <c r="I6" s="676"/>
    </row>
    <row r="7" spans="1:15" s="673" customFormat="1" ht="12.75" x14ac:dyDescent="0.2">
      <c r="A7" s="675"/>
      <c r="B7" s="671" t="s">
        <v>314</v>
      </c>
      <c r="C7" s="675"/>
      <c r="D7" s="675"/>
      <c r="E7" s="675"/>
      <c r="F7" s="679">
        <f>'FONDOS PART 2024'!H13</f>
        <v>298226760.80000001</v>
      </c>
      <c r="G7" s="680"/>
      <c r="H7" s="678"/>
      <c r="I7" s="681"/>
    </row>
    <row r="8" spans="1:15" s="673" customFormat="1" ht="12.75" x14ac:dyDescent="0.2">
      <c r="A8" s="675"/>
      <c r="B8" s="671" t="s">
        <v>315</v>
      </c>
      <c r="C8" s="675"/>
      <c r="D8" s="675"/>
      <c r="E8" s="675"/>
      <c r="F8" s="682">
        <f>F7*0.45</f>
        <v>134202042.36000001</v>
      </c>
      <c r="G8" s="683"/>
      <c r="H8" s="678"/>
      <c r="I8" s="675"/>
    </row>
    <row r="9" spans="1:15" s="673" customFormat="1" ht="12.75" x14ac:dyDescent="0.2">
      <c r="A9" s="675"/>
      <c r="B9" s="671" t="s">
        <v>317</v>
      </c>
      <c r="C9" s="675"/>
      <c r="D9" s="675"/>
      <c r="E9" s="675"/>
      <c r="F9" s="682">
        <f>F7*0.45</f>
        <v>134202042.36000001</v>
      </c>
      <c r="G9" s="682"/>
      <c r="H9" s="684"/>
      <c r="I9" s="681"/>
    </row>
    <row r="10" spans="1:15" s="673" customFormat="1" ht="12.75" x14ac:dyDescent="0.2">
      <c r="A10" s="675"/>
      <c r="B10" s="671" t="s">
        <v>319</v>
      </c>
      <c r="C10" s="675"/>
      <c r="D10" s="675"/>
      <c r="E10" s="675"/>
      <c r="F10" s="682">
        <f>F7*0.1</f>
        <v>29822676.080000002</v>
      </c>
      <c r="G10" s="682"/>
      <c r="H10" s="684"/>
      <c r="I10" s="681"/>
    </row>
    <row r="11" spans="1:15" s="675" customFormat="1" ht="12.75" x14ac:dyDescent="0.2">
      <c r="A11" s="685"/>
      <c r="B11" s="685"/>
      <c r="C11" s="686"/>
      <c r="D11" s="687"/>
      <c r="F11" s="688"/>
      <c r="G11" s="678"/>
      <c r="I11" s="681"/>
    </row>
    <row r="12" spans="1:15" s="675" customFormat="1" ht="25.5" x14ac:dyDescent="0.2">
      <c r="A12" s="722" t="s">
        <v>364</v>
      </c>
      <c r="B12" s="722" t="s">
        <v>29</v>
      </c>
      <c r="C12" s="722" t="s">
        <v>10</v>
      </c>
      <c r="D12" s="722" t="s">
        <v>365</v>
      </c>
      <c r="E12" s="722" t="s">
        <v>366</v>
      </c>
      <c r="F12" s="722" t="s">
        <v>539</v>
      </c>
      <c r="G12" s="722" t="s">
        <v>542</v>
      </c>
      <c r="H12" s="722" t="s">
        <v>540</v>
      </c>
      <c r="I12" s="722" t="s">
        <v>541</v>
      </c>
    </row>
    <row r="13" spans="1:15" s="675" customFormat="1" ht="12.75" x14ac:dyDescent="0.2">
      <c r="A13" s="215"/>
      <c r="B13" s="215"/>
      <c r="C13" s="685" t="s">
        <v>370</v>
      </c>
      <c r="D13" s="685" t="s">
        <v>371</v>
      </c>
      <c r="E13" s="685" t="s">
        <v>372</v>
      </c>
      <c r="F13" s="685" t="s">
        <v>373</v>
      </c>
      <c r="G13" s="685" t="s">
        <v>374</v>
      </c>
      <c r="H13" s="685" t="s">
        <v>375</v>
      </c>
      <c r="I13" s="685" t="s">
        <v>376</v>
      </c>
    </row>
    <row r="14" spans="1:15" s="675" customFormat="1" ht="12.75" x14ac:dyDescent="0.2">
      <c r="A14" s="215"/>
      <c r="B14" s="215"/>
      <c r="C14" s="690">
        <v>100</v>
      </c>
      <c r="D14" s="691">
        <f t="shared" ref="D14:I14" si="0">SUM(D15:D127)</f>
        <v>134202042.35999998</v>
      </c>
      <c r="E14" s="693">
        <f t="shared" si="0"/>
        <v>99.999999999999915</v>
      </c>
      <c r="F14" s="691">
        <f t="shared" si="0"/>
        <v>134202042.36000001</v>
      </c>
      <c r="G14" s="693">
        <f t="shared" si="0"/>
        <v>100.00000000000006</v>
      </c>
      <c r="H14" s="691">
        <f t="shared" si="0"/>
        <v>29822676.080000028</v>
      </c>
      <c r="I14" s="691">
        <f t="shared" si="0"/>
        <v>298226760.79999989</v>
      </c>
      <c r="M14" s="693"/>
      <c r="N14" s="693"/>
      <c r="O14" s="693"/>
    </row>
    <row r="15" spans="1:15" s="675" customFormat="1" ht="12.75" x14ac:dyDescent="0.2">
      <c r="A15" s="694">
        <v>1</v>
      </c>
      <c r="B15" s="694" t="s">
        <v>43</v>
      </c>
      <c r="C15" s="695">
        <f>'COEFIC 2023'!I8</f>
        <v>0.23797360453465957</v>
      </c>
      <c r="D15" s="696">
        <f t="shared" ref="D15:D46" si="1">$F$8*C15%</f>
        <v>319365.43756322277</v>
      </c>
      <c r="E15" s="697">
        <f>'COEFIC 2023'!P8</f>
        <v>0.39190942225476838</v>
      </c>
      <c r="F15" s="698">
        <f t="shared" ref="F15:F46" si="2">$F$9*E15%</f>
        <v>525950.44886717561</v>
      </c>
      <c r="G15" s="729">
        <f>FPART!J16</f>
        <v>0.78996666580088204</v>
      </c>
      <c r="H15" s="700">
        <f t="shared" ref="H15:H46" si="3">$F$10*G15%</f>
        <v>235589.19988177321</v>
      </c>
      <c r="I15" s="701">
        <f t="shared" ref="I15:I46" si="4">D15+F15+H15</f>
        <v>1080905.0863121715</v>
      </c>
      <c r="M15" s="702"/>
      <c r="N15" s="703"/>
      <c r="O15" s="704"/>
    </row>
    <row r="16" spans="1:15" s="675" customFormat="1" ht="12.75" x14ac:dyDescent="0.2">
      <c r="A16" s="694">
        <v>2</v>
      </c>
      <c r="B16" s="694" t="s">
        <v>46</v>
      </c>
      <c r="C16" s="695">
        <f>'COEFIC 2023'!I9</f>
        <v>0.31068600666351365</v>
      </c>
      <c r="D16" s="696">
        <f t="shared" si="1"/>
        <v>416946.96626916109</v>
      </c>
      <c r="E16" s="697">
        <f>'COEFIC 2023'!P9</f>
        <v>1.2675015186709291</v>
      </c>
      <c r="F16" s="698">
        <f t="shared" si="2"/>
        <v>1701012.9250004038</v>
      </c>
      <c r="G16" s="729">
        <f>FPART!J17</f>
        <v>0.41162616179693873</v>
      </c>
      <c r="H16" s="700">
        <f t="shared" si="3"/>
        <v>122757.93689323774</v>
      </c>
      <c r="I16" s="701">
        <f t="shared" si="4"/>
        <v>2240717.8281628024</v>
      </c>
      <c r="M16" s="702"/>
      <c r="N16" s="703"/>
      <c r="O16" s="704"/>
    </row>
    <row r="17" spans="1:15" s="675" customFormat="1" ht="12.75" x14ac:dyDescent="0.2">
      <c r="A17" s="694">
        <v>3</v>
      </c>
      <c r="B17" s="694" t="s">
        <v>49</v>
      </c>
      <c r="C17" s="695">
        <f>'COEFIC 2023'!I10</f>
        <v>0.48432819257562787</v>
      </c>
      <c r="D17" s="696">
        <f t="shared" si="1"/>
        <v>649978.32616176654</v>
      </c>
      <c r="E17" s="697">
        <f>'COEFIC 2023'!P10</f>
        <v>0.6143607387492529</v>
      </c>
      <c r="F17" s="698">
        <f t="shared" si="2"/>
        <v>824484.65885948145</v>
      </c>
      <c r="G17" s="729">
        <f>FPART!J18</f>
        <v>0.92173246284482802</v>
      </c>
      <c r="H17" s="700">
        <f t="shared" si="3"/>
        <v>274885.2867184194</v>
      </c>
      <c r="I17" s="701">
        <f t="shared" si="4"/>
        <v>1749348.2717396673</v>
      </c>
      <c r="M17" s="702"/>
      <c r="N17" s="703"/>
      <c r="O17" s="704"/>
    </row>
    <row r="18" spans="1:15" s="675" customFormat="1" ht="12.75" x14ac:dyDescent="0.2">
      <c r="A18" s="694">
        <v>4</v>
      </c>
      <c r="B18" s="694" t="s">
        <v>52</v>
      </c>
      <c r="C18" s="695">
        <f>'COEFIC 2023'!I11</f>
        <v>0.31466592094163509</v>
      </c>
      <c r="D18" s="696">
        <f t="shared" si="1"/>
        <v>422288.09251457732</v>
      </c>
      <c r="E18" s="697">
        <f>'COEFIC 2023'!P11</f>
        <v>0.39045222807652885</v>
      </c>
      <c r="F18" s="698">
        <f t="shared" si="2"/>
        <v>523994.86451882712</v>
      </c>
      <c r="G18" s="729">
        <f>FPART!J19</f>
        <v>0.93309894828124873</v>
      </c>
      <c r="H18" s="700">
        <f t="shared" si="3"/>
        <v>278275.07685180358</v>
      </c>
      <c r="I18" s="701">
        <f t="shared" si="4"/>
        <v>1224558.033885208</v>
      </c>
      <c r="M18" s="702"/>
      <c r="N18" s="703"/>
      <c r="O18" s="704"/>
    </row>
    <row r="19" spans="1:15" s="675" customFormat="1" ht="12.75" x14ac:dyDescent="0.2">
      <c r="A19" s="694">
        <v>5</v>
      </c>
      <c r="B19" s="694" t="s">
        <v>54</v>
      </c>
      <c r="C19" s="695">
        <f>'COEFIC 2023'!I12</f>
        <v>0.22936098580581471</v>
      </c>
      <c r="D19" s="696">
        <f t="shared" si="1"/>
        <v>307807.12732843304</v>
      </c>
      <c r="E19" s="697">
        <f>'COEFIC 2023'!P12</f>
        <v>0.41290602770742135</v>
      </c>
      <c r="F19" s="698">
        <f t="shared" si="2"/>
        <v>554128.322210907</v>
      </c>
      <c r="G19" s="729">
        <f>FPART!J20</f>
        <v>0.74669597756376371</v>
      </c>
      <c r="H19" s="700">
        <f t="shared" si="3"/>
        <v>222684.72269123074</v>
      </c>
      <c r="I19" s="701">
        <f t="shared" si="4"/>
        <v>1084620.1722305708</v>
      </c>
      <c r="M19" s="702"/>
      <c r="N19" s="703"/>
      <c r="O19" s="704"/>
    </row>
    <row r="20" spans="1:15" s="675" customFormat="1" ht="12.75" x14ac:dyDescent="0.2">
      <c r="A20" s="694">
        <v>6</v>
      </c>
      <c r="B20" s="694" t="s">
        <v>57</v>
      </c>
      <c r="C20" s="695">
        <f>'COEFIC 2023'!I13</f>
        <v>2.6572982151874371</v>
      </c>
      <c r="D20" s="696">
        <f t="shared" si="1"/>
        <v>3566148.4763773689</v>
      </c>
      <c r="E20" s="697">
        <f>'COEFIC 2023'!P13</f>
        <v>2.3148565147498155</v>
      </c>
      <c r="F20" s="698">
        <f t="shared" si="2"/>
        <v>3106584.7204977674</v>
      </c>
      <c r="G20" s="729">
        <f>FPART!J21</f>
        <v>1.1174691526029661</v>
      </c>
      <c r="H20" s="700">
        <f t="shared" si="3"/>
        <v>333259.20567470352</v>
      </c>
      <c r="I20" s="701">
        <f t="shared" si="4"/>
        <v>7005992.4025498396</v>
      </c>
      <c r="M20" s="702"/>
      <c r="N20" s="703"/>
      <c r="O20" s="704"/>
    </row>
    <row r="21" spans="1:15" s="675" customFormat="1" ht="12.75" x14ac:dyDescent="0.2">
      <c r="A21" s="694">
        <v>7</v>
      </c>
      <c r="B21" s="694" t="s">
        <v>44</v>
      </c>
      <c r="C21" s="695">
        <f>'COEFIC 2023'!I14</f>
        <v>7.4312790939103937E-2</v>
      </c>
      <c r="D21" s="696">
        <f t="shared" si="1"/>
        <v>99729.283174994518</v>
      </c>
      <c r="E21" s="697">
        <f>'COEFIC 2023'!P14</f>
        <v>0.37653818456552185</v>
      </c>
      <c r="F21" s="698">
        <f t="shared" si="2"/>
        <v>505321.93395219668</v>
      </c>
      <c r="G21" s="729">
        <f>FPART!J22</f>
        <v>0.3446437770918015</v>
      </c>
      <c r="H21" s="700">
        <f t="shared" si="3"/>
        <v>102781.99727196521</v>
      </c>
      <c r="I21" s="701">
        <f t="shared" si="4"/>
        <v>707833.21439915639</v>
      </c>
      <c r="M21" s="702"/>
      <c r="N21" s="703"/>
      <c r="O21" s="704"/>
    </row>
    <row r="22" spans="1:15" s="675" customFormat="1" ht="12.75" x14ac:dyDescent="0.2">
      <c r="A22" s="694">
        <v>8</v>
      </c>
      <c r="B22" s="694" t="s">
        <v>59</v>
      </c>
      <c r="C22" s="695">
        <f>'COEFIC 2023'!I15</f>
        <v>0.51962097739113877</v>
      </c>
      <c r="D22" s="696">
        <f t="shared" si="1"/>
        <v>697341.96418990206</v>
      </c>
      <c r="E22" s="697">
        <f>'COEFIC 2023'!P15</f>
        <v>2.3668185263996966</v>
      </c>
      <c r="F22" s="698">
        <f t="shared" si="2"/>
        <v>3176318.8013832485</v>
      </c>
      <c r="G22" s="729">
        <f>FPART!J23</f>
        <v>0.37641255317525624</v>
      </c>
      <c r="H22" s="700">
        <f t="shared" si="3"/>
        <v>112256.29645791443</v>
      </c>
      <c r="I22" s="701">
        <f t="shared" si="4"/>
        <v>3985917.0620310651</v>
      </c>
      <c r="M22" s="702"/>
      <c r="N22" s="703"/>
      <c r="O22" s="704"/>
    </row>
    <row r="23" spans="1:15" s="675" customFormat="1" ht="12.75" x14ac:dyDescent="0.2">
      <c r="A23" s="694">
        <v>9</v>
      </c>
      <c r="B23" s="694" t="s">
        <v>342</v>
      </c>
      <c r="C23" s="695">
        <f>'COEFIC 2023'!I16</f>
        <v>0.76372238644925527</v>
      </c>
      <c r="D23" s="696">
        <f t="shared" si="1"/>
        <v>1024931.0405754326</v>
      </c>
      <c r="E23" s="697">
        <f>'COEFIC 2023'!P16</f>
        <v>0.92206001121936687</v>
      </c>
      <c r="F23" s="698">
        <f t="shared" si="2"/>
        <v>1237423.3668412354</v>
      </c>
      <c r="G23" s="729">
        <f>FPART!J24</f>
        <v>0.9472702299654876</v>
      </c>
      <c r="H23" s="700">
        <f t="shared" si="3"/>
        <v>282501.33228487853</v>
      </c>
      <c r="I23" s="701">
        <f t="shared" si="4"/>
        <v>2544855.7397015463</v>
      </c>
      <c r="M23" s="702"/>
      <c r="N23" s="703"/>
      <c r="O23" s="704"/>
    </row>
    <row r="24" spans="1:15" s="675" customFormat="1" ht="12.75" x14ac:dyDescent="0.2">
      <c r="A24" s="694">
        <v>10</v>
      </c>
      <c r="B24" s="694" t="s">
        <v>64</v>
      </c>
      <c r="C24" s="695">
        <f>'COEFIC 2023'!I17</f>
        <v>0.428146122236855</v>
      </c>
      <c r="D24" s="696">
        <f t="shared" si="1"/>
        <v>574580.84032700164</v>
      </c>
      <c r="E24" s="697">
        <f>'COEFIC 2023'!P17</f>
        <v>2.5709050555810502</v>
      </c>
      <c r="F24" s="698">
        <f t="shared" si="2"/>
        <v>3450207.0917262631</v>
      </c>
      <c r="G24" s="729">
        <f>FPART!J25</f>
        <v>0.29850253295498103</v>
      </c>
      <c r="H24" s="700">
        <f t="shared" si="3"/>
        <v>89021.443493759245</v>
      </c>
      <c r="I24" s="701">
        <f t="shared" si="4"/>
        <v>4113809.375547024</v>
      </c>
      <c r="M24" s="702"/>
      <c r="N24" s="703"/>
      <c r="O24" s="704"/>
    </row>
    <row r="25" spans="1:15" s="675" customFormat="1" ht="12.75" x14ac:dyDescent="0.2">
      <c r="A25" s="694">
        <v>11</v>
      </c>
      <c r="B25" s="694" t="s">
        <v>343</v>
      </c>
      <c r="C25" s="695">
        <f>'COEFIC 2023'!I18</f>
        <v>0.24597554858590909</v>
      </c>
      <c r="D25" s="696">
        <f t="shared" si="1"/>
        <v>330104.20990850416</v>
      </c>
      <c r="E25" s="697">
        <f>'COEFIC 2023'!P18</f>
        <v>0.48150914529440353</v>
      </c>
      <c r="F25" s="698">
        <f t="shared" si="2"/>
        <v>646195.10713526944</v>
      </c>
      <c r="G25" s="729">
        <f>FPART!J26</f>
        <v>0.7069813546622179</v>
      </c>
      <c r="H25" s="700">
        <f t="shared" si="3"/>
        <v>210840.75934690924</v>
      </c>
      <c r="I25" s="701">
        <f t="shared" si="4"/>
        <v>1187140.0763906827</v>
      </c>
      <c r="M25" s="702"/>
      <c r="N25" s="703"/>
      <c r="O25" s="704"/>
    </row>
    <row r="26" spans="1:15" s="675" customFormat="1" ht="12.75" x14ac:dyDescent="0.2">
      <c r="A26" s="694">
        <v>12</v>
      </c>
      <c r="B26" s="694" t="s">
        <v>70</v>
      </c>
      <c r="C26" s="695">
        <f>'COEFIC 2023'!I19</f>
        <v>0.95892770580473663</v>
      </c>
      <c r="D26" s="696">
        <f t="shared" si="1"/>
        <v>1286900.5659458488</v>
      </c>
      <c r="E26" s="697">
        <f>'COEFIC 2023'!P19</f>
        <v>1.0229413737008273</v>
      </c>
      <c r="F26" s="698">
        <f t="shared" si="2"/>
        <v>1372808.2156519503</v>
      </c>
      <c r="G26" s="729">
        <f>FPART!J27</f>
        <v>1.0116977575122408</v>
      </c>
      <c r="H26" s="700">
        <f t="shared" si="3"/>
        <v>301715.34513149946</v>
      </c>
      <c r="I26" s="701">
        <f t="shared" si="4"/>
        <v>2961424.1267292984</v>
      </c>
      <c r="M26" s="702"/>
      <c r="N26" s="703"/>
      <c r="O26" s="704"/>
    </row>
    <row r="27" spans="1:15" s="675" customFormat="1" ht="12.75" x14ac:dyDescent="0.2">
      <c r="A27" s="694">
        <v>13</v>
      </c>
      <c r="B27" s="694" t="s">
        <v>73</v>
      </c>
      <c r="C27" s="695">
        <f>'COEFIC 2023'!I20</f>
        <v>0.19322589109017221</v>
      </c>
      <c r="D27" s="696">
        <f t="shared" si="1"/>
        <v>259313.09221132041</v>
      </c>
      <c r="E27" s="697">
        <f>'COEFIC 2023'!P20</f>
        <v>0.96514801886169921</v>
      </c>
      <c r="F27" s="698">
        <f t="shared" si="2"/>
        <v>1295248.3531094785</v>
      </c>
      <c r="G27" s="729">
        <f>FPART!J28</f>
        <v>0.34878390370081253</v>
      </c>
      <c r="H27" s="700">
        <f t="shared" si="3"/>
        <v>104016.69381987245</v>
      </c>
      <c r="I27" s="701">
        <f t="shared" si="4"/>
        <v>1658578.1391406716</v>
      </c>
      <c r="M27" s="702"/>
      <c r="N27" s="703"/>
      <c r="O27" s="704"/>
    </row>
    <row r="28" spans="1:15" s="675" customFormat="1" ht="12.75" x14ac:dyDescent="0.2">
      <c r="A28" s="694">
        <v>14</v>
      </c>
      <c r="B28" s="694" t="s">
        <v>75</v>
      </c>
      <c r="C28" s="695">
        <f>'COEFIC 2023'!I21</f>
        <v>0.35844497800097119</v>
      </c>
      <c r="D28" s="696">
        <f t="shared" si="1"/>
        <v>481040.48121415608</v>
      </c>
      <c r="E28" s="697">
        <f>'COEFIC 2023'!P21</f>
        <v>0.57115855003271865</v>
      </c>
      <c r="F28" s="698">
        <f t="shared" si="2"/>
        <v>766506.43925767101</v>
      </c>
      <c r="G28" s="729">
        <f>FPART!J29</f>
        <v>0.80624051696347643</v>
      </c>
      <c r="H28" s="700">
        <f t="shared" si="3"/>
        <v>240442.49779973505</v>
      </c>
      <c r="I28" s="701">
        <f t="shared" si="4"/>
        <v>1487989.4182715621</v>
      </c>
      <c r="M28" s="702"/>
      <c r="N28" s="703"/>
      <c r="O28" s="704"/>
    </row>
    <row r="29" spans="1:15" s="675" customFormat="1" ht="12.75" x14ac:dyDescent="0.2">
      <c r="A29" s="694">
        <v>15</v>
      </c>
      <c r="B29" s="224" t="s">
        <v>77</v>
      </c>
      <c r="C29" s="695">
        <f>'COEFIC 2023'!I22</f>
        <v>0.41342675673205659</v>
      </c>
      <c r="D29" s="696">
        <f t="shared" si="1"/>
        <v>554827.15119712881</v>
      </c>
      <c r="E29" s="697">
        <f>'COEFIC 2023'!P22</f>
        <v>2.4541796257109025</v>
      </c>
      <c r="F29" s="698">
        <f t="shared" si="2"/>
        <v>3293559.1808870356</v>
      </c>
      <c r="G29" s="729">
        <f>FPART!J30</f>
        <v>0.30145252425752023</v>
      </c>
      <c r="H29" s="700">
        <f t="shared" si="3"/>
        <v>89901.209844303681</v>
      </c>
      <c r="I29" s="701">
        <f t="shared" si="4"/>
        <v>3938287.5419284683</v>
      </c>
      <c r="M29" s="702"/>
      <c r="N29" s="703"/>
      <c r="O29" s="704"/>
    </row>
    <row r="30" spans="1:15" s="675" customFormat="1" ht="12.75" x14ac:dyDescent="0.2">
      <c r="A30" s="694">
        <v>16</v>
      </c>
      <c r="B30" s="694" t="s">
        <v>79</v>
      </c>
      <c r="C30" s="695">
        <f>'COEFIC 2023'!I23</f>
        <v>0.44147567640643642</v>
      </c>
      <c r="D30" s="696">
        <f t="shared" si="1"/>
        <v>592469.37426006247</v>
      </c>
      <c r="E30" s="697">
        <f>'COEFIC 2023'!P23</f>
        <v>0.50820227003137264</v>
      </c>
      <c r="F30" s="698">
        <f t="shared" si="2"/>
        <v>682017.82570198434</v>
      </c>
      <c r="G30" s="729">
        <f>FPART!J31</f>
        <v>0.97200905439695728</v>
      </c>
      <c r="H30" s="700">
        <f t="shared" si="3"/>
        <v>289879.11176107562</v>
      </c>
      <c r="I30" s="701">
        <f t="shared" si="4"/>
        <v>1564366.3117231226</v>
      </c>
      <c r="M30" s="702"/>
      <c r="N30" s="703"/>
      <c r="O30" s="704"/>
    </row>
    <row r="31" spans="1:15" s="675" customFormat="1" ht="12.75" x14ac:dyDescent="0.2">
      <c r="A31" s="694">
        <v>17</v>
      </c>
      <c r="B31" s="694" t="s">
        <v>81</v>
      </c>
      <c r="C31" s="695">
        <f>'COEFIC 2023'!I24</f>
        <v>0.73849520494031606</v>
      </c>
      <c r="D31" s="696">
        <f t="shared" si="1"/>
        <v>991075.64776057191</v>
      </c>
      <c r="E31" s="697">
        <f>'COEFIC 2023'!P24</f>
        <v>0.66896812392176042</v>
      </c>
      <c r="F31" s="698">
        <f t="shared" si="2"/>
        <v>897768.88504037831</v>
      </c>
      <c r="G31" s="729">
        <f>FPART!J32</f>
        <v>1.0971107594620315</v>
      </c>
      <c r="H31" s="700">
        <f t="shared" si="3"/>
        <v>327187.78803318966</v>
      </c>
      <c r="I31" s="701">
        <f t="shared" si="4"/>
        <v>2216032.3208341398</v>
      </c>
      <c r="M31" s="702"/>
      <c r="N31" s="703"/>
      <c r="O31" s="704"/>
    </row>
    <row r="32" spans="1:15" s="675" customFormat="1" ht="12.75" x14ac:dyDescent="0.2">
      <c r="A32" s="694">
        <v>18</v>
      </c>
      <c r="B32" s="694" t="s">
        <v>82</v>
      </c>
      <c r="C32" s="695">
        <f>'COEFIC 2023'!I25</f>
        <v>0.19971167732118497</v>
      </c>
      <c r="D32" s="696">
        <f t="shared" si="1"/>
        <v>268017.14979644318</v>
      </c>
      <c r="E32" s="697">
        <f>'COEFIC 2023'!P25</f>
        <v>0.28026543034401025</v>
      </c>
      <c r="F32" s="698">
        <f t="shared" si="2"/>
        <v>376121.93155070493</v>
      </c>
      <c r="G32" s="729">
        <f>FPART!J33</f>
        <v>0.87000714146065139</v>
      </c>
      <c r="H32" s="700">
        <f t="shared" si="3"/>
        <v>259459.41167067748</v>
      </c>
      <c r="I32" s="701">
        <f t="shared" si="4"/>
        <v>903598.49301782565</v>
      </c>
      <c r="M32" s="702"/>
      <c r="N32" s="703"/>
      <c r="O32" s="704"/>
    </row>
    <row r="33" spans="1:15" s="675" customFormat="1" ht="12.75" x14ac:dyDescent="0.2">
      <c r="A33" s="694">
        <v>19</v>
      </c>
      <c r="B33" s="694" t="s">
        <v>344</v>
      </c>
      <c r="C33" s="695">
        <f>'COEFIC 2023'!I26</f>
        <v>0.42532438407141443</v>
      </c>
      <c r="D33" s="696">
        <f t="shared" si="1"/>
        <v>570794.01007892878</v>
      </c>
      <c r="E33" s="697">
        <f>'COEFIC 2023'!P26</f>
        <v>0.62493143387391448</v>
      </c>
      <c r="F33" s="698">
        <f t="shared" si="2"/>
        <v>838670.74760842626</v>
      </c>
      <c r="G33" s="729">
        <f>FPART!J34</f>
        <v>0.84676923048551944</v>
      </c>
      <c r="H33" s="700">
        <f t="shared" si="3"/>
        <v>252529.24475280507</v>
      </c>
      <c r="I33" s="701">
        <f t="shared" si="4"/>
        <v>1661994.0024401599</v>
      </c>
      <c r="M33" s="702"/>
      <c r="N33" s="703"/>
      <c r="O33" s="704"/>
    </row>
    <row r="34" spans="1:15" s="675" customFormat="1" ht="12.75" x14ac:dyDescent="0.2">
      <c r="A34" s="694">
        <v>20</v>
      </c>
      <c r="B34" s="694" t="s">
        <v>87</v>
      </c>
      <c r="C34" s="695">
        <f>'COEFIC 2023'!I27</f>
        <v>0.62983722782334906</v>
      </c>
      <c r="D34" s="696">
        <f t="shared" si="1"/>
        <v>845254.42328254075</v>
      </c>
      <c r="E34" s="697">
        <f>'COEFIC 2023'!P27</f>
        <v>0.53262041220293821</v>
      </c>
      <c r="F34" s="698">
        <f t="shared" si="2"/>
        <v>714787.47120259388</v>
      </c>
      <c r="G34" s="729">
        <f>FPART!J35</f>
        <v>1.1328986870144744</v>
      </c>
      <c r="H34" s="700">
        <f t="shared" si="3"/>
        <v>337860.70574289974</v>
      </c>
      <c r="I34" s="701">
        <f t="shared" si="4"/>
        <v>1897902.6002280344</v>
      </c>
      <c r="M34" s="702"/>
      <c r="N34" s="703"/>
      <c r="O34" s="704"/>
    </row>
    <row r="35" spans="1:15" s="675" customFormat="1" ht="12.75" x14ac:dyDescent="0.2">
      <c r="A35" s="694">
        <v>21</v>
      </c>
      <c r="B35" s="694" t="s">
        <v>88</v>
      </c>
      <c r="C35" s="695">
        <f>'COEFIC 2023'!I28</f>
        <v>0.28510084344701853</v>
      </c>
      <c r="D35" s="696">
        <f t="shared" si="1"/>
        <v>382611.15469148516</v>
      </c>
      <c r="E35" s="697">
        <f>'COEFIC 2023'!P28</f>
        <v>0.29534014984136081</v>
      </c>
      <c r="F35" s="698">
        <f t="shared" si="2"/>
        <v>396352.51299619058</v>
      </c>
      <c r="G35" s="729">
        <f>FPART!J36</f>
        <v>1.0270233276278691</v>
      </c>
      <c r="H35" s="700">
        <f t="shared" si="3"/>
        <v>306285.84026449657</v>
      </c>
      <c r="I35" s="701">
        <f t="shared" si="4"/>
        <v>1085249.5079521723</v>
      </c>
      <c r="M35" s="702"/>
      <c r="N35" s="703"/>
      <c r="O35" s="704"/>
    </row>
    <row r="36" spans="1:15" s="675" customFormat="1" ht="12.75" x14ac:dyDescent="0.2">
      <c r="A36" s="694">
        <v>22</v>
      </c>
      <c r="B36" s="694" t="s">
        <v>91</v>
      </c>
      <c r="C36" s="695">
        <f>'COEFIC 2023'!I29</f>
        <v>0.52934965673765799</v>
      </c>
      <c r="D36" s="696">
        <f t="shared" si="1"/>
        <v>710398.05056758644</v>
      </c>
      <c r="E36" s="697">
        <f>'COEFIC 2023'!P29</f>
        <v>0.58909725889407172</v>
      </c>
      <c r="F36" s="698">
        <f t="shared" si="2"/>
        <v>790580.55292262102</v>
      </c>
      <c r="G36" s="729">
        <f>FPART!J37</f>
        <v>0.9896169889340688</v>
      </c>
      <c r="H36" s="700">
        <f t="shared" si="3"/>
        <v>295130.26904245681</v>
      </c>
      <c r="I36" s="701">
        <f t="shared" si="4"/>
        <v>1796108.8725326641</v>
      </c>
      <c r="M36" s="702"/>
      <c r="N36" s="703"/>
      <c r="O36" s="704"/>
    </row>
    <row r="37" spans="1:15" s="675" customFormat="1" ht="12.75" x14ac:dyDescent="0.2">
      <c r="A37" s="694">
        <v>23</v>
      </c>
      <c r="B37" s="694" t="s">
        <v>60</v>
      </c>
      <c r="C37" s="695">
        <f>'COEFIC 2023'!I30</f>
        <v>0.21935855574175284</v>
      </c>
      <c r="D37" s="696">
        <f t="shared" si="1"/>
        <v>294383.66189683141</v>
      </c>
      <c r="E37" s="697">
        <f>'COEFIC 2023'!P30</f>
        <v>0.33156680672772304</v>
      </c>
      <c r="F37" s="698">
        <f t="shared" si="2"/>
        <v>444969.42641643825</v>
      </c>
      <c r="G37" s="729">
        <f>FPART!J38</f>
        <v>0.83253345540973678</v>
      </c>
      <c r="H37" s="700">
        <f t="shared" si="3"/>
        <v>248283.75566447704</v>
      </c>
      <c r="I37" s="701">
        <f t="shared" si="4"/>
        <v>987636.84397774667</v>
      </c>
      <c r="M37" s="702"/>
      <c r="N37" s="703"/>
      <c r="O37" s="704"/>
    </row>
    <row r="38" spans="1:15" s="675" customFormat="1" ht="12.75" x14ac:dyDescent="0.2">
      <c r="A38" s="694">
        <v>24</v>
      </c>
      <c r="B38" s="694" t="s">
        <v>95</v>
      </c>
      <c r="C38" s="695">
        <f>'COEFIC 2023'!I31</f>
        <v>0.43349479010269021</v>
      </c>
      <c r="D38" s="696">
        <f t="shared" si="1"/>
        <v>581758.8618420054</v>
      </c>
      <c r="E38" s="697">
        <f>'COEFIC 2023'!P31</f>
        <v>0.37830699446529953</v>
      </c>
      <c r="F38" s="698">
        <f t="shared" si="2"/>
        <v>507695.71296316414</v>
      </c>
      <c r="G38" s="729">
        <f>FPART!J39</f>
        <v>1.1165386556009005</v>
      </c>
      <c r="H38" s="700">
        <f t="shared" si="3"/>
        <v>332981.70656784339</v>
      </c>
      <c r="I38" s="701">
        <f t="shared" si="4"/>
        <v>1422436.281373013</v>
      </c>
      <c r="M38" s="702"/>
      <c r="N38" s="703"/>
      <c r="O38" s="704"/>
    </row>
    <row r="39" spans="1:15" s="675" customFormat="1" ht="12.75" x14ac:dyDescent="0.2">
      <c r="A39" s="694">
        <v>25</v>
      </c>
      <c r="B39" s="694" t="s">
        <v>97</v>
      </c>
      <c r="C39" s="695">
        <f>'COEFIC 2023'!I32</f>
        <v>0.8541022387333681</v>
      </c>
      <c r="D39" s="696">
        <f t="shared" si="1"/>
        <v>1146222.6482226632</v>
      </c>
      <c r="E39" s="697">
        <f>'COEFIC 2023'!P32</f>
        <v>0.57696638894395824</v>
      </c>
      <c r="F39" s="698">
        <f t="shared" si="2"/>
        <v>774300.67769353325</v>
      </c>
      <c r="G39" s="729">
        <f>FPART!J40</f>
        <v>1.2479272892564075</v>
      </c>
      <c r="H39" s="700">
        <f t="shared" si="3"/>
        <v>372165.31318886305</v>
      </c>
      <c r="I39" s="701">
        <f t="shared" si="4"/>
        <v>2292688.6391050597</v>
      </c>
      <c r="M39" s="702"/>
      <c r="N39" s="703"/>
      <c r="O39" s="704"/>
    </row>
    <row r="40" spans="1:15" s="675" customFormat="1" ht="12.75" x14ac:dyDescent="0.2">
      <c r="A40" s="694">
        <v>26</v>
      </c>
      <c r="B40" s="694" t="s">
        <v>345</v>
      </c>
      <c r="C40" s="695">
        <f>'COEFIC 2023'!I33</f>
        <v>0.10050862883319442</v>
      </c>
      <c r="D40" s="696">
        <f t="shared" si="1"/>
        <v>134884.63264217877</v>
      </c>
      <c r="E40" s="697">
        <f>'COEFIC 2023'!P33</f>
        <v>0.94812774970318459</v>
      </c>
      <c r="F40" s="698">
        <f t="shared" si="2"/>
        <v>1272406.8042835826</v>
      </c>
      <c r="G40" s="729">
        <f>FPART!J41</f>
        <v>0.20040950302944549</v>
      </c>
      <c r="H40" s="700">
        <f t="shared" si="3"/>
        <v>59767.476922009322</v>
      </c>
      <c r="I40" s="701">
        <f t="shared" si="4"/>
        <v>1467058.9138477708</v>
      </c>
      <c r="M40" s="702"/>
      <c r="N40" s="703"/>
      <c r="O40" s="704"/>
    </row>
    <row r="41" spans="1:15" s="675" customFormat="1" ht="12.75" x14ac:dyDescent="0.2">
      <c r="A41" s="694">
        <v>27</v>
      </c>
      <c r="B41" s="694" t="s">
        <v>71</v>
      </c>
      <c r="C41" s="695">
        <f>'COEFIC 2023'!I34</f>
        <v>0.10410950365625671</v>
      </c>
      <c r="D41" s="696">
        <f t="shared" si="1"/>
        <v>139717.08019755539</v>
      </c>
      <c r="E41" s="697">
        <f>'COEFIC 2023'!P34</f>
        <v>0.23628668401264072</v>
      </c>
      <c r="F41" s="698">
        <f t="shared" si="2"/>
        <v>317101.5557696835</v>
      </c>
      <c r="G41" s="729">
        <f>FPART!J42</f>
        <v>0.63950739550870017</v>
      </c>
      <c r="H41" s="700">
        <f t="shared" si="3"/>
        <v>190718.21907020413</v>
      </c>
      <c r="I41" s="701">
        <f t="shared" si="4"/>
        <v>647536.85503744311</v>
      </c>
      <c r="M41" s="702"/>
      <c r="N41" s="703"/>
      <c r="O41" s="704"/>
    </row>
    <row r="42" spans="1:15" s="675" customFormat="1" ht="12.75" x14ac:dyDescent="0.2">
      <c r="A42" s="694">
        <v>28</v>
      </c>
      <c r="B42" s="694" t="s">
        <v>72</v>
      </c>
      <c r="C42" s="695">
        <f>'COEFIC 2023'!I35</f>
        <v>0.11019519268470698</v>
      </c>
      <c r="D42" s="696">
        <f t="shared" si="1"/>
        <v>147884.19916541412</v>
      </c>
      <c r="E42" s="697">
        <f>'COEFIC 2023'!P35</f>
        <v>0.25822216015596905</v>
      </c>
      <c r="F42" s="698">
        <f t="shared" si="2"/>
        <v>346539.41275542066</v>
      </c>
      <c r="G42" s="729">
        <f>FPART!J43</f>
        <v>0.62540659063940485</v>
      </c>
      <c r="H42" s="700">
        <f t="shared" si="3"/>
        <v>186512.98170936134</v>
      </c>
      <c r="I42" s="701">
        <f t="shared" si="4"/>
        <v>680936.59363019606</v>
      </c>
      <c r="M42" s="702"/>
      <c r="N42" s="703"/>
      <c r="O42" s="704"/>
    </row>
    <row r="43" spans="1:15" s="675" customFormat="1" ht="12.75" x14ac:dyDescent="0.2">
      <c r="A43" s="694">
        <v>29</v>
      </c>
      <c r="B43" s="694" t="s">
        <v>61</v>
      </c>
      <c r="C43" s="695">
        <f>'COEFIC 2023'!I36</f>
        <v>0.25989471968558259</v>
      </c>
      <c r="D43" s="696">
        <f t="shared" si="1"/>
        <v>348784.02180384885</v>
      </c>
      <c r="E43" s="697">
        <f>'COEFIC 2023'!P36</f>
        <v>0.80482357884115929</v>
      </c>
      <c r="F43" s="698">
        <f t="shared" si="2"/>
        <v>1080089.6801996808</v>
      </c>
      <c r="G43" s="729">
        <f>FPART!J44</f>
        <v>0.51039054519633531</v>
      </c>
      <c r="H43" s="700">
        <f t="shared" si="3"/>
        <v>152212.11903684909</v>
      </c>
      <c r="I43" s="701">
        <f t="shared" si="4"/>
        <v>1581085.8210403789</v>
      </c>
      <c r="M43" s="702"/>
      <c r="N43" s="703"/>
      <c r="O43" s="704"/>
    </row>
    <row r="44" spans="1:15" s="675" customFormat="1" ht="12.75" x14ac:dyDescent="0.2">
      <c r="A44" s="694">
        <v>30</v>
      </c>
      <c r="B44" s="694" t="s">
        <v>104</v>
      </c>
      <c r="C44" s="695">
        <f>'COEFIC 2023'!I37</f>
        <v>0.24953430791396478</v>
      </c>
      <c r="D44" s="696">
        <f t="shared" si="1"/>
        <v>334880.13760943187</v>
      </c>
      <c r="E44" s="697">
        <f>'COEFIC 2023'!P37</f>
        <v>0.37167013004425603</v>
      </c>
      <c r="F44" s="698">
        <f t="shared" si="2"/>
        <v>498788.90536145965</v>
      </c>
      <c r="G44" s="729">
        <f>FPART!J45</f>
        <v>0.83991550252888769</v>
      </c>
      <c r="H44" s="700">
        <f t="shared" si="3"/>
        <v>250485.27966489439</v>
      </c>
      <c r="I44" s="701">
        <f t="shared" si="4"/>
        <v>1084154.3226357859</v>
      </c>
      <c r="M44" s="702"/>
      <c r="N44" s="703"/>
      <c r="O44" s="704"/>
    </row>
    <row r="45" spans="1:15" s="675" customFormat="1" ht="12.75" x14ac:dyDescent="0.2">
      <c r="A45" s="694">
        <v>31</v>
      </c>
      <c r="B45" s="694" t="s">
        <v>48</v>
      </c>
      <c r="C45" s="695">
        <f>'COEFIC 2023'!I38</f>
        <v>0.33928242777297896</v>
      </c>
      <c r="D45" s="696">
        <f t="shared" si="1"/>
        <v>455323.9474399297</v>
      </c>
      <c r="E45" s="697">
        <f>'COEFIC 2023'!P38</f>
        <v>0.55583300952537551</v>
      </c>
      <c r="F45" s="698">
        <f t="shared" si="2"/>
        <v>745939.25089410727</v>
      </c>
      <c r="G45" s="729">
        <f>FPART!J46</f>
        <v>0.79254184703312069</v>
      </c>
      <c r="H45" s="700">
        <f t="shared" si="3"/>
        <v>236357.18783913666</v>
      </c>
      <c r="I45" s="701">
        <f t="shared" si="4"/>
        <v>1437620.3861731736</v>
      </c>
      <c r="M45" s="702"/>
      <c r="N45" s="703"/>
      <c r="O45" s="704"/>
    </row>
    <row r="46" spans="1:15" s="675" customFormat="1" ht="12.75" x14ac:dyDescent="0.2">
      <c r="A46" s="694">
        <v>32</v>
      </c>
      <c r="B46" s="694" t="s">
        <v>83</v>
      </c>
      <c r="C46" s="695">
        <f>'COEFIC 2023'!I39</f>
        <v>0.33092250201417356</v>
      </c>
      <c r="D46" s="696">
        <f t="shared" si="1"/>
        <v>444104.75633183314</v>
      </c>
      <c r="E46" s="697">
        <f>'COEFIC 2023'!P39</f>
        <v>0.35285067758515876</v>
      </c>
      <c r="F46" s="698">
        <f t="shared" si="2"/>
        <v>473532.81580038182</v>
      </c>
      <c r="G46" s="729">
        <f>FPART!J47</f>
        <v>1.0119385015504034</v>
      </c>
      <c r="H46" s="700">
        <f t="shared" si="3"/>
        <v>301787.14144618262</v>
      </c>
      <c r="I46" s="701">
        <f t="shared" si="4"/>
        <v>1219424.7135783974</v>
      </c>
      <c r="M46" s="702"/>
      <c r="N46" s="703"/>
      <c r="O46" s="704"/>
    </row>
    <row r="47" spans="1:15" s="675" customFormat="1" ht="12.75" x14ac:dyDescent="0.2">
      <c r="A47" s="694">
        <v>33</v>
      </c>
      <c r="B47" s="694" t="s">
        <v>108</v>
      </c>
      <c r="C47" s="695">
        <f>'COEFIC 2023'!I40</f>
        <v>0.45202560790558383</v>
      </c>
      <c r="D47" s="696">
        <f t="shared" ref="D47:D78" si="5">$F$8*C47%</f>
        <v>606627.59779949917</v>
      </c>
      <c r="E47" s="697">
        <f>'COEFIC 2023'!P40</f>
        <v>0.49576725952589529</v>
      </c>
      <c r="F47" s="698">
        <f t="shared" ref="F47:F78" si="6">$F$9*E47%</f>
        <v>665329.78763595317</v>
      </c>
      <c r="G47" s="729">
        <f>FPART!J48</f>
        <v>0.99721656830305083</v>
      </c>
      <c r="H47" s="700">
        <f t="shared" ref="H47:H78" si="7">$F$10*G47%</f>
        <v>297396.66698111081</v>
      </c>
      <c r="I47" s="701">
        <f t="shared" ref="I47:I78" si="8">D47+F47+H47</f>
        <v>1569354.052416563</v>
      </c>
      <c r="M47" s="702"/>
      <c r="N47" s="703"/>
      <c r="O47" s="704"/>
    </row>
    <row r="48" spans="1:15" s="675" customFormat="1" ht="12.75" x14ac:dyDescent="0.2">
      <c r="A48" s="694">
        <v>34</v>
      </c>
      <c r="B48" s="694" t="s">
        <v>110</v>
      </c>
      <c r="C48" s="695">
        <f>'COEFIC 2023'!I41</f>
        <v>2.6472115541333623</v>
      </c>
      <c r="D48" s="696">
        <f t="shared" si="5"/>
        <v>3552611.9712368692</v>
      </c>
      <c r="E48" s="697">
        <f>'COEFIC 2023'!P41</f>
        <v>1.9717994179898699</v>
      </c>
      <c r="F48" s="698">
        <f t="shared" si="6"/>
        <v>2646195.0901849992</v>
      </c>
      <c r="G48" s="729">
        <f>FPART!J49</f>
        <v>1.1983385718274551</v>
      </c>
      <c r="H48" s="700">
        <f t="shared" si="7"/>
        <v>357376.63061780005</v>
      </c>
      <c r="I48" s="701">
        <f t="shared" si="8"/>
        <v>6556183.6920396686</v>
      </c>
      <c r="M48" s="702"/>
      <c r="N48" s="703"/>
      <c r="O48" s="704"/>
    </row>
    <row r="49" spans="1:15" s="675" customFormat="1" ht="12.75" x14ac:dyDescent="0.2">
      <c r="A49" s="694">
        <v>35</v>
      </c>
      <c r="B49" s="694" t="s">
        <v>112</v>
      </c>
      <c r="C49" s="695">
        <f>'COEFIC 2023'!I42</f>
        <v>0.64493563278320676</v>
      </c>
      <c r="D49" s="696">
        <f t="shared" si="5"/>
        <v>865516.79110245325</v>
      </c>
      <c r="E49" s="697">
        <f>'COEFIC 2023'!P42</f>
        <v>1.3912005894388211</v>
      </c>
      <c r="F49" s="698">
        <f t="shared" si="6"/>
        <v>1867019.6043512565</v>
      </c>
      <c r="G49" s="729">
        <f>FPART!J50</f>
        <v>0.66229187199343809</v>
      </c>
      <c r="H49" s="700">
        <f t="shared" si="7"/>
        <v>197513.15968877129</v>
      </c>
      <c r="I49" s="701">
        <f t="shared" si="8"/>
        <v>2930049.5551424809</v>
      </c>
      <c r="M49" s="702"/>
      <c r="N49" s="703"/>
      <c r="O49" s="704"/>
    </row>
    <row r="50" spans="1:15" s="675" customFormat="1" ht="12.75" x14ac:dyDescent="0.2">
      <c r="A50" s="694">
        <v>36</v>
      </c>
      <c r="B50" s="694" t="s">
        <v>114</v>
      </c>
      <c r="C50" s="695">
        <f>'COEFIC 2023'!I43</f>
        <v>0.24519641192828742</v>
      </c>
      <c r="D50" s="696">
        <f t="shared" si="5"/>
        <v>329058.59260120045</v>
      </c>
      <c r="E50" s="697">
        <f>'COEFIC 2023'!P43</f>
        <v>0.38634093434527844</v>
      </c>
      <c r="F50" s="698">
        <f t="shared" si="6"/>
        <v>518477.42436407041</v>
      </c>
      <c r="G50" s="729">
        <f>FPART!J51</f>
        <v>0.81181104447788688</v>
      </c>
      <c r="H50" s="700">
        <f t="shared" si="7"/>
        <v>242103.77817630497</v>
      </c>
      <c r="I50" s="701">
        <f t="shared" si="8"/>
        <v>1089639.7951415759</v>
      </c>
      <c r="M50" s="702"/>
      <c r="N50" s="703"/>
      <c r="O50" s="704"/>
    </row>
    <row r="51" spans="1:15" s="675" customFormat="1" ht="12.75" x14ac:dyDescent="0.2">
      <c r="A51" s="694">
        <v>37</v>
      </c>
      <c r="B51" s="694" t="s">
        <v>92</v>
      </c>
      <c r="C51" s="695">
        <f>'COEFIC 2023'!I44</f>
        <v>0.16730380391362448</v>
      </c>
      <c r="D51" s="696">
        <f t="shared" si="5"/>
        <v>224525.12179805367</v>
      </c>
      <c r="E51" s="697">
        <f>'COEFIC 2023'!P44</f>
        <v>0.29726517420617776</v>
      </c>
      <c r="F51" s="698">
        <f t="shared" si="6"/>
        <v>398935.93500970252</v>
      </c>
      <c r="G51" s="729">
        <f>FPART!J52</f>
        <v>0.75300089428431383</v>
      </c>
      <c r="H51" s="700">
        <f t="shared" si="7"/>
        <v>224565.01758191414</v>
      </c>
      <c r="I51" s="701">
        <f t="shared" si="8"/>
        <v>848026.07438967028</v>
      </c>
      <c r="M51" s="702"/>
      <c r="N51" s="703"/>
      <c r="O51" s="704"/>
    </row>
    <row r="52" spans="1:15" s="675" customFormat="1" ht="12.75" x14ac:dyDescent="0.2">
      <c r="A52" s="694">
        <v>38</v>
      </c>
      <c r="B52" s="694" t="s">
        <v>51</v>
      </c>
      <c r="C52" s="695">
        <f>'COEFIC 2023'!I45</f>
        <v>0.88385683595551423</v>
      </c>
      <c r="D52" s="696">
        <f t="shared" si="5"/>
        <v>1186153.9253907751</v>
      </c>
      <c r="E52" s="697">
        <f>'COEFIC 2023'!P45</f>
        <v>1.9184634861274525</v>
      </c>
      <c r="F52" s="698">
        <f t="shared" si="6"/>
        <v>2574617.1803138969</v>
      </c>
      <c r="G52" s="729">
        <f>FPART!J53</f>
        <v>0.65948364803154547</v>
      </c>
      <c r="H52" s="700">
        <f t="shared" si="7"/>
        <v>196675.67215301513</v>
      </c>
      <c r="I52" s="701">
        <f t="shared" si="8"/>
        <v>3957446.7778576869</v>
      </c>
      <c r="M52" s="702"/>
      <c r="N52" s="703"/>
      <c r="O52" s="704"/>
    </row>
    <row r="53" spans="1:15" s="675" customFormat="1" ht="12.75" x14ac:dyDescent="0.2">
      <c r="A53" s="694">
        <v>39</v>
      </c>
      <c r="B53" s="694" t="s">
        <v>105</v>
      </c>
      <c r="C53" s="695">
        <f>'COEFIC 2023'!I46</f>
        <v>0.18983559374214284</v>
      </c>
      <c r="D53" s="696">
        <f t="shared" si="5"/>
        <v>254763.24392818808</v>
      </c>
      <c r="E53" s="697">
        <f>'COEFIC 2023'!P46</f>
        <v>0.31996796117075799</v>
      </c>
      <c r="F53" s="698">
        <f t="shared" si="6"/>
        <v>429403.53878880903</v>
      </c>
      <c r="G53" s="729">
        <f>FPART!J54</f>
        <v>0.77860048179540364</v>
      </c>
      <c r="H53" s="700">
        <f t="shared" si="7"/>
        <v>232199.49964316259</v>
      </c>
      <c r="I53" s="701">
        <f t="shared" si="8"/>
        <v>916366.28236015968</v>
      </c>
      <c r="M53" s="702"/>
      <c r="N53" s="703"/>
      <c r="O53" s="704"/>
    </row>
    <row r="54" spans="1:15" s="675" customFormat="1" ht="12.75" x14ac:dyDescent="0.2">
      <c r="A54" s="694">
        <v>40</v>
      </c>
      <c r="B54" s="694" t="s">
        <v>96</v>
      </c>
      <c r="C54" s="695">
        <f>'COEFIC 2023'!I47</f>
        <v>0.38714668784795297</v>
      </c>
      <c r="D54" s="696">
        <f t="shared" si="5"/>
        <v>519558.76202104689</v>
      </c>
      <c r="E54" s="697">
        <f>'COEFIC 2023'!P47</f>
        <v>0.4670133881314788</v>
      </c>
      <c r="F54" s="698">
        <f t="shared" si="6"/>
        <v>626741.50496707857</v>
      </c>
      <c r="G54" s="729">
        <f>FPART!J55</f>
        <v>0.94771152584822815</v>
      </c>
      <c r="H54" s="700">
        <f t="shared" si="7"/>
        <v>282632.93852654257</v>
      </c>
      <c r="I54" s="701">
        <f t="shared" si="8"/>
        <v>1428933.205514668</v>
      </c>
      <c r="M54" s="702"/>
      <c r="N54" s="703"/>
      <c r="O54" s="704"/>
    </row>
    <row r="55" spans="1:15" s="675" customFormat="1" ht="12.75" x14ac:dyDescent="0.2">
      <c r="A55" s="694">
        <v>41</v>
      </c>
      <c r="B55" s="694" t="s">
        <v>98</v>
      </c>
      <c r="C55" s="695">
        <f>'COEFIC 2023'!I48</f>
        <v>0.3378294431952521</v>
      </c>
      <c r="D55" s="696">
        <f t="shared" si="5"/>
        <v>453374.01246144442</v>
      </c>
      <c r="E55" s="697">
        <f>'COEFIC 2023'!P48</f>
        <v>0.51242411214883699</v>
      </c>
      <c r="F55" s="698">
        <f t="shared" si="6"/>
        <v>687683.62404883618</v>
      </c>
      <c r="G55" s="729">
        <f>FPART!J56</f>
        <v>0.83078552954091656</v>
      </c>
      <c r="H55" s="700">
        <f t="shared" si="7"/>
        <v>247762.47739450025</v>
      </c>
      <c r="I55" s="701">
        <f t="shared" si="8"/>
        <v>1388820.1139047809</v>
      </c>
      <c r="M55" s="702"/>
      <c r="N55" s="703"/>
      <c r="O55" s="704"/>
    </row>
    <row r="56" spans="1:15" s="675" customFormat="1" ht="12.75" x14ac:dyDescent="0.2">
      <c r="A56" s="694">
        <v>42</v>
      </c>
      <c r="B56" s="694" t="s">
        <v>122</v>
      </c>
      <c r="C56" s="695">
        <f>'COEFIC 2023'!I49</f>
        <v>0.30116790479202737</v>
      </c>
      <c r="D56" s="696">
        <f t="shared" si="5"/>
        <v>404173.47916372109</v>
      </c>
      <c r="E56" s="697">
        <f>'COEFIC 2023'!P49</f>
        <v>0.39561419725385255</v>
      </c>
      <c r="F56" s="698">
        <f t="shared" si="6"/>
        <v>530922.33258078923</v>
      </c>
      <c r="G56" s="729">
        <f>FPART!J57</f>
        <v>0.90375681182419565</v>
      </c>
      <c r="H56" s="700">
        <f t="shared" si="7"/>
        <v>269524.46654126502</v>
      </c>
      <c r="I56" s="701">
        <f t="shared" si="8"/>
        <v>1204620.2782857753</v>
      </c>
      <c r="M56" s="702"/>
      <c r="N56" s="703"/>
      <c r="O56" s="704"/>
    </row>
    <row r="57" spans="1:15" s="675" customFormat="1" ht="12.75" x14ac:dyDescent="0.2">
      <c r="A57" s="694">
        <v>43</v>
      </c>
      <c r="B57" s="694" t="s">
        <v>346</v>
      </c>
      <c r="C57" s="695">
        <f>'COEFIC 2023'!I50</f>
        <v>1.4483729310236635</v>
      </c>
      <c r="D57" s="696">
        <f t="shared" si="5"/>
        <v>1943746.0544231508</v>
      </c>
      <c r="E57" s="697">
        <f>'COEFIC 2023'!P50</f>
        <v>1.9015322371627141</v>
      </c>
      <c r="F57" s="698">
        <f t="shared" si="6"/>
        <v>2551895.0984061612</v>
      </c>
      <c r="G57" s="729">
        <f>FPART!J58</f>
        <v>0.90404025564543489</v>
      </c>
      <c r="H57" s="700">
        <f t="shared" si="7"/>
        <v>269608.99707394198</v>
      </c>
      <c r="I57" s="701">
        <f t="shared" si="8"/>
        <v>4765250.1499032537</v>
      </c>
      <c r="M57" s="702"/>
      <c r="N57" s="703"/>
      <c r="O57" s="704"/>
    </row>
    <row r="58" spans="1:15" s="675" customFormat="1" ht="12.75" x14ac:dyDescent="0.2">
      <c r="A58" s="694">
        <v>44</v>
      </c>
      <c r="B58" s="694" t="s">
        <v>102</v>
      </c>
      <c r="C58" s="695">
        <f>'COEFIC 2023'!I51</f>
        <v>0.27261359917756861</v>
      </c>
      <c r="D58" s="696">
        <f t="shared" si="5"/>
        <v>365853.01784740126</v>
      </c>
      <c r="E58" s="697">
        <f>'COEFIC 2023'!P51</f>
        <v>0.37461514740795937</v>
      </c>
      <c r="F58" s="698">
        <f t="shared" si="6"/>
        <v>502741.17881140613</v>
      </c>
      <c r="G58" s="729">
        <f>FPART!J59</f>
        <v>0.88070325427299512</v>
      </c>
      <c r="H58" s="700">
        <f t="shared" si="7"/>
        <v>262649.27874785411</v>
      </c>
      <c r="I58" s="701">
        <f t="shared" si="8"/>
        <v>1131243.4754066614</v>
      </c>
      <c r="M58" s="702"/>
      <c r="N58" s="703"/>
      <c r="O58" s="704"/>
    </row>
    <row r="59" spans="1:15" s="675" customFormat="1" ht="12.75" x14ac:dyDescent="0.2">
      <c r="A59" s="694">
        <v>45</v>
      </c>
      <c r="B59" s="694" t="s">
        <v>127</v>
      </c>
      <c r="C59" s="695">
        <f>'COEFIC 2023'!I52</f>
        <v>0.76140603422389352</v>
      </c>
      <c r="D59" s="696">
        <f t="shared" si="5"/>
        <v>1021822.4485807457</v>
      </c>
      <c r="E59" s="697">
        <f>'COEFIC 2023'!P52</f>
        <v>0.75599148751357081</v>
      </c>
      <c r="F59" s="698">
        <f t="shared" si="6"/>
        <v>1014556.0163109564</v>
      </c>
      <c r="G59" s="729">
        <f>FPART!J60</f>
        <v>1.0491964841174999</v>
      </c>
      <c r="H59" s="700">
        <f t="shared" si="7"/>
        <v>312898.46890111064</v>
      </c>
      <c r="I59" s="701">
        <f t="shared" si="8"/>
        <v>2349276.9337928127</v>
      </c>
      <c r="M59" s="702"/>
      <c r="N59" s="703"/>
      <c r="O59" s="704"/>
    </row>
    <row r="60" spans="1:15" s="675" customFormat="1" ht="12.75" x14ac:dyDescent="0.2">
      <c r="A60" s="694">
        <v>46</v>
      </c>
      <c r="B60" s="694" t="s">
        <v>119</v>
      </c>
      <c r="C60" s="695">
        <f>'COEFIC 2023'!I53</f>
        <v>0.31451851670911207</v>
      </c>
      <c r="D60" s="696">
        <f t="shared" si="5"/>
        <v>422090.27302400634</v>
      </c>
      <c r="E60" s="697">
        <f>'COEFIC 2023'!P53</f>
        <v>0.43928797738663627</v>
      </c>
      <c r="F60" s="698">
        <f t="shared" si="6"/>
        <v>589533.43749480089</v>
      </c>
      <c r="G60" s="729">
        <f>FPART!J61</f>
        <v>0.87242123304316332</v>
      </c>
      <c r="H60" s="700">
        <f t="shared" si="7"/>
        <v>260179.35838360456</v>
      </c>
      <c r="I60" s="701">
        <f t="shared" si="8"/>
        <v>1271803.0689024117</v>
      </c>
      <c r="M60" s="702"/>
      <c r="N60" s="703"/>
      <c r="O60" s="704"/>
    </row>
    <row r="61" spans="1:15" s="675" customFormat="1" ht="12.75" x14ac:dyDescent="0.2">
      <c r="A61" s="694">
        <v>47</v>
      </c>
      <c r="B61" s="694" t="s">
        <v>121</v>
      </c>
      <c r="C61" s="695">
        <f>'COEFIC 2023'!I54</f>
        <v>0.41765936398021752</v>
      </c>
      <c r="D61" s="696">
        <f t="shared" si="5"/>
        <v>560507.39656923816</v>
      </c>
      <c r="E61" s="697">
        <f>'COEFIC 2023'!P54</f>
        <v>0.56420574714884908</v>
      </c>
      <c r="F61" s="698">
        <f t="shared" si="6"/>
        <v>757175.63578625291</v>
      </c>
      <c r="G61" s="729">
        <f>FPART!J62</f>
        <v>0.88942693458047528</v>
      </c>
      <c r="H61" s="700">
        <f t="shared" si="7"/>
        <v>265250.91366820864</v>
      </c>
      <c r="I61" s="701">
        <f t="shared" si="8"/>
        <v>1582933.9460236998</v>
      </c>
      <c r="M61" s="702"/>
      <c r="N61" s="703"/>
      <c r="O61" s="704"/>
    </row>
    <row r="62" spans="1:15" s="675" customFormat="1" ht="12.75" x14ac:dyDescent="0.2">
      <c r="A62" s="694">
        <v>48</v>
      </c>
      <c r="B62" s="694" t="s">
        <v>47</v>
      </c>
      <c r="C62" s="695">
        <f>'COEFIC 2023'!I55</f>
        <v>0.12097675940639052</v>
      </c>
      <c r="D62" s="696">
        <f t="shared" si="5"/>
        <v>162353.28190431953</v>
      </c>
      <c r="E62" s="697">
        <f>'COEFIC 2023'!P55</f>
        <v>0.33094459983869112</v>
      </c>
      <c r="F62" s="698">
        <f t="shared" si="6"/>
        <v>444134.41206365277</v>
      </c>
      <c r="G62" s="729">
        <f>FPART!J63</f>
        <v>0.55973048604757003</v>
      </c>
      <c r="H62" s="700">
        <f t="shared" si="7"/>
        <v>166926.60977497642</v>
      </c>
      <c r="I62" s="701">
        <f t="shared" si="8"/>
        <v>773414.30374294869</v>
      </c>
      <c r="M62" s="702"/>
      <c r="N62" s="703"/>
      <c r="O62" s="704"/>
    </row>
    <row r="63" spans="1:15" s="675" customFormat="1" ht="12.75" x14ac:dyDescent="0.2">
      <c r="A63" s="694">
        <v>49</v>
      </c>
      <c r="B63" s="694" t="s">
        <v>115</v>
      </c>
      <c r="C63" s="695">
        <f>'COEFIC 2023'!I56</f>
        <v>0.40190816884775799</v>
      </c>
      <c r="D63" s="696">
        <f t="shared" si="5"/>
        <v>539368.97100536851</v>
      </c>
      <c r="E63" s="697">
        <f>'COEFIC 2023'!P56</f>
        <v>1.3248275146655468</v>
      </c>
      <c r="F63" s="698">
        <f t="shared" si="6"/>
        <v>1777945.5824283925</v>
      </c>
      <c r="G63" s="729">
        <f>FPART!J64</f>
        <v>0.48667703346580021</v>
      </c>
      <c r="H63" s="700">
        <f t="shared" si="7"/>
        <v>145140.11524625879</v>
      </c>
      <c r="I63" s="701">
        <f t="shared" si="8"/>
        <v>2462454.6686800197</v>
      </c>
      <c r="M63" s="702"/>
      <c r="N63" s="703"/>
      <c r="O63" s="704"/>
    </row>
    <row r="64" spans="1:15" s="675" customFormat="1" ht="12.75" x14ac:dyDescent="0.2">
      <c r="A64" s="694">
        <v>50</v>
      </c>
      <c r="B64" s="694" t="s">
        <v>69</v>
      </c>
      <c r="C64" s="695">
        <f>'COEFIC 2023'!I57</f>
        <v>1.8806884872661696</v>
      </c>
      <c r="D64" s="696">
        <f t="shared" si="5"/>
        <v>2523922.3603405883</v>
      </c>
      <c r="E64" s="697">
        <f>'COEFIC 2023'!P57</f>
        <v>1.2229607983357664</v>
      </c>
      <c r="F64" s="698">
        <f t="shared" si="6"/>
        <v>1641238.3686287596</v>
      </c>
      <c r="G64" s="729">
        <f>FPART!J65</f>
        <v>1.2670218630598797</v>
      </c>
      <c r="H64" s="700">
        <f t="shared" si="7"/>
        <v>377859.82608312916</v>
      </c>
      <c r="I64" s="701">
        <f t="shared" si="8"/>
        <v>4543020.5550524769</v>
      </c>
      <c r="M64" s="702"/>
      <c r="N64" s="703"/>
      <c r="O64" s="704"/>
    </row>
    <row r="65" spans="1:15" s="675" customFormat="1" ht="12.75" x14ac:dyDescent="0.2">
      <c r="A65" s="694">
        <v>51</v>
      </c>
      <c r="B65" s="694" t="s">
        <v>126</v>
      </c>
      <c r="C65" s="695">
        <f>'COEFIC 2023'!I58</f>
        <v>0.29445048333847845</v>
      </c>
      <c r="D65" s="696">
        <f t="shared" si="5"/>
        <v>395158.56237912964</v>
      </c>
      <c r="E65" s="697">
        <f>'COEFIC 2023'!P58</f>
        <v>0.39645821812299525</v>
      </c>
      <c r="F65" s="698">
        <f t="shared" si="6"/>
        <v>532055.0258251233</v>
      </c>
      <c r="G65" s="729">
        <f>FPART!J66</f>
        <v>0.89111035822978302</v>
      </c>
      <c r="H65" s="700">
        <f t="shared" si="7"/>
        <v>265752.95565019583</v>
      </c>
      <c r="I65" s="701">
        <f t="shared" si="8"/>
        <v>1192966.5438544489</v>
      </c>
      <c r="M65" s="702"/>
      <c r="N65" s="703"/>
      <c r="O65" s="704"/>
    </row>
    <row r="66" spans="1:15" s="675" customFormat="1" ht="12.75" x14ac:dyDescent="0.2">
      <c r="A66" s="694">
        <v>52</v>
      </c>
      <c r="B66" s="694" t="s">
        <v>58</v>
      </c>
      <c r="C66" s="695">
        <f>'COEFIC 2023'!I59</f>
        <v>4.1273816838869903</v>
      </c>
      <c r="D66" s="696">
        <f t="shared" si="5"/>
        <v>5539030.5157689005</v>
      </c>
      <c r="E66" s="697">
        <f>'COEFIC 2023'!P59</f>
        <v>3.0951720361744934</v>
      </c>
      <c r="F66" s="698">
        <f t="shared" si="6"/>
        <v>4153784.0871017687</v>
      </c>
      <c r="G66" s="729">
        <f>FPART!J67</f>
        <v>1.1948784663978282</v>
      </c>
      <c r="H66" s="700">
        <f t="shared" si="7"/>
        <v>356344.734583496</v>
      </c>
      <c r="I66" s="701">
        <f t="shared" si="8"/>
        <v>10049159.337454164</v>
      </c>
      <c r="M66" s="702"/>
      <c r="N66" s="703"/>
      <c r="O66" s="704"/>
    </row>
    <row r="67" spans="1:15" s="675" customFormat="1" ht="12.75" x14ac:dyDescent="0.2">
      <c r="A67" s="694">
        <v>53</v>
      </c>
      <c r="B67" s="694" t="s">
        <v>103</v>
      </c>
      <c r="C67" s="695">
        <f>'COEFIC 2023'!I60</f>
        <v>17.879143690909327</v>
      </c>
      <c r="D67" s="696">
        <f t="shared" si="5"/>
        <v>23994175.989679404</v>
      </c>
      <c r="E67" s="697">
        <f>'COEFIC 2023'!P60</f>
        <v>7.4172287338747696</v>
      </c>
      <c r="F67" s="698">
        <f t="shared" si="6"/>
        <v>9954072.4473727122</v>
      </c>
      <c r="G67" s="729">
        <f>FPART!J68</f>
        <v>1.4778431771649561</v>
      </c>
      <c r="H67" s="700">
        <f t="shared" si="7"/>
        <v>440732.38369628537</v>
      </c>
      <c r="I67" s="701">
        <f t="shared" si="8"/>
        <v>34388980.820748404</v>
      </c>
      <c r="M67" s="702"/>
      <c r="N67" s="703"/>
      <c r="O67" s="704"/>
    </row>
    <row r="68" spans="1:15" s="675" customFormat="1" ht="12.75" x14ac:dyDescent="0.2">
      <c r="A68" s="694">
        <v>54</v>
      </c>
      <c r="B68" s="694" t="s">
        <v>94</v>
      </c>
      <c r="C68" s="695">
        <f>'COEFIC 2023'!I61</f>
        <v>0.16810399831874945</v>
      </c>
      <c r="D68" s="696">
        <f t="shared" si="5"/>
        <v>225598.99903258187</v>
      </c>
      <c r="E68" s="697">
        <f>'COEFIC 2023'!P61</f>
        <v>0.30909086115032519</v>
      </c>
      <c r="F68" s="698">
        <f t="shared" si="6"/>
        <v>414806.24841184827</v>
      </c>
      <c r="G68" s="729">
        <f>FPART!J69</f>
        <v>0.73658381055873901</v>
      </c>
      <c r="H68" s="700">
        <f t="shared" si="7"/>
        <v>219669.00388065359</v>
      </c>
      <c r="I68" s="701">
        <f t="shared" si="8"/>
        <v>860074.25132508366</v>
      </c>
      <c r="M68" s="702"/>
      <c r="N68" s="703"/>
      <c r="O68" s="704"/>
    </row>
    <row r="69" spans="1:15" s="675" customFormat="1" ht="12.75" x14ac:dyDescent="0.2">
      <c r="A69" s="694">
        <v>55</v>
      </c>
      <c r="B69" s="694" t="s">
        <v>347</v>
      </c>
      <c r="C69" s="695">
        <f>'COEFIC 2023'!I62</f>
        <v>0.96301290882037449</v>
      </c>
      <c r="D69" s="696">
        <f t="shared" si="5"/>
        <v>1292382.9918273871</v>
      </c>
      <c r="E69" s="697">
        <f>'COEFIC 2023'!P62</f>
        <v>0.80325130971927761</v>
      </c>
      <c r="F69" s="698">
        <f t="shared" si="6"/>
        <v>1077979.6629267198</v>
      </c>
      <c r="G69" s="729">
        <f>FPART!J70</f>
        <v>1.1400301061832034</v>
      </c>
      <c r="H69" s="700">
        <f t="shared" si="7"/>
        <v>339987.4857814968</v>
      </c>
      <c r="I69" s="701">
        <f t="shared" si="8"/>
        <v>2710350.1405356037</v>
      </c>
      <c r="M69" s="702"/>
      <c r="N69" s="703"/>
      <c r="O69" s="704"/>
    </row>
    <row r="70" spans="1:15" s="675" customFormat="1" ht="12.75" x14ac:dyDescent="0.2">
      <c r="A70" s="694">
        <v>56</v>
      </c>
      <c r="B70" s="694" t="s">
        <v>348</v>
      </c>
      <c r="C70" s="695">
        <f>'COEFIC 2023'!I63</f>
        <v>0.68644045311218771</v>
      </c>
      <c r="D70" s="696">
        <f t="shared" si="5"/>
        <v>921217.10766179417</v>
      </c>
      <c r="E70" s="697">
        <f>'COEFIC 2023'!P63</f>
        <v>0.46532661427820704</v>
      </c>
      <c r="F70" s="698">
        <f t="shared" si="6"/>
        <v>624477.82000599336</v>
      </c>
      <c r="G70" s="729">
        <f>FPART!J71</f>
        <v>1.2461723056435674</v>
      </c>
      <c r="H70" s="700">
        <f t="shared" si="7"/>
        <v>371641.93011074874</v>
      </c>
      <c r="I70" s="701">
        <f t="shared" si="8"/>
        <v>1917336.8577785362</v>
      </c>
      <c r="J70" s="706"/>
      <c r="K70" s="706"/>
      <c r="L70" s="706"/>
      <c r="M70" s="702"/>
      <c r="N70" s="703"/>
      <c r="O70" s="704"/>
    </row>
    <row r="71" spans="1:15" s="706" customFormat="1" ht="12.75" x14ac:dyDescent="0.2">
      <c r="A71" s="694">
        <v>57</v>
      </c>
      <c r="B71" s="694" t="s">
        <v>65</v>
      </c>
      <c r="C71" s="695">
        <f>'COEFIC 2023'!I64</f>
        <v>0.17258929853694982</v>
      </c>
      <c r="D71" s="696">
        <f t="shared" si="5"/>
        <v>231618.36353138427</v>
      </c>
      <c r="E71" s="697">
        <f>'COEFIC 2023'!P64</f>
        <v>0.74491573722474513</v>
      </c>
      <c r="F71" s="698">
        <f t="shared" si="6"/>
        <v>999692.13321665884</v>
      </c>
      <c r="G71" s="729">
        <f>FPART!J72</f>
        <v>0.3933193291422255</v>
      </c>
      <c r="H71" s="700">
        <f t="shared" si="7"/>
        <v>117298.34949011497</v>
      </c>
      <c r="I71" s="701">
        <f t="shared" si="8"/>
        <v>1348608.8462381582</v>
      </c>
      <c r="J71" s="675"/>
      <c r="K71" s="675"/>
      <c r="L71" s="675"/>
      <c r="M71" s="702"/>
      <c r="N71" s="703"/>
      <c r="O71" s="704"/>
    </row>
    <row r="72" spans="1:15" s="675" customFormat="1" ht="12.75" x14ac:dyDescent="0.2">
      <c r="A72" s="694">
        <v>58</v>
      </c>
      <c r="B72" s="694" t="s">
        <v>134</v>
      </c>
      <c r="C72" s="695">
        <f>'COEFIC 2023'!I65</f>
        <v>0.44181260036648906</v>
      </c>
      <c r="D72" s="696">
        <f t="shared" si="5"/>
        <v>592921.53309565329</v>
      </c>
      <c r="E72" s="697">
        <f>'COEFIC 2023'!P65</f>
        <v>0.50525093226213014</v>
      </c>
      <c r="F72" s="698">
        <f t="shared" si="6"/>
        <v>678057.07013871882</v>
      </c>
      <c r="G72" s="729">
        <f>FPART!J73</f>
        <v>0.97543619400196546</v>
      </c>
      <c r="H72" s="700">
        <f t="shared" si="7"/>
        <v>290901.17650428659</v>
      </c>
      <c r="I72" s="701">
        <f t="shared" si="8"/>
        <v>1561879.7797386586</v>
      </c>
      <c r="M72" s="702"/>
      <c r="N72" s="703"/>
      <c r="O72" s="704"/>
    </row>
    <row r="73" spans="1:15" s="675" customFormat="1" ht="12.75" x14ac:dyDescent="0.2">
      <c r="A73" s="694">
        <v>59</v>
      </c>
      <c r="B73" s="694" t="s">
        <v>136</v>
      </c>
      <c r="C73" s="695">
        <f>'COEFIC 2023'!I66</f>
        <v>0.19008828671218228</v>
      </c>
      <c r="D73" s="696">
        <f t="shared" si="5"/>
        <v>255102.36305488113</v>
      </c>
      <c r="E73" s="697">
        <f>'COEFIC 2023'!P66</f>
        <v>0.34163452441152531</v>
      </c>
      <c r="F73" s="698">
        <f t="shared" si="6"/>
        <v>458480.50916713977</v>
      </c>
      <c r="G73" s="729">
        <f>FPART!J74</f>
        <v>0.74749784840191158</v>
      </c>
      <c r="H73" s="700">
        <f t="shared" si="7"/>
        <v>222923.86203387156</v>
      </c>
      <c r="I73" s="701">
        <f t="shared" si="8"/>
        <v>936506.73425589246</v>
      </c>
      <c r="M73" s="702"/>
      <c r="N73" s="703"/>
      <c r="O73" s="704"/>
    </row>
    <row r="74" spans="1:15" s="675" customFormat="1" ht="12.75" x14ac:dyDescent="0.2">
      <c r="A74" s="694">
        <v>60</v>
      </c>
      <c r="B74" s="694" t="s">
        <v>137</v>
      </c>
      <c r="C74" s="695">
        <f>'COEFIC 2023'!I67</f>
        <v>0.19872196318853044</v>
      </c>
      <c r="D74" s="696">
        <f t="shared" si="5"/>
        <v>266688.93321689527</v>
      </c>
      <c r="E74" s="697">
        <f>'COEFIC 2023'!P67</f>
        <v>0.41133216924457244</v>
      </c>
      <c r="F74" s="698">
        <f t="shared" si="6"/>
        <v>552016.17200990813</v>
      </c>
      <c r="G74" s="729">
        <f>FPART!J75</f>
        <v>0.68111019086876712</v>
      </c>
      <c r="H74" s="700">
        <f t="shared" si="7"/>
        <v>203125.28597066217</v>
      </c>
      <c r="I74" s="701">
        <f t="shared" si="8"/>
        <v>1021830.3911974655</v>
      </c>
      <c r="M74" s="702"/>
      <c r="N74" s="703"/>
      <c r="O74" s="704"/>
    </row>
    <row r="75" spans="1:15" s="675" customFormat="1" ht="12.75" x14ac:dyDescent="0.2">
      <c r="A75" s="694">
        <v>61</v>
      </c>
      <c r="B75" s="694" t="s">
        <v>135</v>
      </c>
      <c r="C75" s="695">
        <f>'COEFIC 2023'!I68</f>
        <v>0.52168463664646103</v>
      </c>
      <c r="D75" s="696">
        <f t="shared" si="5"/>
        <v>700111.43705789582</v>
      </c>
      <c r="E75" s="697">
        <f>'COEFIC 2023'!P68</f>
        <v>0.59684263357744027</v>
      </c>
      <c r="F75" s="698">
        <f t="shared" si="6"/>
        <v>800975.00393613603</v>
      </c>
      <c r="G75" s="729">
        <f>FPART!J76</f>
        <v>0.97521720136537549</v>
      </c>
      <c r="H75" s="700">
        <f t="shared" si="7"/>
        <v>290835.86703963729</v>
      </c>
      <c r="I75" s="701">
        <f t="shared" si="8"/>
        <v>1791922.3080336689</v>
      </c>
      <c r="M75" s="702"/>
      <c r="N75" s="703"/>
      <c r="O75" s="704"/>
    </row>
    <row r="76" spans="1:15" s="675" customFormat="1" ht="12.75" x14ac:dyDescent="0.2">
      <c r="A76" s="694">
        <v>62</v>
      </c>
      <c r="B76" s="694" t="s">
        <v>113</v>
      </c>
      <c r="C76" s="695">
        <f>'COEFIC 2023'!I69</f>
        <v>0.44280231449914359</v>
      </c>
      <c r="D76" s="696">
        <f t="shared" si="5"/>
        <v>594249.74967520114</v>
      </c>
      <c r="E76" s="697">
        <f>'COEFIC 2023'!P69</f>
        <v>0.48709064033904148</v>
      </c>
      <c r="F76" s="698">
        <f t="shared" si="6"/>
        <v>653685.58747939579</v>
      </c>
      <c r="G76" s="729">
        <f>FPART!J77</f>
        <v>0.99567317695291968</v>
      </c>
      <c r="H76" s="700">
        <f t="shared" si="7"/>
        <v>296936.38637811446</v>
      </c>
      <c r="I76" s="701">
        <f t="shared" si="8"/>
        <v>1544871.7235327116</v>
      </c>
      <c r="M76" s="702"/>
      <c r="N76" s="703"/>
      <c r="O76" s="704"/>
    </row>
    <row r="77" spans="1:15" s="675" customFormat="1" ht="12.75" x14ac:dyDescent="0.2">
      <c r="A77" s="694">
        <v>63</v>
      </c>
      <c r="B77" s="694" t="s">
        <v>123</v>
      </c>
      <c r="C77" s="695">
        <f>'COEFIC 2023'!I70</f>
        <v>0.31352880257645754</v>
      </c>
      <c r="D77" s="696">
        <f t="shared" si="5"/>
        <v>420762.05644445837</v>
      </c>
      <c r="E77" s="697">
        <f>'COEFIC 2023'!P70</f>
        <v>0.41328818544046847</v>
      </c>
      <c r="F77" s="698">
        <f t="shared" si="6"/>
        <v>554641.18569369288</v>
      </c>
      <c r="G77" s="729">
        <f>FPART!J78</f>
        <v>0.90197034059299264</v>
      </c>
      <c r="H77" s="700">
        <f t="shared" si="7"/>
        <v>268991.69301272096</v>
      </c>
      <c r="I77" s="701">
        <f t="shared" si="8"/>
        <v>1244394.9351508722</v>
      </c>
      <c r="M77" s="702"/>
      <c r="N77" s="703"/>
      <c r="O77" s="704"/>
    </row>
    <row r="78" spans="1:15" s="675" customFormat="1" ht="12.75" x14ac:dyDescent="0.2">
      <c r="A78" s="694">
        <v>64</v>
      </c>
      <c r="B78" s="694" t="s">
        <v>74</v>
      </c>
      <c r="C78" s="695">
        <f>'COEFIC 2023'!I71</f>
        <v>0.56502148100822813</v>
      </c>
      <c r="D78" s="696">
        <f t="shared" si="5"/>
        <v>758270.36728576175</v>
      </c>
      <c r="E78" s="697">
        <f>'COEFIC 2023'!P71</f>
        <v>0.68085562816258149</v>
      </c>
      <c r="F78" s="698">
        <f t="shared" si="6"/>
        <v>913722.15851719177</v>
      </c>
      <c r="G78" s="729">
        <f>FPART!J79</f>
        <v>0.94826481243502747</v>
      </c>
      <c r="H78" s="700">
        <f t="shared" si="7"/>
        <v>282797.94339311781</v>
      </c>
      <c r="I78" s="701">
        <f t="shared" si="8"/>
        <v>1954790.4691960714</v>
      </c>
      <c r="M78" s="702"/>
      <c r="N78" s="703"/>
      <c r="O78" s="704"/>
    </row>
    <row r="79" spans="1:15" s="675" customFormat="1" ht="12.75" x14ac:dyDescent="0.2">
      <c r="A79" s="694">
        <v>65</v>
      </c>
      <c r="B79" s="694" t="s">
        <v>89</v>
      </c>
      <c r="C79" s="695">
        <f>'COEFIC 2023'!I72</f>
        <v>0.83508709273789883</v>
      </c>
      <c r="D79" s="696">
        <f t="shared" ref="D79:D110" si="9">$F$8*C79%</f>
        <v>1120703.9339390076</v>
      </c>
      <c r="E79" s="697">
        <f>'COEFIC 2023'!P72</f>
        <v>0.61494319721037083</v>
      </c>
      <c r="F79" s="698">
        <f t="shared" ref="F79:F110" si="10">$F$9*E79%</f>
        <v>825266.33001020039</v>
      </c>
      <c r="G79" s="729">
        <f>FPART!J80</f>
        <v>1.204188788717512</v>
      </c>
      <c r="H79" s="700">
        <f t="shared" ref="H79:H110" si="11">$F$10*G79%</f>
        <v>359121.3218508992</v>
      </c>
      <c r="I79" s="701">
        <f t="shared" ref="I79:I110" si="12">D79+F79+H79</f>
        <v>2305091.5858001071</v>
      </c>
      <c r="M79" s="702"/>
      <c r="N79" s="703"/>
      <c r="O79" s="704"/>
    </row>
    <row r="80" spans="1:15" s="675" customFormat="1" ht="12.75" x14ac:dyDescent="0.2">
      <c r="A80" s="694">
        <v>66</v>
      </c>
      <c r="B80" s="694" t="s">
        <v>118</v>
      </c>
      <c r="C80" s="695">
        <f>'COEFIC 2023'!I73</f>
        <v>2.0717033148684965</v>
      </c>
      <c r="D80" s="696">
        <f t="shared" si="9"/>
        <v>2780268.1601933436</v>
      </c>
      <c r="E80" s="697">
        <f>'COEFIC 2023'!P73</f>
        <v>1.3350772698902451</v>
      </c>
      <c r="F80" s="698">
        <f t="shared" si="10"/>
        <v>1791700.9632768387</v>
      </c>
      <c r="G80" s="729">
        <f>FPART!J81</f>
        <v>1.2715202471937566</v>
      </c>
      <c r="H80" s="700">
        <f t="shared" si="11"/>
        <v>379201.36461220932</v>
      </c>
      <c r="I80" s="701">
        <f t="shared" si="12"/>
        <v>4951170.4880823921</v>
      </c>
      <c r="M80" s="702"/>
      <c r="N80" s="703"/>
      <c r="O80" s="704"/>
    </row>
    <row r="81" spans="1:15" s="675" customFormat="1" ht="12.75" x14ac:dyDescent="0.2">
      <c r="A81" s="694">
        <v>67</v>
      </c>
      <c r="B81" s="694" t="s">
        <v>120</v>
      </c>
      <c r="C81" s="695">
        <f>'COEFIC 2023'!I74</f>
        <v>0.35000082125215265</v>
      </c>
      <c r="D81" s="696">
        <f t="shared" si="9"/>
        <v>469708.25039716187</v>
      </c>
      <c r="E81" s="697">
        <f>'COEFIC 2023'!P74</f>
        <v>0.49564708763613402</v>
      </c>
      <c r="F81" s="698">
        <f t="shared" si="10"/>
        <v>665168.51450555096</v>
      </c>
      <c r="G81" s="729">
        <f>FPART!J82</f>
        <v>0.8654049337071944</v>
      </c>
      <c r="H81" s="700">
        <f t="shared" si="11"/>
        <v>258086.91015983533</v>
      </c>
      <c r="I81" s="701">
        <f t="shared" si="12"/>
        <v>1392963.6750625481</v>
      </c>
      <c r="M81" s="702"/>
      <c r="N81" s="703"/>
      <c r="O81" s="704"/>
    </row>
    <row r="82" spans="1:15" s="675" customFormat="1" ht="12.75" x14ac:dyDescent="0.2">
      <c r="A82" s="694">
        <v>68</v>
      </c>
      <c r="B82" s="694" t="s">
        <v>144</v>
      </c>
      <c r="C82" s="695">
        <f>'COEFIC 2023'!I75</f>
        <v>0.61886614137413598</v>
      </c>
      <c r="D82" s="696">
        <f t="shared" si="9"/>
        <v>830531.00119861553</v>
      </c>
      <c r="E82" s="697">
        <f>'COEFIC 2023'!P75</f>
        <v>0.67531065033607796</v>
      </c>
      <c r="F82" s="698">
        <f t="shared" si="10"/>
        <v>906280.68502561492</v>
      </c>
      <c r="G82" s="729">
        <f>FPART!J83</f>
        <v>0.99986875676695242</v>
      </c>
      <c r="H82" s="700">
        <f t="shared" si="11"/>
        <v>298187.62055573129</v>
      </c>
      <c r="I82" s="701">
        <f t="shared" si="12"/>
        <v>2034999.3067799618</v>
      </c>
      <c r="M82" s="702"/>
      <c r="N82" s="703"/>
      <c r="O82" s="704"/>
    </row>
    <row r="83" spans="1:15" s="675" customFormat="1" ht="12.75" x14ac:dyDescent="0.2">
      <c r="A83" s="694">
        <v>69</v>
      </c>
      <c r="B83" s="694" t="s">
        <v>84</v>
      </c>
      <c r="C83" s="695">
        <f>'COEFIC 2023'!I76</f>
        <v>2.2424395316251569</v>
      </c>
      <c r="D83" s="696">
        <f t="shared" si="9"/>
        <v>3009399.6501289792</v>
      </c>
      <c r="E83" s="697">
        <f>'COEFIC 2023'!P76</f>
        <v>1.9355321382709125</v>
      </c>
      <c r="F83" s="698">
        <f t="shared" si="10"/>
        <v>2597523.6600937443</v>
      </c>
      <c r="G83" s="729">
        <f>FPART!J84</f>
        <v>1.12226426101586</v>
      </c>
      <c r="H83" s="700">
        <f t="shared" si="11"/>
        <v>334689.23532436567</v>
      </c>
      <c r="I83" s="701">
        <f t="shared" si="12"/>
        <v>5941612.5455470895</v>
      </c>
      <c r="M83" s="702"/>
      <c r="N83" s="703"/>
      <c r="O83" s="704"/>
    </row>
    <row r="84" spans="1:15" s="675" customFormat="1" ht="12.75" x14ac:dyDescent="0.2">
      <c r="A84" s="694">
        <v>70</v>
      </c>
      <c r="B84" s="694" t="s">
        <v>53</v>
      </c>
      <c r="C84" s="695">
        <f>'COEFIC 2023'!I77</f>
        <v>0.32645825954347646</v>
      </c>
      <c r="D84" s="696">
        <f t="shared" si="9"/>
        <v>438113.6517602551</v>
      </c>
      <c r="E84" s="697">
        <f>'COEFIC 2023'!P77</f>
        <v>0.45201662211357152</v>
      </c>
      <c r="F84" s="698">
        <f t="shared" si="10"/>
        <v>606615.53868309653</v>
      </c>
      <c r="G84" s="729">
        <f>FPART!J85</f>
        <v>0.87684522131647236</v>
      </c>
      <c r="H84" s="700">
        <f t="shared" si="11"/>
        <v>261498.71007617068</v>
      </c>
      <c r="I84" s="701">
        <f t="shared" si="12"/>
        <v>1306227.9005195224</v>
      </c>
      <c r="M84" s="702"/>
      <c r="N84" s="703"/>
      <c r="O84" s="704"/>
    </row>
    <row r="85" spans="1:15" s="675" customFormat="1" ht="12.75" x14ac:dyDescent="0.2">
      <c r="A85" s="694">
        <v>71</v>
      </c>
      <c r="B85" s="694" t="s">
        <v>143</v>
      </c>
      <c r="C85" s="695">
        <f>'COEFIC 2023'!I78</f>
        <v>1.4584595920777386</v>
      </c>
      <c r="D85" s="696">
        <f t="shared" si="9"/>
        <v>1957282.5595636501</v>
      </c>
      <c r="E85" s="697">
        <f>'COEFIC 2023'!P78</f>
        <v>1.0305721617264547</v>
      </c>
      <c r="F85" s="698">
        <f t="shared" si="10"/>
        <v>1383048.8890305045</v>
      </c>
      <c r="G85" s="729">
        <f>FPART!J86</f>
        <v>1.2251911375010087</v>
      </c>
      <c r="H85" s="700">
        <f t="shared" si="11"/>
        <v>365384.78429779329</v>
      </c>
      <c r="I85" s="701">
        <f t="shared" si="12"/>
        <v>3705716.232891948</v>
      </c>
      <c r="M85" s="702"/>
      <c r="N85" s="703"/>
      <c r="O85" s="704"/>
    </row>
    <row r="86" spans="1:15" s="675" customFormat="1" ht="12.75" x14ac:dyDescent="0.2">
      <c r="A86" s="694">
        <v>72</v>
      </c>
      <c r="B86" s="694" t="s">
        <v>132</v>
      </c>
      <c r="C86" s="695">
        <f>'COEFIC 2023'!I79</f>
        <v>0.29398721289340612</v>
      </c>
      <c r="D86" s="696">
        <f t="shared" si="9"/>
        <v>394536.84398019232</v>
      </c>
      <c r="E86" s="697">
        <f>'COEFIC 2023'!P79</f>
        <v>0.37946277923825678</v>
      </c>
      <c r="F86" s="698">
        <f t="shared" si="10"/>
        <v>509246.79973375867</v>
      </c>
      <c r="G86" s="729">
        <f>FPART!J87</f>
        <v>0.91277339179785055</v>
      </c>
      <c r="H86" s="700">
        <f t="shared" si="11"/>
        <v>272213.45198030223</v>
      </c>
      <c r="I86" s="701">
        <f t="shared" si="12"/>
        <v>1175997.0956942532</v>
      </c>
      <c r="M86" s="702"/>
      <c r="N86" s="703"/>
      <c r="O86" s="704"/>
    </row>
    <row r="87" spans="1:15" s="675" customFormat="1" ht="12.75" x14ac:dyDescent="0.2">
      <c r="A87" s="694">
        <v>73</v>
      </c>
      <c r="B87" s="694" t="s">
        <v>85</v>
      </c>
      <c r="C87" s="695">
        <f>'COEFIC 2023'!I80</f>
        <v>0.5722653461493592</v>
      </c>
      <c r="D87" s="696">
        <f t="shared" si="9"/>
        <v>767991.78225096373</v>
      </c>
      <c r="E87" s="697">
        <f>'COEFIC 2023'!P80</f>
        <v>0.54450577422167679</v>
      </c>
      <c r="F87" s="698">
        <f t="shared" si="10"/>
        <v>730737.86977362074</v>
      </c>
      <c r="G87" s="729">
        <f>FPART!J88</f>
        <v>1.0714530756763703</v>
      </c>
      <c r="H87" s="700">
        <f t="shared" si="11"/>
        <v>319535.98010816117</v>
      </c>
      <c r="I87" s="701">
        <f t="shared" si="12"/>
        <v>1818265.6321327456</v>
      </c>
      <c r="M87" s="702"/>
      <c r="N87" s="703"/>
      <c r="O87" s="704"/>
    </row>
    <row r="88" spans="1:15" s="675" customFormat="1" ht="12.75" x14ac:dyDescent="0.2">
      <c r="A88" s="694">
        <v>74</v>
      </c>
      <c r="B88" s="705" t="s">
        <v>133</v>
      </c>
      <c r="C88" s="695">
        <f>'COEFIC 2023'!I81</f>
        <v>0.22222240940220003</v>
      </c>
      <c r="D88" s="696">
        <f t="shared" si="9"/>
        <v>298227.01199935313</v>
      </c>
      <c r="E88" s="697">
        <f>'COEFIC 2023'!P81</f>
        <v>0.30271862627818635</v>
      </c>
      <c r="F88" s="698">
        <f t="shared" si="10"/>
        <v>406254.57906946179</v>
      </c>
      <c r="G88" s="729">
        <f>FPART!J89</f>
        <v>0.88515068741753156</v>
      </c>
      <c r="H88" s="700">
        <f t="shared" si="11"/>
        <v>263975.62232842378</v>
      </c>
      <c r="I88" s="701">
        <f t="shared" si="12"/>
        <v>968457.21339723875</v>
      </c>
      <c r="M88" s="702"/>
      <c r="N88" s="703"/>
      <c r="O88" s="704"/>
    </row>
    <row r="89" spans="1:15" s="675" customFormat="1" ht="12.75" x14ac:dyDescent="0.2">
      <c r="A89" s="694">
        <v>75</v>
      </c>
      <c r="B89" s="694" t="s">
        <v>146</v>
      </c>
      <c r="C89" s="695">
        <f>'COEFIC 2023'!I82</f>
        <v>1.6621932991720516</v>
      </c>
      <c r="D89" s="696">
        <f t="shared" si="9"/>
        <v>2230697.3554599588</v>
      </c>
      <c r="E89" s="697">
        <f>'COEFIC 2023'!P82</f>
        <v>1.0263852879652673</v>
      </c>
      <c r="F89" s="698">
        <f t="shared" si="10"/>
        <v>1377430.018931956</v>
      </c>
      <c r="G89" s="729">
        <f>FPART!J90</f>
        <v>1.2927027552766872</v>
      </c>
      <c r="H89" s="700">
        <f t="shared" si="11"/>
        <v>385518.55538340157</v>
      </c>
      <c r="I89" s="701">
        <f t="shared" si="12"/>
        <v>3993645.9297753163</v>
      </c>
      <c r="M89" s="702"/>
      <c r="N89" s="703"/>
      <c r="O89" s="704"/>
    </row>
    <row r="90" spans="1:15" s="675" customFormat="1" ht="12.75" x14ac:dyDescent="0.2">
      <c r="A90" s="694">
        <v>76</v>
      </c>
      <c r="B90" s="694" t="s">
        <v>148</v>
      </c>
      <c r="C90" s="695">
        <f>'COEFIC 2023'!I83</f>
        <v>1.6525488508155455</v>
      </c>
      <c r="D90" s="696">
        <f t="shared" si="9"/>
        <v>2217754.3087911718</v>
      </c>
      <c r="E90" s="697">
        <f>'COEFIC 2023'!P83</f>
        <v>1.8504233032214761</v>
      </c>
      <c r="F90" s="698">
        <f t="shared" si="10"/>
        <v>2483305.8652285966</v>
      </c>
      <c r="G90" s="729">
        <f>FPART!J91</f>
        <v>0.98641008576890343</v>
      </c>
      <c r="H90" s="700">
        <f t="shared" si="11"/>
        <v>294173.88469931029</v>
      </c>
      <c r="I90" s="701">
        <f t="shared" si="12"/>
        <v>4995234.058719079</v>
      </c>
      <c r="M90" s="702"/>
      <c r="N90" s="703"/>
      <c r="O90" s="704"/>
    </row>
    <row r="91" spans="1:15" s="675" customFormat="1" ht="12.75" x14ac:dyDescent="0.2">
      <c r="A91" s="694">
        <v>77</v>
      </c>
      <c r="B91" s="694" t="s">
        <v>45</v>
      </c>
      <c r="C91" s="695">
        <f>'COEFIC 2023'!I84</f>
        <v>0.37223780261562495</v>
      </c>
      <c r="D91" s="696">
        <f t="shared" si="9"/>
        <v>499550.73354615422</v>
      </c>
      <c r="E91" s="697">
        <f>'COEFIC 2023'!P84</f>
        <v>0.62678870776607709</v>
      </c>
      <c r="F91" s="698">
        <f t="shared" si="10"/>
        <v>841163.24710392742</v>
      </c>
      <c r="G91" s="729">
        <f>FPART!J92</f>
        <v>0.77908231415513252</v>
      </c>
      <c r="H91" s="700">
        <f t="shared" si="11"/>
        <v>232343.19494705318</v>
      </c>
      <c r="I91" s="701">
        <f t="shared" si="12"/>
        <v>1573057.175597135</v>
      </c>
      <c r="M91" s="702"/>
      <c r="N91" s="703"/>
      <c r="O91" s="704"/>
    </row>
    <row r="92" spans="1:15" s="675" customFormat="1" ht="12.75" x14ac:dyDescent="0.2">
      <c r="A92" s="694">
        <v>78</v>
      </c>
      <c r="B92" s="694" t="s">
        <v>349</v>
      </c>
      <c r="C92" s="695">
        <f>'COEFIC 2023'!I85</f>
        <v>0.26979186101212799</v>
      </c>
      <c r="D92" s="696">
        <f t="shared" si="9"/>
        <v>362066.1875993284</v>
      </c>
      <c r="E92" s="697">
        <f>'COEFIC 2023'!P85</f>
        <v>0.40979046274032732</v>
      </c>
      <c r="F92" s="698">
        <f t="shared" si="10"/>
        <v>549947.1703940141</v>
      </c>
      <c r="G92" s="729">
        <f>FPART!J93</f>
        <v>0.83009281053141881</v>
      </c>
      <c r="H92" s="700">
        <f t="shared" si="11"/>
        <v>247555.8900481532</v>
      </c>
      <c r="I92" s="701">
        <f t="shared" si="12"/>
        <v>1159569.2480414957</v>
      </c>
      <c r="M92" s="702"/>
      <c r="N92" s="703"/>
      <c r="O92" s="704"/>
    </row>
    <row r="93" spans="1:15" s="675" customFormat="1" ht="12.75" x14ac:dyDescent="0.2">
      <c r="A93" s="694">
        <v>79</v>
      </c>
      <c r="B93" s="694" t="s">
        <v>138</v>
      </c>
      <c r="C93" s="695">
        <f>'COEFIC 2023'!I86</f>
        <v>1.0506973694240664</v>
      </c>
      <c r="D93" s="696">
        <f t="shared" si="9"/>
        <v>1410057.3287898914</v>
      </c>
      <c r="E93" s="697">
        <f>'COEFIC 2023'!P86</f>
        <v>0.84314994921472297</v>
      </c>
      <c r="F93" s="698">
        <f t="shared" si="10"/>
        <v>1131524.4520034611</v>
      </c>
      <c r="G93" s="729">
        <f>FPART!J94</f>
        <v>1.160038930477814</v>
      </c>
      <c r="H93" s="700">
        <f t="shared" si="11"/>
        <v>345954.65263829491</v>
      </c>
      <c r="I93" s="701">
        <f t="shared" si="12"/>
        <v>2887536.4334316473</v>
      </c>
      <c r="M93" s="702"/>
      <c r="N93" s="703"/>
      <c r="O93" s="704"/>
    </row>
    <row r="94" spans="1:15" s="675" customFormat="1" ht="12.75" x14ac:dyDescent="0.2">
      <c r="A94" s="694">
        <v>80</v>
      </c>
      <c r="B94" s="694" t="s">
        <v>93</v>
      </c>
      <c r="C94" s="695">
        <f>'COEFIC 2023'!I87</f>
        <v>0.41763830623271425</v>
      </c>
      <c r="D94" s="696">
        <f t="shared" si="9"/>
        <v>560479.13664201368</v>
      </c>
      <c r="E94" s="697">
        <f>'COEFIC 2023'!P87</f>
        <v>0.46314450232260923</v>
      </c>
      <c r="F94" s="698">
        <f t="shared" si="10"/>
        <v>621549.38119499933</v>
      </c>
      <c r="G94" s="729">
        <f>FPART!J95</f>
        <v>0.99145128306937969</v>
      </c>
      <c r="H94" s="700">
        <f t="shared" si="11"/>
        <v>295677.30464078503</v>
      </c>
      <c r="I94" s="701">
        <f t="shared" si="12"/>
        <v>1477705.8224777982</v>
      </c>
      <c r="M94" s="702"/>
      <c r="N94" s="703"/>
      <c r="O94" s="704"/>
    </row>
    <row r="95" spans="1:15" s="675" customFormat="1" ht="12.75" x14ac:dyDescent="0.2">
      <c r="A95" s="694">
        <v>81</v>
      </c>
      <c r="B95" s="694" t="s">
        <v>116</v>
      </c>
      <c r="C95" s="695">
        <f>'COEFIC 2023'!I88</f>
        <v>0.19112011633984341</v>
      </c>
      <c r="D95" s="696">
        <f t="shared" si="9"/>
        <v>256487.09948887795</v>
      </c>
      <c r="E95" s="697">
        <f>'COEFIC 2023'!P88</f>
        <v>0.43209989462611942</v>
      </c>
      <c r="F95" s="698">
        <f t="shared" si="10"/>
        <v>579886.88362366019</v>
      </c>
      <c r="G95" s="729">
        <f>FPART!J96</f>
        <v>0.64121680254968882</v>
      </c>
      <c r="H95" s="700">
        <f t="shared" si="11"/>
        <v>191228.00999492689</v>
      </c>
      <c r="I95" s="701">
        <f t="shared" si="12"/>
        <v>1027601.993107465</v>
      </c>
      <c r="M95" s="702"/>
      <c r="N95" s="703"/>
      <c r="O95" s="704"/>
    </row>
    <row r="96" spans="1:15" s="675" customFormat="1" ht="12.75" x14ac:dyDescent="0.2">
      <c r="A96" s="694">
        <v>82</v>
      </c>
      <c r="B96" s="694" t="s">
        <v>152</v>
      </c>
      <c r="C96" s="695">
        <f>'COEFIC 2023'!I89</f>
        <v>1.6749332364115408</v>
      </c>
      <c r="D96" s="696">
        <f t="shared" si="9"/>
        <v>2247794.6114307349</v>
      </c>
      <c r="E96" s="697">
        <f>'COEFIC 2023'!P89</f>
        <v>1.3119994634053675</v>
      </c>
      <c r="F96" s="698">
        <f t="shared" si="10"/>
        <v>1760730.0756422442</v>
      </c>
      <c r="G96" s="729">
        <f>FPART!J97</f>
        <v>1.1724975552384336</v>
      </c>
      <c r="H96" s="700">
        <f t="shared" si="11"/>
        <v>349670.14794467716</v>
      </c>
      <c r="I96" s="701">
        <f t="shared" si="12"/>
        <v>4358194.8350176569</v>
      </c>
      <c r="M96" s="702"/>
      <c r="N96" s="703"/>
      <c r="O96" s="704"/>
    </row>
    <row r="97" spans="1:15" s="675" customFormat="1" ht="12.75" x14ac:dyDescent="0.2">
      <c r="A97" s="694">
        <v>83</v>
      </c>
      <c r="B97" s="694" t="s">
        <v>153</v>
      </c>
      <c r="C97" s="695">
        <f>'COEFIC 2023'!I90</f>
        <v>0.70444482722749913</v>
      </c>
      <c r="D97" s="696">
        <f t="shared" si="9"/>
        <v>945379.34543867735</v>
      </c>
      <c r="E97" s="697">
        <f>'COEFIC 2023'!P90</f>
        <v>0.84846349141285227</v>
      </c>
      <c r="F97" s="698">
        <f t="shared" si="10"/>
        <v>1138655.334155011</v>
      </c>
      <c r="G97" s="729">
        <f>FPART!J98</f>
        <v>0.94850811469966656</v>
      </c>
      <c r="H97" s="700">
        <f t="shared" si="11"/>
        <v>282870.50263939647</v>
      </c>
      <c r="I97" s="701">
        <f t="shared" si="12"/>
        <v>2366905.1822330849</v>
      </c>
      <c r="M97" s="702"/>
      <c r="N97" s="703"/>
      <c r="O97" s="704"/>
    </row>
    <row r="98" spans="1:15" s="675" customFormat="1" ht="12.75" x14ac:dyDescent="0.2">
      <c r="A98" s="694">
        <v>84</v>
      </c>
      <c r="B98" s="694" t="s">
        <v>107</v>
      </c>
      <c r="C98" s="695">
        <f>'COEFIC 2023'!I91</f>
        <v>0.66786751981428749</v>
      </c>
      <c r="D98" s="696">
        <f t="shared" si="9"/>
        <v>896291.85184985155</v>
      </c>
      <c r="E98" s="697">
        <f>'COEFIC 2023'!P91</f>
        <v>0.50669760758141813</v>
      </c>
      <c r="F98" s="698">
        <f t="shared" si="10"/>
        <v>679998.53796352143</v>
      </c>
      <c r="G98" s="729">
        <f>FPART!J99</f>
        <v>1.1889212876884179</v>
      </c>
      <c r="H98" s="700">
        <f t="shared" si="11"/>
        <v>354568.14447348181</v>
      </c>
      <c r="I98" s="701">
        <f t="shared" si="12"/>
        <v>1930858.5342868548</v>
      </c>
      <c r="M98" s="702"/>
      <c r="N98" s="703"/>
      <c r="O98" s="704"/>
    </row>
    <row r="99" spans="1:15" s="675" customFormat="1" ht="12.75" x14ac:dyDescent="0.2">
      <c r="A99" s="694">
        <v>85</v>
      </c>
      <c r="B99" s="694" t="s">
        <v>124</v>
      </c>
      <c r="C99" s="695">
        <f>'COEFIC 2023'!I92</f>
        <v>0.74241194597592763</v>
      </c>
      <c r="D99" s="696">
        <f t="shared" si="9"/>
        <v>996331.99422431481</v>
      </c>
      <c r="E99" s="697">
        <f>'COEFIC 2023'!P92</f>
        <v>0.66451015921013734</v>
      </c>
      <c r="F99" s="698">
        <f t="shared" si="10"/>
        <v>891786.20534969203</v>
      </c>
      <c r="G99" s="729">
        <f>FPART!J100</f>
        <v>1.1033537639277704</v>
      </c>
      <c r="H99" s="700">
        <f t="shared" si="11"/>
        <v>329049.61903266684</v>
      </c>
      <c r="I99" s="701">
        <f t="shared" si="12"/>
        <v>2217167.8186066737</v>
      </c>
      <c r="M99" s="702"/>
      <c r="N99" s="703"/>
      <c r="O99" s="704"/>
    </row>
    <row r="100" spans="1:15" s="675" customFormat="1" ht="12.75" x14ac:dyDescent="0.2">
      <c r="A100" s="694">
        <v>86</v>
      </c>
      <c r="B100" s="694" t="s">
        <v>129</v>
      </c>
      <c r="C100" s="695">
        <f>'COEFIC 2023'!I93</f>
        <v>0.32711104971607841</v>
      </c>
      <c r="D100" s="696">
        <f t="shared" si="9"/>
        <v>438989.70950421225</v>
      </c>
      <c r="E100" s="697">
        <f>'COEFIC 2023'!P93</f>
        <v>0.39136182539384073</v>
      </c>
      <c r="F100" s="698">
        <f t="shared" si="10"/>
        <v>525215.56269591139</v>
      </c>
      <c r="G100" s="729">
        <f>FPART!J101</f>
        <v>0.9519731967183146</v>
      </c>
      <c r="H100" s="700">
        <f t="shared" si="11"/>
        <v>283903.8828257242</v>
      </c>
      <c r="I100" s="701">
        <f t="shared" si="12"/>
        <v>1248109.1550258477</v>
      </c>
      <c r="M100" s="702"/>
      <c r="N100" s="703"/>
      <c r="O100" s="704"/>
    </row>
    <row r="101" spans="1:15" s="675" customFormat="1" ht="12.75" x14ac:dyDescent="0.2">
      <c r="A101" s="694">
        <v>87</v>
      </c>
      <c r="B101" s="694" t="s">
        <v>350</v>
      </c>
      <c r="C101" s="695">
        <f>'COEFIC 2023'!I94</f>
        <v>0.32826922582875923</v>
      </c>
      <c r="D101" s="696">
        <f t="shared" si="9"/>
        <v>440544.00550155557</v>
      </c>
      <c r="E101" s="697">
        <f>'COEFIC 2023'!P94</f>
        <v>0.36366268944449609</v>
      </c>
      <c r="F101" s="698">
        <f t="shared" si="10"/>
        <v>488042.75653581793</v>
      </c>
      <c r="G101" s="729">
        <f>FPART!J102</f>
        <v>0.9919886218149192</v>
      </c>
      <c r="H101" s="700">
        <f t="shared" si="11"/>
        <v>295837.55343431962</v>
      </c>
      <c r="I101" s="701">
        <f t="shared" si="12"/>
        <v>1224424.3154716932</v>
      </c>
      <c r="M101" s="702"/>
      <c r="N101" s="703"/>
      <c r="O101" s="704"/>
    </row>
    <row r="102" spans="1:15" s="675" customFormat="1" ht="12.75" x14ac:dyDescent="0.2">
      <c r="A102" s="694">
        <v>88</v>
      </c>
      <c r="B102" s="694" t="s">
        <v>99</v>
      </c>
      <c r="C102" s="695">
        <f>'COEFIC 2023'!I95</f>
        <v>2.411385839844038</v>
      </c>
      <c r="D102" s="696">
        <f t="shared" si="9"/>
        <v>3236129.046250538</v>
      </c>
      <c r="E102" s="697">
        <f>'COEFIC 2023'!P95</f>
        <v>1.5072208482992138</v>
      </c>
      <c r="F102" s="698">
        <f t="shared" si="10"/>
        <v>2022721.1612932624</v>
      </c>
      <c r="G102" s="729">
        <f>FPART!J103</f>
        <v>1.2866929269784904</v>
      </c>
      <c r="H102" s="700">
        <f t="shared" si="11"/>
        <v>383726.26375706616</v>
      </c>
      <c r="I102" s="701">
        <f t="shared" si="12"/>
        <v>5642576.4713008665</v>
      </c>
      <c r="M102" s="702"/>
      <c r="N102" s="703"/>
      <c r="O102" s="704"/>
    </row>
    <row r="103" spans="1:15" s="675" customFormat="1" ht="12.75" x14ac:dyDescent="0.2">
      <c r="A103" s="694">
        <v>89</v>
      </c>
      <c r="B103" s="694" t="s">
        <v>55</v>
      </c>
      <c r="C103" s="695">
        <f>'COEFIC 2023'!I96</f>
        <v>0.50694421339415929</v>
      </c>
      <c r="D103" s="696">
        <f t="shared" si="9"/>
        <v>680329.4880007985</v>
      </c>
      <c r="E103" s="697">
        <f>'COEFIC 2023'!P96</f>
        <v>0.8277868069583757</v>
      </c>
      <c r="F103" s="698">
        <f t="shared" si="10"/>
        <v>1110906.8013247708</v>
      </c>
      <c r="G103" s="729">
        <f>FPART!J104</f>
        <v>0.79415687293111992</v>
      </c>
      <c r="H103" s="700">
        <f t="shared" si="11"/>
        <v>236838.83178130511</v>
      </c>
      <c r="I103" s="701">
        <f t="shared" si="12"/>
        <v>2028075.1211068744</v>
      </c>
      <c r="M103" s="702"/>
      <c r="N103" s="703"/>
      <c r="O103" s="704"/>
    </row>
    <row r="104" spans="1:15" s="675" customFormat="1" ht="12.75" x14ac:dyDescent="0.2">
      <c r="A104" s="694">
        <v>90</v>
      </c>
      <c r="B104" s="694" t="s">
        <v>147</v>
      </c>
      <c r="C104" s="695">
        <f>'COEFIC 2023'!I97</f>
        <v>0.34376772799117933</v>
      </c>
      <c r="D104" s="696">
        <f t="shared" si="9"/>
        <v>461343.31193873216</v>
      </c>
      <c r="E104" s="697">
        <f>'COEFIC 2023'!P97</f>
        <v>0.35072713773174047</v>
      </c>
      <c r="F104" s="698">
        <f t="shared" si="10"/>
        <v>470682.98194676591</v>
      </c>
      <c r="G104" s="729">
        <f>FPART!J105</f>
        <v>1.0349895076901878</v>
      </c>
      <c r="H104" s="700">
        <f t="shared" si="11"/>
        <v>308661.56834043143</v>
      </c>
      <c r="I104" s="701">
        <f t="shared" si="12"/>
        <v>1240687.8622259295</v>
      </c>
      <c r="M104" s="702"/>
      <c r="N104" s="703"/>
      <c r="O104" s="704"/>
    </row>
    <row r="105" spans="1:15" s="675" customFormat="1" ht="12.75" x14ac:dyDescent="0.2">
      <c r="A105" s="694">
        <v>91</v>
      </c>
      <c r="B105" s="694" t="s">
        <v>351</v>
      </c>
      <c r="C105" s="695">
        <f>'COEFIC 2023'!I98</f>
        <v>0.31447640121410547</v>
      </c>
      <c r="D105" s="696">
        <f t="shared" si="9"/>
        <v>422033.75316955743</v>
      </c>
      <c r="E105" s="697">
        <f>'COEFIC 2023'!P98</f>
        <v>0.3913826442102713</v>
      </c>
      <c r="F105" s="698">
        <f t="shared" si="10"/>
        <v>525243.50197275646</v>
      </c>
      <c r="G105" s="729">
        <f>FPART!J106</f>
        <v>0.93155812720200115</v>
      </c>
      <c r="H105" s="700">
        <f t="shared" si="11"/>
        <v>277815.56277236721</v>
      </c>
      <c r="I105" s="701">
        <f t="shared" si="12"/>
        <v>1225092.817914681</v>
      </c>
      <c r="M105" s="702"/>
      <c r="N105" s="703"/>
      <c r="O105" s="704"/>
    </row>
    <row r="106" spans="1:15" s="675" customFormat="1" ht="12.75" x14ac:dyDescent="0.2">
      <c r="A106" s="694">
        <v>92</v>
      </c>
      <c r="B106" s="694" t="s">
        <v>352</v>
      </c>
      <c r="C106" s="695">
        <f>'COEFIC 2023'!I99</f>
        <v>0.27029724695220692</v>
      </c>
      <c r="D106" s="696">
        <f t="shared" si="9"/>
        <v>362744.42585271457</v>
      </c>
      <c r="E106" s="697">
        <f>'COEFIC 2023'!P99</f>
        <v>1.386545035984039</v>
      </c>
      <c r="F106" s="698">
        <f t="shared" si="10"/>
        <v>1860771.7565317773</v>
      </c>
      <c r="G106" s="729">
        <f>FPART!J107</f>
        <v>0.34111462177289331</v>
      </c>
      <c r="H106" s="700">
        <f t="shared" si="11"/>
        <v>101729.50871284714</v>
      </c>
      <c r="I106" s="701">
        <f t="shared" si="12"/>
        <v>2325245.6910973391</v>
      </c>
      <c r="M106" s="702"/>
      <c r="N106" s="703"/>
      <c r="O106" s="704"/>
    </row>
    <row r="107" spans="1:15" s="675" customFormat="1" ht="12.75" x14ac:dyDescent="0.2">
      <c r="A107" s="694">
        <v>93</v>
      </c>
      <c r="B107" s="694" t="s">
        <v>353</v>
      </c>
      <c r="C107" s="695">
        <f>'COEFIC 2023'!I100</f>
        <v>0.60132503770389689</v>
      </c>
      <c r="D107" s="696">
        <f t="shared" si="9"/>
        <v>806990.48182066972</v>
      </c>
      <c r="E107" s="697">
        <f>'COEFIC 2023'!P100</f>
        <v>0.65567373347769853</v>
      </c>
      <c r="F107" s="698">
        <f t="shared" si="10"/>
        <v>879927.54154513462</v>
      </c>
      <c r="G107" s="729">
        <f>FPART!J108</f>
        <v>1.0002632586827527</v>
      </c>
      <c r="H107" s="700">
        <f t="shared" si="11"/>
        <v>298305.27158420981</v>
      </c>
      <c r="I107" s="701">
        <f t="shared" si="12"/>
        <v>1985223.2949500142</v>
      </c>
      <c r="M107" s="702"/>
      <c r="N107" s="703"/>
      <c r="O107" s="704"/>
    </row>
    <row r="108" spans="1:15" s="675" customFormat="1" ht="12.75" x14ac:dyDescent="0.2">
      <c r="A108" s="694">
        <v>94</v>
      </c>
      <c r="B108" s="694" t="s">
        <v>354</v>
      </c>
      <c r="C108" s="695">
        <f>'COEFIC 2023'!I101</f>
        <v>0.13519073897111003</v>
      </c>
      <c r="D108" s="696">
        <f t="shared" si="9"/>
        <v>181428.73278080614</v>
      </c>
      <c r="E108" s="697">
        <f>'COEFIC 2023'!P101</f>
        <v>0.28459801121905781</v>
      </c>
      <c r="F108" s="698">
        <f t="shared" si="10"/>
        <v>381936.34357191756</v>
      </c>
      <c r="G108" s="729">
        <f>FPART!J109</f>
        <v>0.67337351189936723</v>
      </c>
      <c r="H108" s="700">
        <f t="shared" si="11"/>
        <v>200818.00126226855</v>
      </c>
      <c r="I108" s="701">
        <f t="shared" si="12"/>
        <v>764183.07761499216</v>
      </c>
      <c r="M108" s="702"/>
      <c r="N108" s="703"/>
      <c r="O108" s="704"/>
    </row>
    <row r="109" spans="1:15" s="675" customFormat="1" ht="12.75" x14ac:dyDescent="0.2">
      <c r="A109" s="694">
        <v>95</v>
      </c>
      <c r="B109" s="694" t="s">
        <v>100</v>
      </c>
      <c r="C109" s="695">
        <f>'COEFIC 2023'!I102</f>
        <v>0.25953673797802668</v>
      </c>
      <c r="D109" s="696">
        <f t="shared" si="9"/>
        <v>348303.60304103361</v>
      </c>
      <c r="E109" s="697">
        <f>'COEFIC 2023'!P102</f>
        <v>0.50154876438978779</v>
      </c>
      <c r="F109" s="698">
        <f t="shared" si="10"/>
        <v>673088.68524243962</v>
      </c>
      <c r="G109" s="729">
        <f>FPART!J110</f>
        <v>0.7130258503350696</v>
      </c>
      <c r="H109" s="700">
        <f t="shared" si="11"/>
        <v>212643.3897120934</v>
      </c>
      <c r="I109" s="701">
        <f t="shared" si="12"/>
        <v>1234035.6779955667</v>
      </c>
      <c r="M109" s="702"/>
      <c r="N109" s="703"/>
      <c r="O109" s="704"/>
    </row>
    <row r="110" spans="1:15" s="675" customFormat="1" ht="12.75" x14ac:dyDescent="0.2">
      <c r="A110" s="694">
        <v>96</v>
      </c>
      <c r="B110" s="694" t="s">
        <v>78</v>
      </c>
      <c r="C110" s="695">
        <f>'COEFIC 2023'!I103</f>
        <v>0.12573581034213366</v>
      </c>
      <c r="D110" s="696">
        <f t="shared" si="9"/>
        <v>168740.0254570395</v>
      </c>
      <c r="E110" s="697">
        <f>'COEFIC 2023'!P103</f>
        <v>1.3013400949509077</v>
      </c>
      <c r="F110" s="698">
        <f t="shared" si="10"/>
        <v>1746424.9854736815</v>
      </c>
      <c r="G110" s="729">
        <f>FPART!J111</f>
        <v>0.18422636972178577</v>
      </c>
      <c r="H110" s="700">
        <f t="shared" si="11"/>
        <v>54941.233496071371</v>
      </c>
      <c r="I110" s="701">
        <f t="shared" si="12"/>
        <v>1970106.2444267923</v>
      </c>
      <c r="M110" s="702"/>
      <c r="N110" s="703"/>
      <c r="O110" s="704"/>
    </row>
    <row r="111" spans="1:15" s="675" customFormat="1" ht="12.75" x14ac:dyDescent="0.2">
      <c r="A111" s="694">
        <v>97</v>
      </c>
      <c r="B111" s="694" t="s">
        <v>130</v>
      </c>
      <c r="C111" s="695">
        <f>'COEFIC 2023'!I104</f>
        <v>0.61185391145554102</v>
      </c>
      <c r="D111" s="696">
        <f t="shared" ref="D111:D127" si="13">$F$8*C111%</f>
        <v>821120.44543288217</v>
      </c>
      <c r="E111" s="697">
        <f>'COEFIC 2023'!P104</f>
        <v>1.6393849867608183</v>
      </c>
      <c r="F111" s="698">
        <f t="shared" ref="F111:F127" si="14">$F$9*E111%</f>
        <v>2200088.1343762339</v>
      </c>
      <c r="G111" s="729">
        <f>FPART!J112</f>
        <v>0.56828479898068007</v>
      </c>
      <c r="H111" s="700">
        <f t="shared" ref="H111:H127" si="15">$F$10*G111%</f>
        <v>169477.73481188735</v>
      </c>
      <c r="I111" s="701">
        <f t="shared" ref="I111:I127" si="16">D111+F111+H111</f>
        <v>3190686.3146210033</v>
      </c>
      <c r="M111" s="702"/>
      <c r="N111" s="703"/>
      <c r="O111" s="704"/>
    </row>
    <row r="112" spans="1:15" s="675" customFormat="1" ht="12.75" x14ac:dyDescent="0.2">
      <c r="A112" s="694">
        <v>98</v>
      </c>
      <c r="B112" s="694" t="s">
        <v>355</v>
      </c>
      <c r="C112" s="695">
        <f>'COEFIC 2023'!I105</f>
        <v>0.54238440244219333</v>
      </c>
      <c r="D112" s="696">
        <f t="shared" si="13"/>
        <v>727890.94551950519</v>
      </c>
      <c r="E112" s="697">
        <f>'COEFIC 2023'!P105</f>
        <v>0.65675616703162876</v>
      </c>
      <c r="F112" s="698">
        <f t="shared" si="14"/>
        <v>881380.18948169879</v>
      </c>
      <c r="G112" s="729">
        <f>FPART!J113</f>
        <v>0.94575136814049388</v>
      </c>
      <c r="H112" s="700">
        <f t="shared" si="15"/>
        <v>282048.3670427078</v>
      </c>
      <c r="I112" s="701">
        <f t="shared" si="16"/>
        <v>1891319.5020439117</v>
      </c>
      <c r="M112" s="702"/>
      <c r="N112" s="703"/>
      <c r="O112" s="704"/>
    </row>
    <row r="113" spans="1:15" s="675" customFormat="1" ht="12.75" x14ac:dyDescent="0.2">
      <c r="A113" s="694">
        <v>99</v>
      </c>
      <c r="B113" s="694" t="s">
        <v>139</v>
      </c>
      <c r="C113" s="695">
        <f>'COEFIC 2023'!I106</f>
        <v>0.30173646397461618</v>
      </c>
      <c r="D113" s="696">
        <f t="shared" si="13"/>
        <v>404936.49719878059</v>
      </c>
      <c r="E113" s="697">
        <f>'COEFIC 2023'!P106</f>
        <v>1.0151448119377655</v>
      </c>
      <c r="F113" s="698">
        <f t="shared" si="14"/>
        <v>1362345.0705320626</v>
      </c>
      <c r="G113" s="729">
        <f>FPART!J114</f>
        <v>0.47909435811536139</v>
      </c>
      <c r="H113" s="700">
        <f t="shared" si="15"/>
        <v>142878.75853829941</v>
      </c>
      <c r="I113" s="701">
        <f t="shared" si="16"/>
        <v>1910160.3262691426</v>
      </c>
      <c r="M113" s="702"/>
      <c r="N113" s="703"/>
      <c r="O113" s="704"/>
    </row>
    <row r="114" spans="1:15" s="675" customFormat="1" ht="12.75" x14ac:dyDescent="0.2">
      <c r="A114" s="694">
        <v>100</v>
      </c>
      <c r="B114" s="694" t="s">
        <v>125</v>
      </c>
      <c r="C114" s="695">
        <f>'COEFIC 2023'!I107</f>
        <v>0.31399207302152987</v>
      </c>
      <c r="D114" s="696">
        <f t="shared" si="13"/>
        <v>421383.77484339569</v>
      </c>
      <c r="E114" s="697">
        <f>'COEFIC 2023'!P107</f>
        <v>0.41005540499195375</v>
      </c>
      <c r="F114" s="698">
        <f t="shared" si="14"/>
        <v>550302.72830677137</v>
      </c>
      <c r="G114" s="729">
        <f>FPART!J115</f>
        <v>0.90675826255322967</v>
      </c>
      <c r="H114" s="700">
        <f t="shared" si="15"/>
        <v>270419.57946988568</v>
      </c>
      <c r="I114" s="701">
        <f t="shared" si="16"/>
        <v>1242106.0826200526</v>
      </c>
      <c r="M114" s="702"/>
      <c r="N114" s="703"/>
      <c r="O114" s="704"/>
    </row>
    <row r="115" spans="1:15" s="675" customFormat="1" ht="12.75" x14ac:dyDescent="0.2">
      <c r="A115" s="694">
        <v>101</v>
      </c>
      <c r="B115" s="694" t="s">
        <v>66</v>
      </c>
      <c r="C115" s="695">
        <f>'COEFIC 2023'!I108</f>
        <v>0.18646635414161672</v>
      </c>
      <c r="D115" s="696">
        <f t="shared" si="13"/>
        <v>250241.65557228011</v>
      </c>
      <c r="E115" s="697">
        <f>'COEFIC 2023'!P108</f>
        <v>1.1972559825788365</v>
      </c>
      <c r="F115" s="698">
        <f t="shared" si="14"/>
        <v>1606741.9808980846</v>
      </c>
      <c r="G115" s="729">
        <f>FPART!J116</f>
        <v>0.28176783207365719</v>
      </c>
      <c r="H115" s="700">
        <f t="shared" si="15"/>
        <v>84030.707856965135</v>
      </c>
      <c r="I115" s="701">
        <f t="shared" si="16"/>
        <v>1941014.3443273297</v>
      </c>
      <c r="M115" s="702"/>
      <c r="N115" s="703"/>
      <c r="O115" s="704"/>
    </row>
    <row r="116" spans="1:15" s="675" customFormat="1" ht="12.75" x14ac:dyDescent="0.2">
      <c r="A116" s="694">
        <v>102</v>
      </c>
      <c r="B116" s="694" t="s">
        <v>117</v>
      </c>
      <c r="C116" s="695">
        <f>'COEFIC 2023'!I109</f>
        <v>7.5131095007081719</v>
      </c>
      <c r="D116" s="696">
        <f t="shared" si="13"/>
        <v>10082746.394693566</v>
      </c>
      <c r="E116" s="697">
        <f>'COEFIC 2023'!P109</f>
        <v>3.2046435796815618</v>
      </c>
      <c r="F116" s="698">
        <f t="shared" si="14"/>
        <v>4300697.1342912707</v>
      </c>
      <c r="G116" s="729">
        <f>FPART!J117</f>
        <v>1.4657363346795347</v>
      </c>
      <c r="H116" s="700">
        <f t="shared" si="15"/>
        <v>437121.7992783424</v>
      </c>
      <c r="I116" s="701">
        <f t="shared" si="16"/>
        <v>14820565.32826318</v>
      </c>
      <c r="M116" s="702"/>
      <c r="N116" s="703"/>
      <c r="O116" s="704"/>
    </row>
    <row r="117" spans="1:15" s="675" customFormat="1" ht="12.75" x14ac:dyDescent="0.2">
      <c r="A117" s="694">
        <v>103</v>
      </c>
      <c r="B117" s="694" t="s">
        <v>356</v>
      </c>
      <c r="C117" s="695">
        <f>'COEFIC 2023'!I110</f>
        <v>0.49420427615467</v>
      </c>
      <c r="D117" s="696">
        <f t="shared" si="13"/>
        <v>663232.23203002161</v>
      </c>
      <c r="E117" s="697">
        <f>'COEFIC 2023'!P110</f>
        <v>0.56434491249142493</v>
      </c>
      <c r="F117" s="698">
        <f t="shared" si="14"/>
        <v>757362.39851824706</v>
      </c>
      <c r="G117" s="729">
        <f>FPART!J118</f>
        <v>0.97619221060691552</v>
      </c>
      <c r="H117" s="700">
        <f t="shared" si="15"/>
        <v>291126.64088749181</v>
      </c>
      <c r="I117" s="701">
        <f t="shared" si="16"/>
        <v>1711721.2714357604</v>
      </c>
      <c r="M117" s="702"/>
      <c r="N117" s="703"/>
      <c r="O117" s="704"/>
    </row>
    <row r="118" spans="1:15" s="675" customFormat="1" ht="12.75" x14ac:dyDescent="0.2">
      <c r="A118" s="694">
        <v>104</v>
      </c>
      <c r="B118" s="694" t="s">
        <v>109</v>
      </c>
      <c r="C118" s="695">
        <f>'COEFIC 2023'!I111</f>
        <v>0.33406010639216349</v>
      </c>
      <c r="D118" s="696">
        <f t="shared" si="13"/>
        <v>448315.48548827233</v>
      </c>
      <c r="E118" s="697">
        <f>'COEFIC 2023'!P111</f>
        <v>0.47064902069414494</v>
      </c>
      <c r="F118" s="698">
        <f t="shared" si="14"/>
        <v>631620.59811888158</v>
      </c>
      <c r="G118" s="729">
        <f>FPART!J119</f>
        <v>0.86801168304157472</v>
      </c>
      <c r="H118" s="700">
        <f t="shared" si="15"/>
        <v>258864.31257004512</v>
      </c>
      <c r="I118" s="701">
        <f t="shared" si="16"/>
        <v>1338800.3961771992</v>
      </c>
      <c r="M118" s="702"/>
      <c r="N118" s="703"/>
      <c r="O118" s="704"/>
    </row>
    <row r="119" spans="1:15" s="675" customFormat="1" ht="12.75" x14ac:dyDescent="0.2">
      <c r="A119" s="694">
        <v>105</v>
      </c>
      <c r="B119" s="694" t="s">
        <v>150</v>
      </c>
      <c r="C119" s="695">
        <f>'COEFIC 2023'!I112</f>
        <v>0.44183365811399233</v>
      </c>
      <c r="D119" s="696">
        <f t="shared" si="13"/>
        <v>592949.79302287765</v>
      </c>
      <c r="E119" s="697">
        <f>'COEFIC 2023'!P112</f>
        <v>0.4853513770445434</v>
      </c>
      <c r="F119" s="698">
        <f t="shared" si="14"/>
        <v>651351.46061616158</v>
      </c>
      <c r="G119" s="729">
        <f>FPART!J120</f>
        <v>0.99639666628438228</v>
      </c>
      <c r="H119" s="700">
        <f t="shared" si="15"/>
        <v>297152.1502579099</v>
      </c>
      <c r="I119" s="701">
        <f t="shared" si="16"/>
        <v>1541453.403896949</v>
      </c>
      <c r="M119" s="702"/>
      <c r="N119" s="703"/>
      <c r="O119" s="704"/>
    </row>
    <row r="120" spans="1:15" s="675" customFormat="1" ht="12.75" x14ac:dyDescent="0.2">
      <c r="A120" s="694">
        <v>106</v>
      </c>
      <c r="B120" s="694" t="s">
        <v>357</v>
      </c>
      <c r="C120" s="695">
        <f>'COEFIC 2023'!I113</f>
        <v>0.68022841759871766</v>
      </c>
      <c r="D120" s="696">
        <f t="shared" si="13"/>
        <v>912880.42913058889</v>
      </c>
      <c r="E120" s="697">
        <f>'COEFIC 2023'!P113</f>
        <v>0.6649816513046064</v>
      </c>
      <c r="F120" s="698">
        <f t="shared" si="14"/>
        <v>892418.95737003547</v>
      </c>
      <c r="G120" s="729">
        <f>FPART!J121</f>
        <v>1.0573153678859981</v>
      </c>
      <c r="H120" s="700">
        <f t="shared" si="15"/>
        <v>315319.73730870156</v>
      </c>
      <c r="I120" s="701">
        <f t="shared" si="16"/>
        <v>2120619.123809326</v>
      </c>
      <c r="M120" s="702"/>
      <c r="N120" s="703"/>
      <c r="O120" s="704"/>
    </row>
    <row r="121" spans="1:15" s="675" customFormat="1" ht="12.75" x14ac:dyDescent="0.2">
      <c r="A121" s="694">
        <v>107</v>
      </c>
      <c r="B121" s="694" t="s">
        <v>358</v>
      </c>
      <c r="C121" s="695">
        <f>'COEFIC 2023'!I114</f>
        <v>1.6178456829301266</v>
      </c>
      <c r="D121" s="696">
        <f t="shared" si="13"/>
        <v>2171181.9487253204</v>
      </c>
      <c r="E121" s="697">
        <f>'COEFIC 2023'!P114</f>
        <v>1.0775803879663932</v>
      </c>
      <c r="F121" s="698">
        <f t="shared" si="14"/>
        <v>1446134.8887217115</v>
      </c>
      <c r="G121" s="729">
        <f>FPART!J122</f>
        <v>1.2550168374600785</v>
      </c>
      <c r="H121" s="700">
        <f t="shared" si="15"/>
        <v>374279.60618517932</v>
      </c>
      <c r="I121" s="701">
        <f t="shared" si="16"/>
        <v>3991596.4436322111</v>
      </c>
      <c r="M121" s="702"/>
      <c r="N121" s="703"/>
      <c r="O121" s="704"/>
    </row>
    <row r="122" spans="1:15" s="675" customFormat="1" ht="12.75" x14ac:dyDescent="0.2">
      <c r="A122" s="694">
        <v>108</v>
      </c>
      <c r="B122" s="694" t="s">
        <v>149</v>
      </c>
      <c r="C122" s="695">
        <f>'COEFIC 2023'!I115</f>
        <v>4.313890153523614</v>
      </c>
      <c r="D122" s="696">
        <f t="shared" si="13"/>
        <v>5789328.6911956305</v>
      </c>
      <c r="E122" s="697">
        <f>'COEFIC 2023'!P115</f>
        <v>2.6970472672578447</v>
      </c>
      <c r="F122" s="698">
        <f t="shared" si="14"/>
        <v>3619492.5160745955</v>
      </c>
      <c r="G122" s="729">
        <f>FPART!J123</f>
        <v>1.2865683823402381</v>
      </c>
      <c r="H122" s="700">
        <f t="shared" si="15"/>
        <v>383689.12121302512</v>
      </c>
      <c r="I122" s="701">
        <f t="shared" si="16"/>
        <v>9792510.32848325</v>
      </c>
      <c r="M122" s="702"/>
      <c r="N122" s="703"/>
      <c r="O122" s="704"/>
    </row>
    <row r="123" spans="1:15" s="675" customFormat="1" ht="12.75" x14ac:dyDescent="0.2">
      <c r="A123" s="694">
        <v>109</v>
      </c>
      <c r="B123" s="694" t="s">
        <v>50</v>
      </c>
      <c r="C123" s="695">
        <f>'COEFIC 2023'!I116</f>
        <v>6.8058639930627357E-2</v>
      </c>
      <c r="D123" s="696">
        <f t="shared" si="13"/>
        <v>91336.084789340413</v>
      </c>
      <c r="E123" s="697">
        <f>'COEFIC 2023'!P116</f>
        <v>0.2211655189413736</v>
      </c>
      <c r="F123" s="698">
        <f t="shared" si="14"/>
        <v>296808.64341541601</v>
      </c>
      <c r="G123" s="729">
        <f>FPART!J124</f>
        <v>0.49202659964457895</v>
      </c>
      <c r="H123" s="700">
        <f t="shared" si="15"/>
        <v>146735.49903944123</v>
      </c>
      <c r="I123" s="701">
        <f t="shared" si="16"/>
        <v>534880.22724419762</v>
      </c>
      <c r="M123" s="702"/>
      <c r="N123" s="703"/>
      <c r="O123" s="704"/>
    </row>
    <row r="124" spans="1:15" s="675" customFormat="1" ht="12.75" x14ac:dyDescent="0.2">
      <c r="A124" s="694">
        <v>110</v>
      </c>
      <c r="B124" s="694" t="s">
        <v>111</v>
      </c>
      <c r="C124" s="695">
        <f>'COEFIC 2023'!I117</f>
        <v>1.0319349163986367</v>
      </c>
      <c r="D124" s="696">
        <f t="shared" si="13"/>
        <v>1384877.7336329292</v>
      </c>
      <c r="E124" s="697">
        <f>'COEFIC 2023'!P117</f>
        <v>0.93707100970791035</v>
      </c>
      <c r="F124" s="698">
        <f t="shared" si="14"/>
        <v>1257568.4333914898</v>
      </c>
      <c r="G124" s="729">
        <f>FPART!J125</f>
        <v>1.0958349989493676</v>
      </c>
      <c r="H124" s="700">
        <f t="shared" si="15"/>
        <v>326807.32210794138</v>
      </c>
      <c r="I124" s="701">
        <f t="shared" si="16"/>
        <v>2969253.4891323601</v>
      </c>
      <c r="M124" s="702"/>
      <c r="N124" s="703"/>
      <c r="O124" s="704"/>
    </row>
    <row r="125" spans="1:15" s="675" customFormat="1" ht="12.75" x14ac:dyDescent="0.2">
      <c r="A125" s="694">
        <v>111</v>
      </c>
      <c r="B125" s="694" t="s">
        <v>140</v>
      </c>
      <c r="C125" s="695">
        <f>'COEFIC 2023'!I118</f>
        <v>0.38750466955550888</v>
      </c>
      <c r="D125" s="696">
        <f t="shared" si="13"/>
        <v>520039.18078386213</v>
      </c>
      <c r="E125" s="697">
        <f>'COEFIC 2023'!P118</f>
        <v>0.45366995431345297</v>
      </c>
      <c r="F125" s="698">
        <f t="shared" si="14"/>
        <v>608834.34426233289</v>
      </c>
      <c r="G125" s="729">
        <f>FPART!J126</f>
        <v>0.96323146383146219</v>
      </c>
      <c r="H125" s="700">
        <f t="shared" si="15"/>
        <v>287261.39935909933</v>
      </c>
      <c r="I125" s="701">
        <f t="shared" si="16"/>
        <v>1416134.9244052942</v>
      </c>
      <c r="M125" s="702"/>
      <c r="N125" s="703"/>
      <c r="O125" s="704"/>
    </row>
    <row r="126" spans="1:15" s="675" customFormat="1" ht="12.75" x14ac:dyDescent="0.2">
      <c r="A126" s="694">
        <v>112</v>
      </c>
      <c r="B126" s="694" t="s">
        <v>142</v>
      </c>
      <c r="C126" s="695">
        <f>'COEFIC 2023'!I119</f>
        <v>3.3072455918764265</v>
      </c>
      <c r="D126" s="696">
        <f t="shared" si="13"/>
        <v>4438391.1301592356</v>
      </c>
      <c r="E126" s="697">
        <f>'COEFIC 2023'!P119</f>
        <v>1.8287280295210968</v>
      </c>
      <c r="F126" s="698">
        <f t="shared" si="14"/>
        <v>2454190.364827096</v>
      </c>
      <c r="G126" s="729">
        <f>FPART!J127</f>
        <v>1.3464292708166699</v>
      </c>
      <c r="H126" s="700">
        <f t="shared" si="15"/>
        <v>401541.24008196144</v>
      </c>
      <c r="I126" s="701">
        <f t="shared" si="16"/>
        <v>7294122.7350682924</v>
      </c>
      <c r="M126" s="702"/>
      <c r="N126" s="703"/>
      <c r="O126" s="704"/>
    </row>
    <row r="127" spans="1:15" s="675" customFormat="1" ht="12.75" x14ac:dyDescent="0.2">
      <c r="A127" s="694">
        <v>113</v>
      </c>
      <c r="B127" s="694" t="s">
        <v>101</v>
      </c>
      <c r="C127" s="730">
        <f>'COEFIC 2023'!I120</f>
        <v>0.55198673530369269</v>
      </c>
      <c r="D127" s="731">
        <f t="shared" si="13"/>
        <v>740777.47233384289</v>
      </c>
      <c r="E127" s="732">
        <f>'COEFIC 2023'!P120</f>
        <v>0.58979875485710986</v>
      </c>
      <c r="F127" s="733">
        <f t="shared" si="14"/>
        <v>791521.97483209125</v>
      </c>
      <c r="G127" s="699">
        <f>FPART!J128</f>
        <v>1.0108436899472564</v>
      </c>
      <c r="H127" s="700">
        <f t="shared" si="15"/>
        <v>301460.63932808983</v>
      </c>
      <c r="I127" s="701">
        <f t="shared" si="16"/>
        <v>1833760.0864940239</v>
      </c>
      <c r="J127" s="706"/>
      <c r="K127" s="706"/>
      <c r="L127" s="706"/>
      <c r="M127" s="702"/>
      <c r="N127" s="703"/>
      <c r="O127" s="704"/>
    </row>
    <row r="128" spans="1:15" s="706" customFormat="1" ht="13.5" thickBot="1" x14ac:dyDescent="0.25">
      <c r="A128" s="717"/>
      <c r="B128" s="718" t="s">
        <v>156</v>
      </c>
      <c r="C128" s="734">
        <f t="shared" ref="C128:I128" si="17">SUM(C15:C127)</f>
        <v>100.00000000000004</v>
      </c>
      <c r="D128" s="721">
        <f t="shared" si="17"/>
        <v>134202042.35999998</v>
      </c>
      <c r="E128" s="734">
        <f t="shared" si="17"/>
        <v>99.999999999999915</v>
      </c>
      <c r="F128" s="721">
        <f t="shared" si="17"/>
        <v>134202042.36000001</v>
      </c>
      <c r="G128" s="735">
        <f t="shared" si="17"/>
        <v>100.00000000000006</v>
      </c>
      <c r="H128" s="720">
        <f t="shared" si="17"/>
        <v>29822676.080000028</v>
      </c>
      <c r="I128" s="720">
        <f t="shared" si="17"/>
        <v>298226760.79999989</v>
      </c>
      <c r="M128" s="736"/>
    </row>
    <row r="129" spans="1:9" s="675" customFormat="1" ht="13.5" thickTop="1" x14ac:dyDescent="0.2">
      <c r="D129" s="680"/>
      <c r="F129" s="680"/>
      <c r="H129" s="680"/>
      <c r="I129" s="680"/>
    </row>
    <row r="130" spans="1:9" s="675" customFormat="1" ht="12.75" x14ac:dyDescent="0.2">
      <c r="D130" s="680"/>
      <c r="E130" s="680"/>
      <c r="F130" s="680"/>
      <c r="G130" s="680"/>
      <c r="H130" s="680"/>
      <c r="I130" s="680"/>
    </row>
    <row r="131" spans="1:9" s="675" customFormat="1" ht="12.75" x14ac:dyDescent="0.2">
      <c r="H131" s="680"/>
    </row>
    <row r="132" spans="1:9" s="675" customFormat="1" ht="12.75" x14ac:dyDescent="0.2">
      <c r="D132" s="680"/>
    </row>
    <row r="133" spans="1:9" s="675" customFormat="1" ht="12.75" x14ac:dyDescent="0.2"/>
    <row r="134" spans="1:9" s="675" customFormat="1" ht="12.75" x14ac:dyDescent="0.2">
      <c r="C134" s="711" t="s">
        <v>7</v>
      </c>
      <c r="D134" s="711"/>
      <c r="I134" s="681"/>
    </row>
    <row r="135" spans="1:9" s="675" customFormat="1" ht="12.75" x14ac:dyDescent="0.2">
      <c r="A135" s="675" t="s">
        <v>7</v>
      </c>
      <c r="B135" s="675" t="s">
        <v>7</v>
      </c>
      <c r="I135" s="681"/>
    </row>
    <row r="136" spans="1:9" s="675" customFormat="1" ht="12.75" x14ac:dyDescent="0.2">
      <c r="A136" s="675" t="s">
        <v>7</v>
      </c>
      <c r="B136" s="675" t="s">
        <v>7</v>
      </c>
      <c r="I136" s="681"/>
    </row>
    <row r="137" spans="1:9" s="675" customFormat="1" ht="12.75" x14ac:dyDescent="0.2">
      <c r="I137" s="681"/>
    </row>
    <row r="138" spans="1:9" s="675" customFormat="1" ht="12.75" x14ac:dyDescent="0.2">
      <c r="I138" s="681"/>
    </row>
    <row r="139" spans="1:9" s="675" customFormat="1" ht="12.75" x14ac:dyDescent="0.2">
      <c r="I139" s="681"/>
    </row>
    <row r="140" spans="1:9" s="675" customFormat="1" ht="12.75" x14ac:dyDescent="0.2">
      <c r="I140" s="681"/>
    </row>
    <row r="141" spans="1:9" s="675" customFormat="1" ht="12.75" x14ac:dyDescent="0.2">
      <c r="I141" s="681"/>
    </row>
    <row r="142" spans="1:9" s="675" customFormat="1" ht="12.75" x14ac:dyDescent="0.2">
      <c r="I142" s="681"/>
    </row>
    <row r="143" spans="1:9" s="675" customFormat="1" ht="12.75" x14ac:dyDescent="0.2">
      <c r="I143" s="681"/>
    </row>
    <row r="144" spans="1:9" s="675" customFormat="1" ht="12.75" x14ac:dyDescent="0.2">
      <c r="I144" s="681"/>
    </row>
    <row r="145" spans="9:9" s="675" customFormat="1" ht="12.75" x14ac:dyDescent="0.2">
      <c r="I145" s="681"/>
    </row>
    <row r="146" spans="9:9" s="675" customFormat="1" ht="12.75" x14ac:dyDescent="0.2">
      <c r="I146" s="681"/>
    </row>
    <row r="147" spans="9:9" s="675" customFormat="1" ht="12.75" x14ac:dyDescent="0.2">
      <c r="I147" s="681"/>
    </row>
    <row r="148" spans="9:9" s="675" customFormat="1" ht="12.75" x14ac:dyDescent="0.2">
      <c r="I148" s="681"/>
    </row>
    <row r="149" spans="9:9" s="675" customFormat="1" ht="12.75" x14ac:dyDescent="0.2">
      <c r="I149" s="681"/>
    </row>
    <row r="150" spans="9:9" s="675" customFormat="1" ht="12.75" x14ac:dyDescent="0.2">
      <c r="I150" s="681"/>
    </row>
    <row r="151" spans="9:9" s="675" customFormat="1" ht="12.75" x14ac:dyDescent="0.2">
      <c r="I151" s="681"/>
    </row>
    <row r="152" spans="9:9" s="675" customFormat="1" ht="12.75" x14ac:dyDescent="0.2">
      <c r="I152" s="681"/>
    </row>
    <row r="153" spans="9:9" s="675" customFormat="1" ht="12.75" x14ac:dyDescent="0.2">
      <c r="I153" s="681"/>
    </row>
    <row r="154" spans="9:9" s="675" customFormat="1" ht="12.75" x14ac:dyDescent="0.2">
      <c r="I154" s="681"/>
    </row>
    <row r="155" spans="9:9" s="675" customFormat="1" ht="12.75" x14ac:dyDescent="0.2">
      <c r="I155" s="681"/>
    </row>
    <row r="156" spans="9:9" s="675" customFormat="1" ht="12.75" x14ac:dyDescent="0.2">
      <c r="I156" s="681"/>
    </row>
    <row r="157" spans="9:9" s="675" customFormat="1" ht="12.75" x14ac:dyDescent="0.2">
      <c r="I157" s="681"/>
    </row>
    <row r="158" spans="9:9" s="675" customFormat="1" ht="12.75" x14ac:dyDescent="0.2">
      <c r="I158" s="681"/>
    </row>
    <row r="159" spans="9:9" s="675" customFormat="1" ht="12.75" x14ac:dyDescent="0.2">
      <c r="I159" s="681"/>
    </row>
    <row r="160" spans="9:9" s="675" customFormat="1" ht="12.75" x14ac:dyDescent="0.2">
      <c r="I160" s="681"/>
    </row>
    <row r="161" spans="9:9" s="675" customFormat="1" ht="12.75" x14ac:dyDescent="0.2">
      <c r="I161" s="681"/>
    </row>
    <row r="162" spans="9:9" s="675" customFormat="1" ht="12.75" x14ac:dyDescent="0.2">
      <c r="I162" s="681"/>
    </row>
    <row r="163" spans="9:9" s="675" customFormat="1" ht="12.75" x14ac:dyDescent="0.2">
      <c r="I163" s="681"/>
    </row>
    <row r="164" spans="9:9" s="675" customFormat="1" ht="12.75" x14ac:dyDescent="0.2">
      <c r="I164" s="681"/>
    </row>
    <row r="165" spans="9:9" s="675" customFormat="1" ht="12.75" x14ac:dyDescent="0.2">
      <c r="I165" s="681"/>
    </row>
    <row r="166" spans="9:9" s="675" customFormat="1" ht="12.75" x14ac:dyDescent="0.2">
      <c r="I166" s="681"/>
    </row>
    <row r="167" spans="9:9" s="675" customFormat="1" ht="12.75" x14ac:dyDescent="0.2">
      <c r="I167" s="681"/>
    </row>
    <row r="168" spans="9:9" s="675" customFormat="1" ht="12.75" x14ac:dyDescent="0.2">
      <c r="I168" s="681"/>
    </row>
    <row r="169" spans="9:9" s="675" customFormat="1" ht="12.75" x14ac:dyDescent="0.2">
      <c r="I169" s="681"/>
    </row>
    <row r="170" spans="9:9" s="675" customFormat="1" ht="12.75" x14ac:dyDescent="0.2">
      <c r="I170" s="681"/>
    </row>
    <row r="171" spans="9:9" s="675" customFormat="1" ht="12.75" x14ac:dyDescent="0.2">
      <c r="I171" s="681"/>
    </row>
    <row r="172" spans="9:9" s="675" customFormat="1" ht="12.75" x14ac:dyDescent="0.2">
      <c r="I172" s="681"/>
    </row>
    <row r="173" spans="9:9" s="675" customFormat="1" ht="12.75" x14ac:dyDescent="0.2">
      <c r="I173" s="681"/>
    </row>
    <row r="174" spans="9:9" s="675" customFormat="1" ht="12.75" x14ac:dyDescent="0.2">
      <c r="I174" s="681"/>
    </row>
    <row r="175" spans="9:9" s="675" customFormat="1" ht="12.75" x14ac:dyDescent="0.2">
      <c r="I175" s="681"/>
    </row>
    <row r="176" spans="9:9" s="675" customFormat="1" ht="12.75" x14ac:dyDescent="0.2">
      <c r="I176" s="681"/>
    </row>
    <row r="177" spans="9:9" s="675" customFormat="1" ht="12.75" x14ac:dyDescent="0.2">
      <c r="I177" s="681"/>
    </row>
    <row r="178" spans="9:9" s="675" customFormat="1" ht="12.75" x14ac:dyDescent="0.2">
      <c r="I178" s="681"/>
    </row>
    <row r="179" spans="9:9" s="675" customFormat="1" ht="12.75" x14ac:dyDescent="0.2">
      <c r="I179" s="681"/>
    </row>
    <row r="180" spans="9:9" s="675" customFormat="1" ht="12.75" x14ac:dyDescent="0.2">
      <c r="I180" s="681"/>
    </row>
    <row r="181" spans="9:9" s="675" customFormat="1" ht="12.75" x14ac:dyDescent="0.2">
      <c r="I181" s="681"/>
    </row>
    <row r="182" spans="9:9" s="675" customFormat="1" ht="12.75" x14ac:dyDescent="0.2">
      <c r="I182" s="681"/>
    </row>
    <row r="183" spans="9:9" s="675" customFormat="1" ht="12.75" x14ac:dyDescent="0.2">
      <c r="I183" s="681"/>
    </row>
    <row r="184" spans="9:9" s="675" customFormat="1" ht="12.75" x14ac:dyDescent="0.2">
      <c r="I184" s="681"/>
    </row>
    <row r="185" spans="9:9" s="675" customFormat="1" ht="12.75" x14ac:dyDescent="0.2">
      <c r="I185" s="681"/>
    </row>
    <row r="186" spans="9:9" s="675" customFormat="1" ht="12.75" x14ac:dyDescent="0.2">
      <c r="I186" s="681"/>
    </row>
    <row r="187" spans="9:9" s="675" customFormat="1" ht="12.75" x14ac:dyDescent="0.2">
      <c r="I187" s="681"/>
    </row>
    <row r="188" spans="9:9" s="675" customFormat="1" ht="12.75" x14ac:dyDescent="0.2">
      <c r="I188" s="681"/>
    </row>
    <row r="189" spans="9:9" s="675" customFormat="1" ht="12.75" x14ac:dyDescent="0.2">
      <c r="I189" s="681"/>
    </row>
    <row r="190" spans="9:9" s="675" customFormat="1" ht="12.75" x14ac:dyDescent="0.2">
      <c r="I190" s="681"/>
    </row>
    <row r="191" spans="9:9" s="675" customFormat="1" ht="12.75" x14ac:dyDescent="0.2">
      <c r="I191" s="681"/>
    </row>
    <row r="192" spans="9:9" s="675" customFormat="1" ht="12.75" x14ac:dyDescent="0.2">
      <c r="I192" s="681"/>
    </row>
    <row r="193" spans="9:9" s="675" customFormat="1" ht="12.75" x14ac:dyDescent="0.2">
      <c r="I193" s="681"/>
    </row>
    <row r="194" spans="9:9" s="675" customFormat="1" ht="12.75" x14ac:dyDescent="0.2">
      <c r="I194" s="681"/>
    </row>
    <row r="195" spans="9:9" s="675" customFormat="1" ht="12.75" x14ac:dyDescent="0.2">
      <c r="I195" s="681"/>
    </row>
    <row r="196" spans="9:9" s="675" customFormat="1" ht="12.75" x14ac:dyDescent="0.2">
      <c r="I196" s="681"/>
    </row>
    <row r="197" spans="9:9" s="675" customFormat="1" ht="12.75" x14ac:dyDescent="0.2">
      <c r="I197" s="681"/>
    </row>
    <row r="198" spans="9:9" s="675" customFormat="1" ht="12.75" x14ac:dyDescent="0.2">
      <c r="I198" s="681"/>
    </row>
    <row r="199" spans="9:9" s="675" customFormat="1" ht="12.75" x14ac:dyDescent="0.2">
      <c r="I199" s="681"/>
    </row>
    <row r="200" spans="9:9" s="675" customFormat="1" ht="12.75" x14ac:dyDescent="0.2">
      <c r="I200" s="681"/>
    </row>
    <row r="201" spans="9:9" s="675" customFormat="1" ht="12.75" x14ac:dyDescent="0.2">
      <c r="I201" s="681"/>
    </row>
    <row r="202" spans="9:9" s="675" customFormat="1" ht="12.75" x14ac:dyDescent="0.2">
      <c r="I202" s="681"/>
    </row>
    <row r="203" spans="9:9" s="675" customFormat="1" ht="12.75" x14ac:dyDescent="0.2">
      <c r="I203" s="681"/>
    </row>
    <row r="204" spans="9:9" s="675" customFormat="1" ht="12.75" x14ac:dyDescent="0.2">
      <c r="I204" s="681"/>
    </row>
    <row r="205" spans="9:9" s="675" customFormat="1" ht="12.75" x14ac:dyDescent="0.2">
      <c r="I205" s="681"/>
    </row>
    <row r="206" spans="9:9" s="675" customFormat="1" ht="12.75" x14ac:dyDescent="0.2">
      <c r="I206" s="681"/>
    </row>
    <row r="207" spans="9:9" s="675" customFormat="1" ht="12.75" x14ac:dyDescent="0.2">
      <c r="I207" s="681"/>
    </row>
    <row r="208" spans="9:9" s="675" customFormat="1" ht="12.75" x14ac:dyDescent="0.2">
      <c r="I208" s="681"/>
    </row>
    <row r="209" spans="9:9" s="675" customFormat="1" ht="12.75" x14ac:dyDescent="0.2">
      <c r="I209" s="681"/>
    </row>
    <row r="210" spans="9:9" s="675" customFormat="1" ht="12.75" x14ac:dyDescent="0.2">
      <c r="I210" s="681"/>
    </row>
    <row r="211" spans="9:9" s="675" customFormat="1" ht="12.75" x14ac:dyDescent="0.2">
      <c r="I211" s="681"/>
    </row>
    <row r="212" spans="9:9" s="675" customFormat="1" ht="12.75" x14ac:dyDescent="0.2">
      <c r="I212" s="681"/>
    </row>
    <row r="213" spans="9:9" s="675" customFormat="1" ht="12.75" x14ac:dyDescent="0.2">
      <c r="I213" s="681"/>
    </row>
    <row r="214" spans="9:9" s="675" customFormat="1" ht="12.75" x14ac:dyDescent="0.2">
      <c r="I214" s="681"/>
    </row>
    <row r="215" spans="9:9" s="675" customFormat="1" ht="12.75" x14ac:dyDescent="0.2">
      <c r="I215" s="681"/>
    </row>
    <row r="216" spans="9:9" s="675" customFormat="1" ht="12.75" x14ac:dyDescent="0.2">
      <c r="I216" s="681"/>
    </row>
    <row r="217" spans="9:9" s="675" customFormat="1" ht="12.75" x14ac:dyDescent="0.2">
      <c r="I217" s="681"/>
    </row>
    <row r="218" spans="9:9" s="675" customFormat="1" ht="12.75" x14ac:dyDescent="0.2">
      <c r="I218" s="681"/>
    </row>
    <row r="219" spans="9:9" s="675" customFormat="1" ht="12.75" x14ac:dyDescent="0.2">
      <c r="I219" s="681"/>
    </row>
    <row r="220" spans="9:9" s="675" customFormat="1" ht="12.75" x14ac:dyDescent="0.2">
      <c r="I220" s="681"/>
    </row>
    <row r="221" spans="9:9" s="675" customFormat="1" ht="12.75" x14ac:dyDescent="0.2">
      <c r="I221" s="681"/>
    </row>
    <row r="222" spans="9:9" s="675" customFormat="1" ht="12.75" x14ac:dyDescent="0.2">
      <c r="I222" s="681"/>
    </row>
    <row r="223" spans="9:9" s="675" customFormat="1" ht="12.75" x14ac:dyDescent="0.2">
      <c r="I223" s="681"/>
    </row>
    <row r="224" spans="9:9" s="675" customFormat="1" ht="12.75" x14ac:dyDescent="0.2">
      <c r="I224" s="681"/>
    </row>
    <row r="225" spans="9:9" s="675" customFormat="1" ht="12.75" x14ac:dyDescent="0.2">
      <c r="I225" s="681"/>
    </row>
    <row r="226" spans="9:9" s="675" customFormat="1" ht="12.75" x14ac:dyDescent="0.2">
      <c r="I226" s="681"/>
    </row>
    <row r="227" spans="9:9" s="675" customFormat="1" ht="12.75" x14ac:dyDescent="0.2">
      <c r="I227" s="681"/>
    </row>
    <row r="228" spans="9:9" s="675" customFormat="1" ht="12.75" x14ac:dyDescent="0.2">
      <c r="I228" s="681"/>
    </row>
    <row r="229" spans="9:9" s="675" customFormat="1" ht="12.75" x14ac:dyDescent="0.2">
      <c r="I229" s="681"/>
    </row>
    <row r="230" spans="9:9" s="675" customFormat="1" ht="12.75" x14ac:dyDescent="0.2">
      <c r="I230" s="681"/>
    </row>
    <row r="231" spans="9:9" s="675" customFormat="1" ht="12.75" x14ac:dyDescent="0.2">
      <c r="I231" s="681"/>
    </row>
    <row r="232" spans="9:9" s="675" customFormat="1" ht="12.75" x14ac:dyDescent="0.2">
      <c r="I232" s="681"/>
    </row>
    <row r="233" spans="9:9" s="675" customFormat="1" ht="12.75" x14ac:dyDescent="0.2">
      <c r="I233" s="681"/>
    </row>
    <row r="234" spans="9:9" s="675" customFormat="1" ht="12.75" x14ac:dyDescent="0.2">
      <c r="I234" s="681"/>
    </row>
    <row r="235" spans="9:9" s="675" customFormat="1" ht="12.75" x14ac:dyDescent="0.2">
      <c r="I235" s="681"/>
    </row>
    <row r="236" spans="9:9" s="675" customFormat="1" ht="12.75" x14ac:dyDescent="0.2">
      <c r="I236" s="681"/>
    </row>
    <row r="237" spans="9:9" s="675" customFormat="1" ht="12.75" x14ac:dyDescent="0.2">
      <c r="I237" s="681"/>
    </row>
    <row r="238" spans="9:9" s="675" customFormat="1" ht="12.75" x14ac:dyDescent="0.2">
      <c r="I238" s="681"/>
    </row>
    <row r="239" spans="9:9" s="675" customFormat="1" ht="12.75" x14ac:dyDescent="0.2">
      <c r="I239" s="681"/>
    </row>
    <row r="240" spans="9:9" s="675" customFormat="1" ht="12.75" x14ac:dyDescent="0.2">
      <c r="I240" s="681"/>
    </row>
    <row r="241" spans="9:9" s="675" customFormat="1" ht="12.75" x14ac:dyDescent="0.2">
      <c r="I241" s="681"/>
    </row>
    <row r="242" spans="9:9" s="675" customFormat="1" ht="12.75" x14ac:dyDescent="0.2">
      <c r="I242" s="681"/>
    </row>
    <row r="243" spans="9:9" s="675" customFormat="1" ht="12.75" x14ac:dyDescent="0.2">
      <c r="I243" s="681"/>
    </row>
    <row r="244" spans="9:9" s="675" customFormat="1" ht="12.75" x14ac:dyDescent="0.2">
      <c r="I244" s="681"/>
    </row>
    <row r="245" spans="9:9" s="675" customFormat="1" ht="12.75" x14ac:dyDescent="0.2">
      <c r="I245" s="681"/>
    </row>
    <row r="246" spans="9:9" s="675" customFormat="1" ht="12.75" x14ac:dyDescent="0.2">
      <c r="I246" s="681"/>
    </row>
    <row r="247" spans="9:9" s="675" customFormat="1" ht="12.75" x14ac:dyDescent="0.2">
      <c r="I247" s="681"/>
    </row>
    <row r="248" spans="9:9" s="675" customFormat="1" ht="12.75" x14ac:dyDescent="0.2">
      <c r="I248" s="681"/>
    </row>
    <row r="249" spans="9:9" s="675" customFormat="1" ht="12.75" x14ac:dyDescent="0.2">
      <c r="I249" s="681"/>
    </row>
    <row r="250" spans="9:9" s="675" customFormat="1" ht="12.75" x14ac:dyDescent="0.2">
      <c r="I250" s="681"/>
    </row>
    <row r="251" spans="9:9" s="675" customFormat="1" ht="12.75" x14ac:dyDescent="0.2">
      <c r="I251" s="681"/>
    </row>
    <row r="252" spans="9:9" s="675" customFormat="1" ht="12.75" x14ac:dyDescent="0.2">
      <c r="I252" s="681"/>
    </row>
    <row r="253" spans="9:9" s="675" customFormat="1" ht="12.75" x14ac:dyDescent="0.2">
      <c r="I253" s="681"/>
    </row>
    <row r="254" spans="9:9" s="675" customFormat="1" ht="12.75" x14ac:dyDescent="0.2">
      <c r="I254" s="681"/>
    </row>
    <row r="255" spans="9:9" s="675" customFormat="1" ht="12.75" x14ac:dyDescent="0.2">
      <c r="I255" s="681"/>
    </row>
    <row r="256" spans="9:9" s="675" customFormat="1" ht="12.75" x14ac:dyDescent="0.2">
      <c r="I256" s="681"/>
    </row>
    <row r="257" spans="9:9" s="675" customFormat="1" ht="12.75" x14ac:dyDescent="0.2">
      <c r="I257" s="681"/>
    </row>
    <row r="258" spans="9:9" s="675" customFormat="1" ht="12.75" x14ac:dyDescent="0.2">
      <c r="I258" s="681"/>
    </row>
    <row r="259" spans="9:9" s="675" customFormat="1" ht="12.75" x14ac:dyDescent="0.2">
      <c r="I259" s="681"/>
    </row>
    <row r="260" spans="9:9" s="675" customFormat="1" ht="12.75" x14ac:dyDescent="0.2">
      <c r="I260" s="681"/>
    </row>
    <row r="261" spans="9:9" s="675" customFormat="1" ht="12.75" x14ac:dyDescent="0.2">
      <c r="I261" s="681"/>
    </row>
    <row r="262" spans="9:9" s="675" customFormat="1" ht="12.75" x14ac:dyDescent="0.2">
      <c r="I262" s="681"/>
    </row>
    <row r="263" spans="9:9" s="675" customFormat="1" ht="12.75" x14ac:dyDescent="0.2">
      <c r="I263" s="681"/>
    </row>
    <row r="264" spans="9:9" s="675" customFormat="1" ht="12.75" x14ac:dyDescent="0.2">
      <c r="I264" s="681"/>
    </row>
    <row r="265" spans="9:9" s="675" customFormat="1" ht="12.75" x14ac:dyDescent="0.2">
      <c r="I265" s="681"/>
    </row>
    <row r="266" spans="9:9" s="675" customFormat="1" ht="12.75" x14ac:dyDescent="0.2">
      <c r="I266" s="681"/>
    </row>
    <row r="267" spans="9:9" s="675" customFormat="1" ht="12.75" x14ac:dyDescent="0.2">
      <c r="I267" s="681"/>
    </row>
    <row r="268" spans="9:9" s="675" customFormat="1" ht="12.75" x14ac:dyDescent="0.2">
      <c r="I268" s="681"/>
    </row>
    <row r="269" spans="9:9" s="675" customFormat="1" ht="12.75" x14ac:dyDescent="0.2">
      <c r="I269" s="681"/>
    </row>
    <row r="270" spans="9:9" s="675" customFormat="1" ht="12.75" x14ac:dyDescent="0.2">
      <c r="I270" s="681"/>
    </row>
    <row r="271" spans="9:9" s="675" customFormat="1" ht="12.75" x14ac:dyDescent="0.2">
      <c r="I271" s="681"/>
    </row>
    <row r="272" spans="9:9" s="675" customFormat="1" ht="12.75" x14ac:dyDescent="0.2">
      <c r="I272" s="681"/>
    </row>
    <row r="273" spans="9:9" s="675" customFormat="1" ht="12.75" x14ac:dyDescent="0.2">
      <c r="I273" s="681"/>
    </row>
    <row r="274" spans="9:9" s="675" customFormat="1" ht="12.75" x14ac:dyDescent="0.2">
      <c r="I274" s="681"/>
    </row>
    <row r="275" spans="9:9" s="675" customFormat="1" ht="12.75" x14ac:dyDescent="0.2">
      <c r="I275" s="681"/>
    </row>
    <row r="276" spans="9:9" s="675" customFormat="1" ht="12.75" x14ac:dyDescent="0.2">
      <c r="I276" s="681"/>
    </row>
    <row r="277" spans="9:9" s="675" customFormat="1" ht="12.75" x14ac:dyDescent="0.2">
      <c r="I277" s="681"/>
    </row>
    <row r="278" spans="9:9" s="675" customFormat="1" ht="12.75" x14ac:dyDescent="0.2">
      <c r="I278" s="681"/>
    </row>
    <row r="279" spans="9:9" s="675" customFormat="1" ht="12.75" x14ac:dyDescent="0.2">
      <c r="I279" s="681"/>
    </row>
    <row r="280" spans="9:9" s="675" customFormat="1" ht="12.75" x14ac:dyDescent="0.2">
      <c r="I280" s="681"/>
    </row>
    <row r="281" spans="9:9" s="675" customFormat="1" ht="12.75" x14ac:dyDescent="0.2">
      <c r="I281" s="681"/>
    </row>
    <row r="282" spans="9:9" s="675" customFormat="1" ht="12.75" x14ac:dyDescent="0.2">
      <c r="I282" s="681"/>
    </row>
    <row r="283" spans="9:9" s="675" customFormat="1" ht="12.75" x14ac:dyDescent="0.2">
      <c r="I283" s="681"/>
    </row>
    <row r="284" spans="9:9" s="675" customFormat="1" ht="12.75" x14ac:dyDescent="0.2">
      <c r="I284" s="681"/>
    </row>
    <row r="285" spans="9:9" s="675" customFormat="1" ht="12.75" x14ac:dyDescent="0.2">
      <c r="I285" s="681"/>
    </row>
    <row r="286" spans="9:9" s="675" customFormat="1" ht="12.75" x14ac:dyDescent="0.2">
      <c r="I286" s="681"/>
    </row>
    <row r="287" spans="9:9" s="675" customFormat="1" ht="12.75" x14ac:dyDescent="0.2">
      <c r="I287" s="681"/>
    </row>
    <row r="288" spans="9:9" s="675" customFormat="1" ht="12.75" x14ac:dyDescent="0.2">
      <c r="I288" s="681"/>
    </row>
    <row r="289" spans="9:9" s="675" customFormat="1" ht="12.75" x14ac:dyDescent="0.2">
      <c r="I289" s="681"/>
    </row>
    <row r="290" spans="9:9" s="675" customFormat="1" ht="12.75" x14ac:dyDescent="0.2">
      <c r="I290" s="681"/>
    </row>
    <row r="291" spans="9:9" s="675" customFormat="1" ht="12.75" x14ac:dyDescent="0.2">
      <c r="I291" s="681"/>
    </row>
    <row r="292" spans="9:9" s="675" customFormat="1" ht="12.75" x14ac:dyDescent="0.2">
      <c r="I292" s="681"/>
    </row>
    <row r="293" spans="9:9" s="675" customFormat="1" ht="12.75" x14ac:dyDescent="0.2">
      <c r="I293" s="681"/>
    </row>
    <row r="294" spans="9:9" s="675" customFormat="1" ht="12.75" x14ac:dyDescent="0.2">
      <c r="I294" s="681"/>
    </row>
    <row r="295" spans="9:9" s="675" customFormat="1" ht="12.75" x14ac:dyDescent="0.2">
      <c r="I295" s="681"/>
    </row>
    <row r="296" spans="9:9" s="675" customFormat="1" ht="12.75" x14ac:dyDescent="0.2">
      <c r="I296" s="681"/>
    </row>
    <row r="297" spans="9:9" s="675" customFormat="1" ht="12.75" x14ac:dyDescent="0.2">
      <c r="I297" s="681"/>
    </row>
    <row r="298" spans="9:9" s="675" customFormat="1" ht="12.75" x14ac:dyDescent="0.2">
      <c r="I298" s="681"/>
    </row>
    <row r="299" spans="9:9" s="675" customFormat="1" ht="12.75" x14ac:dyDescent="0.2">
      <c r="I299" s="681"/>
    </row>
    <row r="300" spans="9:9" s="675" customFormat="1" ht="12.75" x14ac:dyDescent="0.2">
      <c r="I300" s="681"/>
    </row>
    <row r="301" spans="9:9" s="675" customFormat="1" ht="12.75" x14ac:dyDescent="0.2">
      <c r="I301" s="681"/>
    </row>
    <row r="302" spans="9:9" s="675" customFormat="1" ht="12.75" x14ac:dyDescent="0.2">
      <c r="I302" s="681"/>
    </row>
    <row r="303" spans="9:9" s="675" customFormat="1" ht="12.75" x14ac:dyDescent="0.2">
      <c r="I303" s="681"/>
    </row>
    <row r="304" spans="9:9" s="675" customFormat="1" ht="12.75" x14ac:dyDescent="0.2">
      <c r="I304" s="681"/>
    </row>
    <row r="305" spans="9:9" s="675" customFormat="1" ht="12.75" x14ac:dyDescent="0.2">
      <c r="I305" s="681"/>
    </row>
    <row r="306" spans="9:9" s="675" customFormat="1" ht="12.75" x14ac:dyDescent="0.2">
      <c r="I306" s="681"/>
    </row>
    <row r="307" spans="9:9" s="675" customFormat="1" ht="12.75" x14ac:dyDescent="0.2">
      <c r="I307" s="681"/>
    </row>
    <row r="308" spans="9:9" s="675" customFormat="1" ht="12.75" x14ac:dyDescent="0.2">
      <c r="I308" s="681"/>
    </row>
    <row r="309" spans="9:9" s="675" customFormat="1" ht="12.75" x14ac:dyDescent="0.2">
      <c r="I309" s="681"/>
    </row>
    <row r="310" spans="9:9" s="675" customFormat="1" ht="12.75" x14ac:dyDescent="0.2">
      <c r="I310" s="681"/>
    </row>
    <row r="311" spans="9:9" s="675" customFormat="1" ht="12.75" x14ac:dyDescent="0.2">
      <c r="I311" s="681"/>
    </row>
    <row r="312" spans="9:9" s="675" customFormat="1" ht="12.75" x14ac:dyDescent="0.2">
      <c r="I312" s="681"/>
    </row>
    <row r="313" spans="9:9" s="675" customFormat="1" ht="12.75" x14ac:dyDescent="0.2">
      <c r="I313" s="681"/>
    </row>
    <row r="314" spans="9:9" s="675" customFormat="1" ht="12.75" x14ac:dyDescent="0.2">
      <c r="I314" s="681"/>
    </row>
    <row r="315" spans="9:9" s="675" customFormat="1" ht="12.75" x14ac:dyDescent="0.2">
      <c r="I315" s="681"/>
    </row>
    <row r="316" spans="9:9" s="675" customFormat="1" ht="12.75" x14ac:dyDescent="0.2">
      <c r="I316" s="681"/>
    </row>
    <row r="317" spans="9:9" s="675" customFormat="1" ht="12.75" x14ac:dyDescent="0.2">
      <c r="I317" s="681"/>
    </row>
    <row r="318" spans="9:9" s="675" customFormat="1" ht="12.75" x14ac:dyDescent="0.2">
      <c r="I318" s="681"/>
    </row>
    <row r="319" spans="9:9" s="675" customFormat="1" ht="12.75" x14ac:dyDescent="0.2">
      <c r="I319" s="681"/>
    </row>
    <row r="320" spans="9:9" s="675" customFormat="1" ht="12.75" x14ac:dyDescent="0.2">
      <c r="I320" s="681"/>
    </row>
    <row r="321" spans="9:9" s="675" customFormat="1" ht="12.75" x14ac:dyDescent="0.2">
      <c r="I321" s="681"/>
    </row>
    <row r="322" spans="9:9" s="675" customFormat="1" ht="12.75" x14ac:dyDescent="0.2">
      <c r="I322" s="681"/>
    </row>
    <row r="323" spans="9:9" s="675" customFormat="1" ht="12.75" x14ac:dyDescent="0.2">
      <c r="I323" s="681"/>
    </row>
    <row r="324" spans="9:9" s="675" customFormat="1" ht="12.75" x14ac:dyDescent="0.2">
      <c r="I324" s="681"/>
    </row>
    <row r="325" spans="9:9" s="675" customFormat="1" ht="12.75" x14ac:dyDescent="0.2">
      <c r="I325" s="681"/>
    </row>
    <row r="326" spans="9:9" s="675" customFormat="1" ht="12.75" x14ac:dyDescent="0.2">
      <c r="I326" s="681"/>
    </row>
    <row r="327" spans="9:9" s="675" customFormat="1" ht="12.75" x14ac:dyDescent="0.2">
      <c r="I327" s="681"/>
    </row>
    <row r="328" spans="9:9" s="675" customFormat="1" ht="12.75" x14ac:dyDescent="0.2">
      <c r="I328" s="681"/>
    </row>
    <row r="329" spans="9:9" s="675" customFormat="1" ht="12.75" x14ac:dyDescent="0.2">
      <c r="I329" s="681"/>
    </row>
    <row r="330" spans="9:9" s="675" customFormat="1" ht="12.75" x14ac:dyDescent="0.2">
      <c r="I330" s="681"/>
    </row>
    <row r="331" spans="9:9" s="675" customFormat="1" ht="12.75" x14ac:dyDescent="0.2">
      <c r="I331" s="681"/>
    </row>
    <row r="332" spans="9:9" s="675" customFormat="1" ht="12.75" x14ac:dyDescent="0.2">
      <c r="I332" s="681"/>
    </row>
    <row r="333" spans="9:9" s="675" customFormat="1" ht="12.75" x14ac:dyDescent="0.2">
      <c r="I333" s="681"/>
    </row>
    <row r="334" spans="9:9" s="675" customFormat="1" ht="12.75" x14ac:dyDescent="0.2">
      <c r="I334" s="681"/>
    </row>
    <row r="335" spans="9:9" s="675" customFormat="1" ht="12.75" x14ac:dyDescent="0.2">
      <c r="I335" s="681"/>
    </row>
    <row r="336" spans="9:9" s="675" customFormat="1" ht="12.75" x14ac:dyDescent="0.2">
      <c r="I336" s="681"/>
    </row>
    <row r="337" spans="9:9" s="675" customFormat="1" ht="12.75" x14ac:dyDescent="0.2">
      <c r="I337" s="681"/>
    </row>
    <row r="338" spans="9:9" s="675" customFormat="1" ht="12.75" x14ac:dyDescent="0.2">
      <c r="I338" s="681"/>
    </row>
    <row r="339" spans="9:9" s="675" customFormat="1" ht="12.75" x14ac:dyDescent="0.2">
      <c r="I339" s="681"/>
    </row>
    <row r="340" spans="9:9" s="675" customFormat="1" ht="12.75" x14ac:dyDescent="0.2">
      <c r="I340" s="681"/>
    </row>
    <row r="341" spans="9:9" s="675" customFormat="1" ht="12.75" x14ac:dyDescent="0.2">
      <c r="I341" s="681"/>
    </row>
    <row r="342" spans="9:9" s="675" customFormat="1" ht="12.75" x14ac:dyDescent="0.2">
      <c r="I342" s="681"/>
    </row>
    <row r="343" spans="9:9" s="675" customFormat="1" ht="12.75" x14ac:dyDescent="0.2">
      <c r="I343" s="681"/>
    </row>
    <row r="344" spans="9:9" s="675" customFormat="1" ht="12.75" x14ac:dyDescent="0.2">
      <c r="I344" s="681"/>
    </row>
    <row r="345" spans="9:9" s="675" customFormat="1" ht="12.75" x14ac:dyDescent="0.2">
      <c r="I345" s="681"/>
    </row>
    <row r="346" spans="9:9" s="675" customFormat="1" ht="12.75" x14ac:dyDescent="0.2">
      <c r="I346" s="681"/>
    </row>
    <row r="347" spans="9:9" s="675" customFormat="1" ht="12.75" x14ac:dyDescent="0.2">
      <c r="I347" s="681"/>
    </row>
    <row r="348" spans="9:9" s="675" customFormat="1" ht="12.75" x14ac:dyDescent="0.2">
      <c r="I348" s="681"/>
    </row>
    <row r="349" spans="9:9" s="675" customFormat="1" ht="12.75" x14ac:dyDescent="0.2">
      <c r="I349" s="681"/>
    </row>
    <row r="350" spans="9:9" s="675" customFormat="1" ht="12.75" x14ac:dyDescent="0.2">
      <c r="I350" s="681"/>
    </row>
    <row r="351" spans="9:9" s="675" customFormat="1" ht="12.75" x14ac:dyDescent="0.2">
      <c r="I351" s="681"/>
    </row>
    <row r="352" spans="9:9" s="675" customFormat="1" ht="12.75" x14ac:dyDescent="0.2">
      <c r="I352" s="681"/>
    </row>
    <row r="353" spans="9:9" s="675" customFormat="1" ht="12.75" x14ac:dyDescent="0.2">
      <c r="I353" s="681"/>
    </row>
    <row r="354" spans="9:9" s="675" customFormat="1" ht="12.75" x14ac:dyDescent="0.2">
      <c r="I354" s="681"/>
    </row>
    <row r="355" spans="9:9" s="675" customFormat="1" ht="12.75" x14ac:dyDescent="0.2">
      <c r="I355" s="681"/>
    </row>
    <row r="356" spans="9:9" s="675" customFormat="1" ht="12.75" x14ac:dyDescent="0.2">
      <c r="I356" s="681"/>
    </row>
    <row r="357" spans="9:9" s="675" customFormat="1" ht="12.75" x14ac:dyDescent="0.2">
      <c r="I357" s="681"/>
    </row>
    <row r="358" spans="9:9" s="675" customFormat="1" ht="12.75" x14ac:dyDescent="0.2">
      <c r="I358" s="681"/>
    </row>
    <row r="359" spans="9:9" s="675" customFormat="1" ht="12.75" x14ac:dyDescent="0.2">
      <c r="I359" s="681"/>
    </row>
    <row r="360" spans="9:9" s="675" customFormat="1" ht="12.75" x14ac:dyDescent="0.2">
      <c r="I360" s="681"/>
    </row>
    <row r="361" spans="9:9" s="675" customFormat="1" ht="12.75" x14ac:dyDescent="0.2">
      <c r="I361" s="681"/>
    </row>
    <row r="362" spans="9:9" s="675" customFormat="1" ht="12.75" x14ac:dyDescent="0.2">
      <c r="I362" s="681"/>
    </row>
    <row r="363" spans="9:9" s="675" customFormat="1" ht="12.75" x14ac:dyDescent="0.2">
      <c r="I363" s="681"/>
    </row>
    <row r="364" spans="9:9" s="675" customFormat="1" ht="12.75" x14ac:dyDescent="0.2">
      <c r="I364" s="681"/>
    </row>
    <row r="365" spans="9:9" s="675" customFormat="1" ht="12.75" x14ac:dyDescent="0.2">
      <c r="I365" s="681"/>
    </row>
    <row r="366" spans="9:9" s="675" customFormat="1" ht="12.75" x14ac:dyDescent="0.2">
      <c r="I366" s="681"/>
    </row>
    <row r="367" spans="9:9" s="675" customFormat="1" ht="12.75" x14ac:dyDescent="0.2">
      <c r="I367" s="681"/>
    </row>
    <row r="368" spans="9:9" s="675" customFormat="1" ht="12.75" x14ac:dyDescent="0.2">
      <c r="I368" s="681"/>
    </row>
    <row r="369" spans="9:9" s="675" customFormat="1" ht="12.75" x14ac:dyDescent="0.2">
      <c r="I369" s="681"/>
    </row>
    <row r="370" spans="9:9" s="675" customFormat="1" ht="12.75" x14ac:dyDescent="0.2">
      <c r="I370" s="681"/>
    </row>
    <row r="371" spans="9:9" s="675" customFormat="1" ht="12.75" x14ac:dyDescent="0.2">
      <c r="I371" s="681"/>
    </row>
    <row r="372" spans="9:9" s="675" customFormat="1" ht="12.75" x14ac:dyDescent="0.2">
      <c r="I372" s="681"/>
    </row>
    <row r="373" spans="9:9" s="675" customFormat="1" ht="12.75" x14ac:dyDescent="0.2">
      <c r="I373" s="681"/>
    </row>
    <row r="374" spans="9:9" s="675" customFormat="1" ht="12.75" x14ac:dyDescent="0.2">
      <c r="I374" s="681"/>
    </row>
    <row r="375" spans="9:9" s="675" customFormat="1" ht="12.75" x14ac:dyDescent="0.2">
      <c r="I375" s="681"/>
    </row>
    <row r="376" spans="9:9" s="675" customFormat="1" ht="12.75" x14ac:dyDescent="0.2">
      <c r="I376" s="681"/>
    </row>
    <row r="377" spans="9:9" s="675" customFormat="1" ht="12.75" x14ac:dyDescent="0.2">
      <c r="I377" s="681"/>
    </row>
    <row r="378" spans="9:9" s="675" customFormat="1" ht="12.75" x14ac:dyDescent="0.2">
      <c r="I378" s="681"/>
    </row>
    <row r="379" spans="9:9" s="675" customFormat="1" ht="12.75" x14ac:dyDescent="0.2">
      <c r="I379" s="681"/>
    </row>
    <row r="380" spans="9:9" s="675" customFormat="1" ht="12.75" x14ac:dyDescent="0.2">
      <c r="I380" s="681"/>
    </row>
    <row r="381" spans="9:9" s="675" customFormat="1" ht="12.75" x14ac:dyDescent="0.2">
      <c r="I381" s="681"/>
    </row>
    <row r="382" spans="9:9" s="675" customFormat="1" ht="12.75" x14ac:dyDescent="0.2">
      <c r="I382" s="681"/>
    </row>
    <row r="383" spans="9:9" s="675" customFormat="1" ht="12.75" x14ac:dyDescent="0.2">
      <c r="I383" s="681"/>
    </row>
    <row r="384" spans="9:9" s="675" customFormat="1" ht="12.75" x14ac:dyDescent="0.2">
      <c r="I384" s="681"/>
    </row>
    <row r="385" spans="9:9" s="675" customFormat="1" ht="12.75" x14ac:dyDescent="0.2">
      <c r="I385" s="681"/>
    </row>
    <row r="386" spans="9:9" s="675" customFormat="1" ht="12.75" x14ac:dyDescent="0.2">
      <c r="I386" s="681"/>
    </row>
    <row r="387" spans="9:9" s="675" customFormat="1" ht="12.75" x14ac:dyDescent="0.2">
      <c r="I387" s="681"/>
    </row>
    <row r="388" spans="9:9" s="675" customFormat="1" ht="12.75" x14ac:dyDescent="0.2">
      <c r="I388" s="681"/>
    </row>
    <row r="389" spans="9:9" s="675" customFormat="1" ht="12.75" x14ac:dyDescent="0.2">
      <c r="I389" s="681"/>
    </row>
    <row r="390" spans="9:9" s="675" customFormat="1" ht="12.75" x14ac:dyDescent="0.2">
      <c r="I390" s="681"/>
    </row>
    <row r="391" spans="9:9" s="675" customFormat="1" ht="12.75" x14ac:dyDescent="0.2">
      <c r="I391" s="681"/>
    </row>
    <row r="392" spans="9:9" s="675" customFormat="1" ht="12.75" x14ac:dyDescent="0.2">
      <c r="I392" s="681"/>
    </row>
    <row r="393" spans="9:9" s="675" customFormat="1" ht="12.75" x14ac:dyDescent="0.2">
      <c r="I393" s="681"/>
    </row>
    <row r="394" spans="9:9" s="675" customFormat="1" ht="12.75" x14ac:dyDescent="0.2">
      <c r="I394" s="681"/>
    </row>
    <row r="395" spans="9:9" s="675" customFormat="1" ht="12.75" x14ac:dyDescent="0.2">
      <c r="I395" s="681"/>
    </row>
    <row r="396" spans="9:9" s="675" customFormat="1" ht="12.75" x14ac:dyDescent="0.2">
      <c r="I396" s="681"/>
    </row>
    <row r="397" spans="9:9" s="675" customFormat="1" ht="12.75" x14ac:dyDescent="0.2">
      <c r="I397" s="681"/>
    </row>
    <row r="398" spans="9:9" s="675" customFormat="1" ht="12.75" x14ac:dyDescent="0.2">
      <c r="I398" s="681"/>
    </row>
    <row r="399" spans="9:9" s="675" customFormat="1" ht="12.75" x14ac:dyDescent="0.2">
      <c r="I399" s="681"/>
    </row>
    <row r="400" spans="9:9" s="675" customFormat="1" ht="12.75" x14ac:dyDescent="0.2">
      <c r="I400" s="681"/>
    </row>
    <row r="401" spans="9:9" s="675" customFormat="1" ht="12.75" x14ac:dyDescent="0.2">
      <c r="I401" s="681"/>
    </row>
    <row r="402" spans="9:9" s="675" customFormat="1" ht="12.75" x14ac:dyDescent="0.2">
      <c r="I402" s="681"/>
    </row>
    <row r="403" spans="9:9" s="675" customFormat="1" ht="12.75" x14ac:dyDescent="0.2">
      <c r="I403" s="681"/>
    </row>
    <row r="404" spans="9:9" s="675" customFormat="1" ht="12.75" x14ac:dyDescent="0.2">
      <c r="I404" s="681"/>
    </row>
    <row r="405" spans="9:9" s="675" customFormat="1" ht="12.75" x14ac:dyDescent="0.2">
      <c r="I405" s="681"/>
    </row>
    <row r="406" spans="9:9" s="675" customFormat="1" ht="12.75" x14ac:dyDescent="0.2">
      <c r="I406" s="681"/>
    </row>
    <row r="407" spans="9:9" s="675" customFormat="1" ht="12.75" x14ac:dyDescent="0.2">
      <c r="I407" s="681"/>
    </row>
    <row r="408" spans="9:9" s="675" customFormat="1" ht="12.75" x14ac:dyDescent="0.2">
      <c r="I408" s="681"/>
    </row>
    <row r="409" spans="9:9" s="675" customFormat="1" ht="12.75" x14ac:dyDescent="0.2">
      <c r="I409" s="681"/>
    </row>
    <row r="410" spans="9:9" s="675" customFormat="1" ht="12.75" x14ac:dyDescent="0.2">
      <c r="I410" s="681"/>
    </row>
    <row r="411" spans="9:9" s="675" customFormat="1" ht="12.75" x14ac:dyDescent="0.2">
      <c r="I411" s="681"/>
    </row>
    <row r="412" spans="9:9" s="675" customFormat="1" ht="12.75" x14ac:dyDescent="0.2">
      <c r="I412" s="681"/>
    </row>
    <row r="413" spans="9:9" s="675" customFormat="1" ht="12.75" x14ac:dyDescent="0.2">
      <c r="I413" s="681"/>
    </row>
    <row r="414" spans="9:9" s="675" customFormat="1" ht="12.75" x14ac:dyDescent="0.2">
      <c r="I414" s="681"/>
    </row>
    <row r="415" spans="9:9" s="675" customFormat="1" ht="12.75" x14ac:dyDescent="0.2">
      <c r="I415" s="681"/>
    </row>
    <row r="416" spans="9:9" s="675" customFormat="1" ht="12.75" x14ac:dyDescent="0.2">
      <c r="I416" s="681"/>
    </row>
    <row r="417" spans="9:9" s="675" customFormat="1" ht="12.75" x14ac:dyDescent="0.2">
      <c r="I417" s="681"/>
    </row>
    <row r="418" spans="9:9" s="675" customFormat="1" ht="12.75" x14ac:dyDescent="0.2">
      <c r="I418" s="681"/>
    </row>
    <row r="419" spans="9:9" s="675" customFormat="1" ht="12.75" x14ac:dyDescent="0.2">
      <c r="I419" s="681"/>
    </row>
    <row r="420" spans="9:9" s="675" customFormat="1" ht="12.75" x14ac:dyDescent="0.2">
      <c r="I420" s="681"/>
    </row>
    <row r="421" spans="9:9" s="675" customFormat="1" ht="12.75" x14ac:dyDescent="0.2">
      <c r="I421" s="681"/>
    </row>
    <row r="422" spans="9:9" s="675" customFormat="1" ht="12.75" x14ac:dyDescent="0.2">
      <c r="I422" s="681"/>
    </row>
    <row r="423" spans="9:9" s="675" customFormat="1" ht="12.75" x14ac:dyDescent="0.2">
      <c r="I423" s="681"/>
    </row>
    <row r="424" spans="9:9" s="675" customFormat="1" ht="12.75" x14ac:dyDescent="0.2">
      <c r="I424" s="681"/>
    </row>
    <row r="425" spans="9:9" s="675" customFormat="1" ht="12.75" x14ac:dyDescent="0.2">
      <c r="I425" s="681"/>
    </row>
    <row r="426" spans="9:9" s="675" customFormat="1" ht="12.75" x14ac:dyDescent="0.2">
      <c r="I426" s="681"/>
    </row>
    <row r="427" spans="9:9" s="675" customFormat="1" ht="12.75" x14ac:dyDescent="0.2">
      <c r="I427" s="681"/>
    </row>
    <row r="428" spans="9:9" s="675" customFormat="1" ht="12.75" x14ac:dyDescent="0.2">
      <c r="I428" s="681"/>
    </row>
    <row r="429" spans="9:9" s="675" customFormat="1" ht="12.75" x14ac:dyDescent="0.2">
      <c r="I429" s="681"/>
    </row>
    <row r="430" spans="9:9" s="675" customFormat="1" ht="12.75" x14ac:dyDescent="0.2">
      <c r="I430" s="681"/>
    </row>
    <row r="431" spans="9:9" s="675" customFormat="1" ht="12.75" x14ac:dyDescent="0.2">
      <c r="I431" s="681"/>
    </row>
    <row r="432" spans="9:9" s="675" customFormat="1" ht="12.75" x14ac:dyDescent="0.2">
      <c r="I432" s="681"/>
    </row>
    <row r="433" spans="9:9" s="675" customFormat="1" ht="12.75" x14ac:dyDescent="0.2">
      <c r="I433" s="681"/>
    </row>
    <row r="434" spans="9:9" s="675" customFormat="1" ht="12.75" x14ac:dyDescent="0.2">
      <c r="I434" s="681"/>
    </row>
    <row r="435" spans="9:9" s="675" customFormat="1" ht="12.75" x14ac:dyDescent="0.2">
      <c r="I435" s="681"/>
    </row>
    <row r="436" spans="9:9" s="675" customFormat="1" ht="12.75" x14ac:dyDescent="0.2">
      <c r="I436" s="681"/>
    </row>
    <row r="437" spans="9:9" s="675" customFormat="1" ht="12.75" x14ac:dyDescent="0.2">
      <c r="I437" s="681"/>
    </row>
    <row r="438" spans="9:9" s="675" customFormat="1" ht="12.75" x14ac:dyDescent="0.2">
      <c r="I438" s="681"/>
    </row>
    <row r="439" spans="9:9" s="675" customFormat="1" ht="12.75" x14ac:dyDescent="0.2">
      <c r="I439" s="681"/>
    </row>
    <row r="440" spans="9:9" s="675" customFormat="1" ht="12.75" x14ac:dyDescent="0.2">
      <c r="I440" s="681"/>
    </row>
    <row r="441" spans="9:9" s="675" customFormat="1" ht="12.75" x14ac:dyDescent="0.2">
      <c r="I441" s="681"/>
    </row>
    <row r="442" spans="9:9" s="675" customFormat="1" ht="12.75" x14ac:dyDescent="0.2">
      <c r="I442" s="681"/>
    </row>
    <row r="443" spans="9:9" s="675" customFormat="1" ht="12.75" x14ac:dyDescent="0.2">
      <c r="I443" s="681"/>
    </row>
    <row r="444" spans="9:9" s="675" customFormat="1" ht="12.75" x14ac:dyDescent="0.2">
      <c r="I444" s="681"/>
    </row>
    <row r="445" spans="9:9" s="675" customFormat="1" ht="12.75" x14ac:dyDescent="0.2">
      <c r="I445" s="681"/>
    </row>
    <row r="446" spans="9:9" s="675" customFormat="1" ht="12.75" x14ac:dyDescent="0.2">
      <c r="I446" s="681"/>
    </row>
    <row r="447" spans="9:9" s="675" customFormat="1" ht="12.75" x14ac:dyDescent="0.2">
      <c r="I447" s="681"/>
    </row>
    <row r="448" spans="9:9" s="675" customFormat="1" ht="12.75" x14ac:dyDescent="0.2">
      <c r="I448" s="681"/>
    </row>
    <row r="449" spans="9:9" s="675" customFormat="1" ht="12.75" x14ac:dyDescent="0.2">
      <c r="I449" s="681"/>
    </row>
    <row r="450" spans="9:9" s="675" customFormat="1" ht="12.75" x14ac:dyDescent="0.2">
      <c r="I450" s="681"/>
    </row>
    <row r="451" spans="9:9" s="675" customFormat="1" ht="12.75" x14ac:dyDescent="0.2">
      <c r="I451" s="681"/>
    </row>
    <row r="452" spans="9:9" s="675" customFormat="1" ht="12.75" x14ac:dyDescent="0.2">
      <c r="I452" s="681"/>
    </row>
    <row r="453" spans="9:9" s="675" customFormat="1" ht="12.75" x14ac:dyDescent="0.2">
      <c r="I453" s="681"/>
    </row>
    <row r="454" spans="9:9" s="675" customFormat="1" ht="12.75" x14ac:dyDescent="0.2">
      <c r="I454" s="681"/>
    </row>
    <row r="455" spans="9:9" s="675" customFormat="1" ht="12.75" x14ac:dyDescent="0.2">
      <c r="I455" s="681"/>
    </row>
    <row r="456" spans="9:9" s="675" customFormat="1" ht="12.75" x14ac:dyDescent="0.2">
      <c r="I456" s="681"/>
    </row>
    <row r="457" spans="9:9" s="675" customFormat="1" ht="12.75" x14ac:dyDescent="0.2">
      <c r="I457" s="681"/>
    </row>
    <row r="458" spans="9:9" s="675" customFormat="1" ht="12.75" x14ac:dyDescent="0.2">
      <c r="I458" s="681"/>
    </row>
    <row r="459" spans="9:9" s="675" customFormat="1" ht="12.75" x14ac:dyDescent="0.2">
      <c r="I459" s="681"/>
    </row>
    <row r="460" spans="9:9" s="675" customFormat="1" ht="12.75" x14ac:dyDescent="0.2">
      <c r="I460" s="681"/>
    </row>
    <row r="461" spans="9:9" s="675" customFormat="1" ht="12.75" x14ac:dyDescent="0.2">
      <c r="I461" s="681"/>
    </row>
    <row r="462" spans="9:9" s="675" customFormat="1" ht="12.75" x14ac:dyDescent="0.2">
      <c r="I462" s="681"/>
    </row>
    <row r="463" spans="9:9" s="675" customFormat="1" ht="12.75" x14ac:dyDescent="0.2">
      <c r="I463" s="681"/>
    </row>
    <row r="464" spans="9:9" s="675" customFormat="1" ht="12.75" x14ac:dyDescent="0.2">
      <c r="I464" s="681"/>
    </row>
    <row r="465" spans="9:9" s="675" customFormat="1" ht="12.75" x14ac:dyDescent="0.2">
      <c r="I465" s="681"/>
    </row>
    <row r="466" spans="9:9" s="675" customFormat="1" ht="12.75" x14ac:dyDescent="0.2">
      <c r="I466" s="681"/>
    </row>
    <row r="467" spans="9:9" s="675" customFormat="1" ht="12.75" x14ac:dyDescent="0.2">
      <c r="I467" s="681"/>
    </row>
    <row r="468" spans="9:9" s="675" customFormat="1" ht="12.75" x14ac:dyDescent="0.2">
      <c r="I468" s="681"/>
    </row>
    <row r="469" spans="9:9" s="675" customFormat="1" ht="12.75" x14ac:dyDescent="0.2">
      <c r="I469" s="681"/>
    </row>
    <row r="470" spans="9:9" s="675" customFormat="1" ht="12.75" x14ac:dyDescent="0.2">
      <c r="I470" s="681"/>
    </row>
    <row r="471" spans="9:9" s="675" customFormat="1" ht="12.75" x14ac:dyDescent="0.2">
      <c r="I471" s="681"/>
    </row>
    <row r="472" spans="9:9" s="675" customFormat="1" ht="12.75" x14ac:dyDescent="0.2">
      <c r="I472" s="681"/>
    </row>
    <row r="473" spans="9:9" s="675" customFormat="1" ht="12.75" x14ac:dyDescent="0.2">
      <c r="I473" s="681"/>
    </row>
    <row r="474" spans="9:9" s="675" customFormat="1" ht="12.75" x14ac:dyDescent="0.2">
      <c r="I474" s="681"/>
    </row>
    <row r="475" spans="9:9" s="675" customFormat="1" ht="12.75" x14ac:dyDescent="0.2">
      <c r="I475" s="681"/>
    </row>
    <row r="476" spans="9:9" s="675" customFormat="1" ht="12.75" x14ac:dyDescent="0.2">
      <c r="I476" s="681"/>
    </row>
    <row r="477" spans="9:9" s="675" customFormat="1" ht="12.75" x14ac:dyDescent="0.2">
      <c r="I477" s="681"/>
    </row>
    <row r="478" spans="9:9" s="675" customFormat="1" ht="12.75" x14ac:dyDescent="0.2">
      <c r="I478" s="681"/>
    </row>
    <row r="479" spans="9:9" s="675" customFormat="1" ht="12.75" x14ac:dyDescent="0.2">
      <c r="I479" s="681"/>
    </row>
    <row r="480" spans="9:9" s="675" customFormat="1" ht="12.75" x14ac:dyDescent="0.2">
      <c r="I480" s="681"/>
    </row>
    <row r="481" spans="9:9" s="675" customFormat="1" ht="12.75" x14ac:dyDescent="0.2">
      <c r="I481" s="681"/>
    </row>
    <row r="482" spans="9:9" s="675" customFormat="1" ht="12.75" x14ac:dyDescent="0.2">
      <c r="I482" s="681"/>
    </row>
    <row r="483" spans="9:9" s="675" customFormat="1" ht="12.75" x14ac:dyDescent="0.2">
      <c r="I483" s="681"/>
    </row>
    <row r="484" spans="9:9" s="675" customFormat="1" ht="12.75" x14ac:dyDescent="0.2">
      <c r="I484" s="681"/>
    </row>
    <row r="485" spans="9:9" s="675" customFormat="1" ht="12.75" x14ac:dyDescent="0.2">
      <c r="I485" s="681"/>
    </row>
    <row r="486" spans="9:9" s="675" customFormat="1" ht="12.75" x14ac:dyDescent="0.2">
      <c r="I486" s="681"/>
    </row>
    <row r="487" spans="9:9" s="675" customFormat="1" ht="12.75" x14ac:dyDescent="0.2">
      <c r="I487" s="681"/>
    </row>
    <row r="488" spans="9:9" s="675" customFormat="1" ht="12.75" x14ac:dyDescent="0.2">
      <c r="I488" s="681"/>
    </row>
    <row r="489" spans="9:9" s="675" customFormat="1" ht="12.75" x14ac:dyDescent="0.2">
      <c r="I489" s="681"/>
    </row>
    <row r="490" spans="9:9" s="675" customFormat="1" ht="12.75" x14ac:dyDescent="0.2">
      <c r="I490" s="681"/>
    </row>
    <row r="491" spans="9:9" s="675" customFormat="1" ht="12.75" x14ac:dyDescent="0.2">
      <c r="I491" s="681"/>
    </row>
    <row r="492" spans="9:9" s="675" customFormat="1" ht="12.75" x14ac:dyDescent="0.2">
      <c r="I492" s="681"/>
    </row>
    <row r="493" spans="9:9" s="675" customFormat="1" ht="12.75" x14ac:dyDescent="0.2">
      <c r="I493" s="681"/>
    </row>
    <row r="494" spans="9:9" s="675" customFormat="1" ht="12.75" x14ac:dyDescent="0.2">
      <c r="I494" s="681"/>
    </row>
    <row r="495" spans="9:9" s="675" customFormat="1" ht="12.75" x14ac:dyDescent="0.2">
      <c r="I495" s="681"/>
    </row>
    <row r="496" spans="9:9" s="675" customFormat="1" ht="12.75" x14ac:dyDescent="0.2">
      <c r="I496" s="681"/>
    </row>
    <row r="497" spans="9:9" s="675" customFormat="1" ht="12.75" x14ac:dyDescent="0.2">
      <c r="I497" s="681"/>
    </row>
    <row r="498" spans="9:9" s="675" customFormat="1" ht="12.75" x14ac:dyDescent="0.2">
      <c r="I498" s="681"/>
    </row>
    <row r="499" spans="9:9" s="675" customFormat="1" ht="12.75" x14ac:dyDescent="0.2">
      <c r="I499" s="681"/>
    </row>
    <row r="500" spans="9:9" s="675" customFormat="1" ht="12.75" x14ac:dyDescent="0.2">
      <c r="I500" s="681"/>
    </row>
    <row r="501" spans="9:9" s="675" customFormat="1" ht="12.75" x14ac:dyDescent="0.2">
      <c r="I501" s="681"/>
    </row>
    <row r="502" spans="9:9" s="675" customFormat="1" ht="12.75" x14ac:dyDescent="0.2">
      <c r="I502" s="681"/>
    </row>
    <row r="503" spans="9:9" s="675" customFormat="1" ht="12.75" x14ac:dyDescent="0.2">
      <c r="I503" s="681"/>
    </row>
    <row r="504" spans="9:9" s="675" customFormat="1" ht="12.75" x14ac:dyDescent="0.2">
      <c r="I504" s="681"/>
    </row>
    <row r="505" spans="9:9" s="675" customFormat="1" ht="12.75" x14ac:dyDescent="0.2">
      <c r="I505" s="681"/>
    </row>
    <row r="506" spans="9:9" s="675" customFormat="1" ht="12.75" x14ac:dyDescent="0.2">
      <c r="I506" s="681"/>
    </row>
    <row r="507" spans="9:9" s="675" customFormat="1" ht="12.75" x14ac:dyDescent="0.2">
      <c r="I507" s="681"/>
    </row>
    <row r="508" spans="9:9" s="675" customFormat="1" ht="12.75" x14ac:dyDescent="0.2">
      <c r="I508" s="681"/>
    </row>
    <row r="509" spans="9:9" s="675" customFormat="1" ht="12.75" x14ac:dyDescent="0.2">
      <c r="I509" s="681"/>
    </row>
    <row r="510" spans="9:9" s="675" customFormat="1" ht="12.75" x14ac:dyDescent="0.2">
      <c r="I510" s="681"/>
    </row>
    <row r="511" spans="9:9" s="675" customFormat="1" ht="12.75" x14ac:dyDescent="0.2">
      <c r="I511" s="681"/>
    </row>
    <row r="512" spans="9:9" s="675" customFormat="1" ht="12.75" x14ac:dyDescent="0.2">
      <c r="I512" s="681"/>
    </row>
    <row r="513" spans="9:9" s="675" customFormat="1" ht="12.75" x14ac:dyDescent="0.2">
      <c r="I513" s="681"/>
    </row>
    <row r="514" spans="9:9" s="675" customFormat="1" ht="12.75" x14ac:dyDescent="0.2">
      <c r="I514" s="681"/>
    </row>
    <row r="515" spans="9:9" s="675" customFormat="1" ht="12.75" x14ac:dyDescent="0.2">
      <c r="I515" s="681"/>
    </row>
    <row r="516" spans="9:9" s="675" customFormat="1" ht="12.75" x14ac:dyDescent="0.2">
      <c r="I516" s="681"/>
    </row>
    <row r="517" spans="9:9" s="675" customFormat="1" ht="12.75" x14ac:dyDescent="0.2">
      <c r="I517" s="681"/>
    </row>
    <row r="518" spans="9:9" s="675" customFormat="1" ht="12.75" x14ac:dyDescent="0.2">
      <c r="I518" s="681"/>
    </row>
    <row r="519" spans="9:9" s="675" customFormat="1" ht="12.75" x14ac:dyDescent="0.2">
      <c r="I519" s="681"/>
    </row>
    <row r="520" spans="9:9" s="675" customFormat="1" ht="12.75" x14ac:dyDescent="0.2">
      <c r="I520" s="681"/>
    </row>
    <row r="521" spans="9:9" s="675" customFormat="1" ht="12.75" x14ac:dyDescent="0.2">
      <c r="I521" s="681"/>
    </row>
    <row r="522" spans="9:9" s="675" customFormat="1" ht="12.75" x14ac:dyDescent="0.2">
      <c r="I522" s="681"/>
    </row>
    <row r="523" spans="9:9" s="675" customFormat="1" ht="12.75" x14ac:dyDescent="0.2">
      <c r="I523" s="681"/>
    </row>
    <row r="524" spans="9:9" s="675" customFormat="1" ht="12.75" x14ac:dyDescent="0.2">
      <c r="I524" s="681"/>
    </row>
    <row r="525" spans="9:9" s="675" customFormat="1" ht="12.75" x14ac:dyDescent="0.2">
      <c r="I525" s="681"/>
    </row>
    <row r="526" spans="9:9" s="675" customFormat="1" ht="12.75" x14ac:dyDescent="0.2">
      <c r="I526" s="681"/>
    </row>
    <row r="527" spans="9:9" s="675" customFormat="1" ht="12.75" x14ac:dyDescent="0.2">
      <c r="I527" s="681"/>
    </row>
    <row r="528" spans="9:9" s="675" customFormat="1" ht="12.75" x14ac:dyDescent="0.2">
      <c r="I528" s="681"/>
    </row>
    <row r="529" spans="9:9" s="675" customFormat="1" ht="12.75" x14ac:dyDescent="0.2">
      <c r="I529" s="681"/>
    </row>
    <row r="530" spans="9:9" s="675" customFormat="1" ht="12.75" x14ac:dyDescent="0.2">
      <c r="I530" s="681"/>
    </row>
    <row r="531" spans="9:9" s="675" customFormat="1" ht="12.75" x14ac:dyDescent="0.2">
      <c r="I531" s="681"/>
    </row>
    <row r="532" spans="9:9" s="675" customFormat="1" ht="12.75" x14ac:dyDescent="0.2">
      <c r="I532" s="681"/>
    </row>
    <row r="533" spans="9:9" s="675" customFormat="1" ht="12.75" x14ac:dyDescent="0.2">
      <c r="I533" s="681"/>
    </row>
    <row r="534" spans="9:9" s="675" customFormat="1" ht="12.75" x14ac:dyDescent="0.2">
      <c r="I534" s="681"/>
    </row>
    <row r="535" spans="9:9" s="675" customFormat="1" ht="12.75" x14ac:dyDescent="0.2">
      <c r="I535" s="681"/>
    </row>
    <row r="536" spans="9:9" s="675" customFormat="1" ht="12.75" x14ac:dyDescent="0.2">
      <c r="I536" s="681"/>
    </row>
    <row r="537" spans="9:9" s="675" customFormat="1" ht="12.75" x14ac:dyDescent="0.2">
      <c r="I537" s="681"/>
    </row>
    <row r="538" spans="9:9" s="675" customFormat="1" ht="12.75" x14ac:dyDescent="0.2">
      <c r="I538" s="681"/>
    </row>
    <row r="539" spans="9:9" s="675" customFormat="1" ht="12.75" x14ac:dyDescent="0.2">
      <c r="I539" s="681"/>
    </row>
    <row r="540" spans="9:9" s="675" customFormat="1" ht="12.75" x14ac:dyDescent="0.2">
      <c r="I540" s="681"/>
    </row>
    <row r="541" spans="9:9" s="675" customFormat="1" ht="12.75" x14ac:dyDescent="0.2">
      <c r="I541" s="681"/>
    </row>
    <row r="542" spans="9:9" s="675" customFormat="1" ht="12.75" x14ac:dyDescent="0.2">
      <c r="I542" s="681"/>
    </row>
    <row r="543" spans="9:9" s="675" customFormat="1" ht="12.75" x14ac:dyDescent="0.2">
      <c r="I543" s="681"/>
    </row>
    <row r="544" spans="9:9" s="675" customFormat="1" ht="12.75" x14ac:dyDescent="0.2">
      <c r="I544" s="681"/>
    </row>
    <row r="545" spans="9:9" s="675" customFormat="1" ht="12.75" x14ac:dyDescent="0.2">
      <c r="I545" s="681"/>
    </row>
    <row r="546" spans="9:9" s="675" customFormat="1" ht="12.75" x14ac:dyDescent="0.2">
      <c r="I546" s="681"/>
    </row>
    <row r="547" spans="9:9" s="675" customFormat="1" ht="12.75" x14ac:dyDescent="0.2">
      <c r="I547" s="681"/>
    </row>
    <row r="548" spans="9:9" s="675" customFormat="1" ht="12.75" x14ac:dyDescent="0.2">
      <c r="I548" s="681"/>
    </row>
    <row r="549" spans="9:9" s="675" customFormat="1" ht="12.75" x14ac:dyDescent="0.2">
      <c r="I549" s="681"/>
    </row>
    <row r="550" spans="9:9" s="675" customFormat="1" ht="12.75" x14ac:dyDescent="0.2">
      <c r="I550" s="681"/>
    </row>
    <row r="551" spans="9:9" s="675" customFormat="1" ht="12.75" x14ac:dyDescent="0.2">
      <c r="I551" s="681"/>
    </row>
    <row r="552" spans="9:9" s="675" customFormat="1" ht="12.75" x14ac:dyDescent="0.2">
      <c r="I552" s="681"/>
    </row>
    <row r="553" spans="9:9" s="675" customFormat="1" ht="12.75" x14ac:dyDescent="0.2">
      <c r="I553" s="681"/>
    </row>
    <row r="554" spans="9:9" s="675" customFormat="1" ht="12.75" x14ac:dyDescent="0.2">
      <c r="I554" s="681"/>
    </row>
    <row r="555" spans="9:9" s="675" customFormat="1" ht="12.75" x14ac:dyDescent="0.2">
      <c r="I555" s="681"/>
    </row>
    <row r="556" spans="9:9" s="675" customFormat="1" ht="12.75" x14ac:dyDescent="0.2">
      <c r="I556" s="681"/>
    </row>
    <row r="557" spans="9:9" s="675" customFormat="1" ht="12.75" x14ac:dyDescent="0.2">
      <c r="I557" s="681"/>
    </row>
    <row r="558" spans="9:9" s="675" customFormat="1" ht="12.75" x14ac:dyDescent="0.2">
      <c r="I558" s="681"/>
    </row>
    <row r="559" spans="9:9" s="675" customFormat="1" ht="12.75" x14ac:dyDescent="0.2">
      <c r="I559" s="681"/>
    </row>
    <row r="560" spans="9:9" s="675" customFormat="1" ht="12.75" x14ac:dyDescent="0.2">
      <c r="I560" s="681"/>
    </row>
    <row r="561" spans="9:9" s="675" customFormat="1" ht="12.75" x14ac:dyDescent="0.2">
      <c r="I561" s="681"/>
    </row>
    <row r="562" spans="9:9" s="675" customFormat="1" ht="12.75" x14ac:dyDescent="0.2">
      <c r="I562" s="681"/>
    </row>
    <row r="563" spans="9:9" s="675" customFormat="1" ht="12.75" x14ac:dyDescent="0.2">
      <c r="I563" s="681"/>
    </row>
    <row r="564" spans="9:9" s="675" customFormat="1" ht="12.75" x14ac:dyDescent="0.2">
      <c r="I564" s="681"/>
    </row>
    <row r="565" spans="9:9" s="675" customFormat="1" ht="12.75" x14ac:dyDescent="0.2">
      <c r="I565" s="681"/>
    </row>
    <row r="566" spans="9:9" s="675" customFormat="1" ht="12.75" x14ac:dyDescent="0.2">
      <c r="I566" s="681"/>
    </row>
    <row r="567" spans="9:9" s="675" customFormat="1" ht="12.75" x14ac:dyDescent="0.2">
      <c r="I567" s="681"/>
    </row>
    <row r="568" spans="9:9" s="675" customFormat="1" ht="12.75" x14ac:dyDescent="0.2">
      <c r="I568" s="681"/>
    </row>
    <row r="569" spans="9:9" s="675" customFormat="1" ht="12.75" x14ac:dyDescent="0.2">
      <c r="I569" s="681"/>
    </row>
    <row r="570" spans="9:9" s="675" customFormat="1" ht="12.75" x14ac:dyDescent="0.2">
      <c r="I570" s="681"/>
    </row>
    <row r="571" spans="9:9" s="675" customFormat="1" ht="12.75" x14ac:dyDescent="0.2">
      <c r="I571" s="681"/>
    </row>
    <row r="572" spans="9:9" s="675" customFormat="1" ht="12.75" x14ac:dyDescent="0.2">
      <c r="I572" s="681"/>
    </row>
    <row r="573" spans="9:9" s="675" customFormat="1" ht="12.75" x14ac:dyDescent="0.2">
      <c r="I573" s="681"/>
    </row>
    <row r="574" spans="9:9" s="675" customFormat="1" ht="12.75" x14ac:dyDescent="0.2">
      <c r="I574" s="681"/>
    </row>
    <row r="575" spans="9:9" s="675" customFormat="1" ht="12.75" x14ac:dyDescent="0.2">
      <c r="I575" s="681"/>
    </row>
    <row r="576" spans="9:9" s="675" customFormat="1" ht="12.75" x14ac:dyDescent="0.2">
      <c r="I576" s="681"/>
    </row>
    <row r="577" spans="9:9" s="675" customFormat="1" ht="12.75" x14ac:dyDescent="0.2">
      <c r="I577" s="681"/>
    </row>
    <row r="578" spans="9:9" s="675" customFormat="1" ht="12.75" x14ac:dyDescent="0.2">
      <c r="I578" s="681"/>
    </row>
    <row r="579" spans="9:9" s="675" customFormat="1" ht="12.75" x14ac:dyDescent="0.2">
      <c r="I579" s="681"/>
    </row>
    <row r="580" spans="9:9" s="675" customFormat="1" ht="12.75" x14ac:dyDescent="0.2">
      <c r="I580" s="681"/>
    </row>
    <row r="581" spans="9:9" s="675" customFormat="1" ht="12.75" x14ac:dyDescent="0.2">
      <c r="I581" s="681"/>
    </row>
    <row r="582" spans="9:9" s="675" customFormat="1" ht="12.75" x14ac:dyDescent="0.2">
      <c r="I582" s="681"/>
    </row>
    <row r="583" spans="9:9" s="675" customFormat="1" ht="12.75" x14ac:dyDescent="0.2">
      <c r="I583" s="681"/>
    </row>
    <row r="584" spans="9:9" s="675" customFormat="1" ht="12.75" x14ac:dyDescent="0.2">
      <c r="I584" s="681"/>
    </row>
    <row r="585" spans="9:9" s="675" customFormat="1" ht="12.75" x14ac:dyDescent="0.2">
      <c r="I585" s="681"/>
    </row>
    <row r="586" spans="9:9" s="675" customFormat="1" ht="12.75" x14ac:dyDescent="0.2">
      <c r="I586" s="681"/>
    </row>
    <row r="587" spans="9:9" s="675" customFormat="1" ht="12.75" x14ac:dyDescent="0.2">
      <c r="I587" s="681"/>
    </row>
    <row r="588" spans="9:9" s="675" customFormat="1" ht="12.75" x14ac:dyDescent="0.2">
      <c r="I588" s="681"/>
    </row>
    <row r="589" spans="9:9" s="675" customFormat="1" ht="12.75" x14ac:dyDescent="0.2">
      <c r="I589" s="681"/>
    </row>
    <row r="590" spans="9:9" s="675" customFormat="1" ht="12.75" x14ac:dyDescent="0.2">
      <c r="I590" s="681"/>
    </row>
    <row r="591" spans="9:9" s="675" customFormat="1" ht="12.75" x14ac:dyDescent="0.2">
      <c r="I591" s="681"/>
    </row>
    <row r="592" spans="9:9" s="675" customFormat="1" ht="12.75" x14ac:dyDescent="0.2">
      <c r="I592" s="681"/>
    </row>
    <row r="593" spans="9:9" s="675" customFormat="1" ht="12.75" x14ac:dyDescent="0.2">
      <c r="I593" s="681"/>
    </row>
    <row r="594" spans="9:9" s="675" customFormat="1" ht="12.75" x14ac:dyDescent="0.2">
      <c r="I594" s="681"/>
    </row>
    <row r="595" spans="9:9" s="675" customFormat="1" ht="12.75" x14ac:dyDescent="0.2">
      <c r="I595" s="681"/>
    </row>
    <row r="596" spans="9:9" s="675" customFormat="1" ht="12.75" x14ac:dyDescent="0.2">
      <c r="I596" s="681"/>
    </row>
    <row r="597" spans="9:9" s="675" customFormat="1" ht="12.75" x14ac:dyDescent="0.2">
      <c r="I597" s="681"/>
    </row>
    <row r="598" spans="9:9" s="675" customFormat="1" ht="12.75" x14ac:dyDescent="0.2">
      <c r="I598" s="681"/>
    </row>
    <row r="599" spans="9:9" s="675" customFormat="1" ht="12.75" x14ac:dyDescent="0.2">
      <c r="I599" s="681"/>
    </row>
    <row r="600" spans="9:9" s="675" customFormat="1" ht="12.75" x14ac:dyDescent="0.2">
      <c r="I600" s="681"/>
    </row>
    <row r="601" spans="9:9" s="675" customFormat="1" ht="12.75" x14ac:dyDescent="0.2">
      <c r="I601" s="681"/>
    </row>
    <row r="602" spans="9:9" s="675" customFormat="1" ht="12.75" x14ac:dyDescent="0.2">
      <c r="I602" s="681"/>
    </row>
    <row r="603" spans="9:9" s="675" customFormat="1" ht="12.75" x14ac:dyDescent="0.2">
      <c r="I603" s="681"/>
    </row>
    <row r="604" spans="9:9" s="675" customFormat="1" ht="12.75" x14ac:dyDescent="0.2">
      <c r="I604" s="681"/>
    </row>
    <row r="605" spans="9:9" s="675" customFormat="1" ht="12.75" x14ac:dyDescent="0.2">
      <c r="I605" s="681"/>
    </row>
    <row r="606" spans="9:9" s="675" customFormat="1" ht="12.75" x14ac:dyDescent="0.2">
      <c r="I606" s="681"/>
    </row>
    <row r="607" spans="9:9" s="675" customFormat="1" ht="12.75" x14ac:dyDescent="0.2">
      <c r="I607" s="681"/>
    </row>
    <row r="608" spans="9:9" s="675" customFormat="1" ht="12.75" x14ac:dyDescent="0.2">
      <c r="I608" s="681"/>
    </row>
    <row r="609" spans="9:9" s="675" customFormat="1" ht="12.75" x14ac:dyDescent="0.2">
      <c r="I609" s="681"/>
    </row>
    <row r="610" spans="9:9" s="675" customFormat="1" ht="12.75" x14ac:dyDescent="0.2">
      <c r="I610" s="681"/>
    </row>
    <row r="611" spans="9:9" s="675" customFormat="1" ht="12.75" x14ac:dyDescent="0.2">
      <c r="I611" s="681"/>
    </row>
    <row r="612" spans="9:9" s="675" customFormat="1" ht="12.75" x14ac:dyDescent="0.2">
      <c r="I612" s="681"/>
    </row>
    <row r="613" spans="9:9" s="675" customFormat="1" ht="12.75" x14ac:dyDescent="0.2">
      <c r="I613" s="681"/>
    </row>
    <row r="614" spans="9:9" s="675" customFormat="1" ht="12.75" x14ac:dyDescent="0.2">
      <c r="I614" s="681"/>
    </row>
    <row r="615" spans="9:9" s="675" customFormat="1" ht="12.75" x14ac:dyDescent="0.2">
      <c r="I615" s="681"/>
    </row>
    <row r="616" spans="9:9" s="675" customFormat="1" ht="12.75" x14ac:dyDescent="0.2">
      <c r="I616" s="681"/>
    </row>
    <row r="617" spans="9:9" s="675" customFormat="1" ht="12.75" x14ac:dyDescent="0.2">
      <c r="I617" s="681"/>
    </row>
    <row r="618" spans="9:9" s="675" customFormat="1" ht="12.75" x14ac:dyDescent="0.2">
      <c r="I618" s="681"/>
    </row>
    <row r="619" spans="9:9" s="675" customFormat="1" ht="12.75" x14ac:dyDescent="0.2">
      <c r="I619" s="681"/>
    </row>
    <row r="620" spans="9:9" s="675" customFormat="1" ht="12.75" x14ac:dyDescent="0.2">
      <c r="I620" s="681"/>
    </row>
    <row r="621" spans="9:9" s="675" customFormat="1" ht="12.75" x14ac:dyDescent="0.2">
      <c r="I621" s="681"/>
    </row>
    <row r="622" spans="9:9" s="675" customFormat="1" ht="12.75" x14ac:dyDescent="0.2">
      <c r="I622" s="681"/>
    </row>
    <row r="623" spans="9:9" s="675" customFormat="1" ht="12.75" x14ac:dyDescent="0.2">
      <c r="I623" s="681"/>
    </row>
    <row r="624" spans="9:9" s="675" customFormat="1" ht="12.75" x14ac:dyDescent="0.2">
      <c r="I624" s="681"/>
    </row>
    <row r="625" spans="9:9" s="675" customFormat="1" ht="12.75" x14ac:dyDescent="0.2">
      <c r="I625" s="681"/>
    </row>
    <row r="626" spans="9:9" s="675" customFormat="1" ht="12.75" x14ac:dyDescent="0.2">
      <c r="I626" s="681"/>
    </row>
    <row r="627" spans="9:9" s="675" customFormat="1" ht="12.75" x14ac:dyDescent="0.2">
      <c r="I627" s="681"/>
    </row>
    <row r="628" spans="9:9" s="675" customFormat="1" ht="12.75" x14ac:dyDescent="0.2">
      <c r="I628" s="681"/>
    </row>
    <row r="629" spans="9:9" s="675" customFormat="1" ht="12.75" x14ac:dyDescent="0.2">
      <c r="I629" s="681"/>
    </row>
    <row r="630" spans="9:9" s="675" customFormat="1" ht="12.75" x14ac:dyDescent="0.2">
      <c r="I630" s="681"/>
    </row>
    <row r="631" spans="9:9" s="675" customFormat="1" ht="12.75" x14ac:dyDescent="0.2">
      <c r="I631" s="681"/>
    </row>
    <row r="632" spans="9:9" s="675" customFormat="1" ht="12.75" x14ac:dyDescent="0.2">
      <c r="I632" s="681"/>
    </row>
    <row r="633" spans="9:9" s="675" customFormat="1" ht="12.75" x14ac:dyDescent="0.2">
      <c r="I633" s="681"/>
    </row>
    <row r="634" spans="9:9" s="675" customFormat="1" ht="12.75" x14ac:dyDescent="0.2">
      <c r="I634" s="681"/>
    </row>
    <row r="635" spans="9:9" s="675" customFormat="1" ht="12.75" x14ac:dyDescent="0.2">
      <c r="I635" s="681"/>
    </row>
    <row r="636" spans="9:9" s="675" customFormat="1" ht="12.75" x14ac:dyDescent="0.2">
      <c r="I636" s="681"/>
    </row>
    <row r="637" spans="9:9" s="675" customFormat="1" ht="12.75" x14ac:dyDescent="0.2">
      <c r="I637" s="681"/>
    </row>
    <row r="638" spans="9:9" s="675" customFormat="1" ht="12.75" x14ac:dyDescent="0.2">
      <c r="I638" s="681"/>
    </row>
    <row r="639" spans="9:9" s="675" customFormat="1" ht="12.75" x14ac:dyDescent="0.2">
      <c r="I639" s="681"/>
    </row>
    <row r="640" spans="9:9" s="675" customFormat="1" ht="12.75" x14ac:dyDescent="0.2">
      <c r="I640" s="681"/>
    </row>
    <row r="641" spans="9:9" s="675" customFormat="1" ht="12.75" x14ac:dyDescent="0.2">
      <c r="I641" s="681"/>
    </row>
    <row r="642" spans="9:9" s="675" customFormat="1" ht="12.75" x14ac:dyDescent="0.2">
      <c r="I642" s="681"/>
    </row>
    <row r="643" spans="9:9" s="675" customFormat="1" ht="12.75" x14ac:dyDescent="0.2">
      <c r="I643" s="681"/>
    </row>
    <row r="644" spans="9:9" s="675" customFormat="1" ht="12.75" x14ac:dyDescent="0.2">
      <c r="I644" s="681"/>
    </row>
    <row r="645" spans="9:9" s="675" customFormat="1" ht="12.75" x14ac:dyDescent="0.2">
      <c r="I645" s="681"/>
    </row>
    <row r="646" spans="9:9" s="675" customFormat="1" ht="12.75" x14ac:dyDescent="0.2">
      <c r="I646" s="681"/>
    </row>
    <row r="647" spans="9:9" s="675" customFormat="1" ht="12.75" x14ac:dyDescent="0.2">
      <c r="I647" s="681"/>
    </row>
    <row r="648" spans="9:9" s="675" customFormat="1" ht="12.75" x14ac:dyDescent="0.2">
      <c r="I648" s="681"/>
    </row>
    <row r="649" spans="9:9" s="675" customFormat="1" ht="12.75" x14ac:dyDescent="0.2">
      <c r="I649" s="681"/>
    </row>
    <row r="650" spans="9:9" s="675" customFormat="1" ht="12.75" x14ac:dyDescent="0.2">
      <c r="I650" s="681"/>
    </row>
    <row r="651" spans="9:9" s="675" customFormat="1" ht="12.75" x14ac:dyDescent="0.2">
      <c r="I651" s="681"/>
    </row>
    <row r="652" spans="9:9" s="675" customFormat="1" ht="12.75" x14ac:dyDescent="0.2">
      <c r="I652" s="681"/>
    </row>
    <row r="653" spans="9:9" s="675" customFormat="1" ht="12.75" x14ac:dyDescent="0.2">
      <c r="I653" s="681"/>
    </row>
    <row r="654" spans="9:9" s="675" customFormat="1" ht="12.75" x14ac:dyDescent="0.2">
      <c r="I654" s="681"/>
    </row>
    <row r="655" spans="9:9" s="675" customFormat="1" ht="12.75" x14ac:dyDescent="0.2">
      <c r="I655" s="681"/>
    </row>
    <row r="656" spans="9:9" s="675" customFormat="1" ht="12.75" x14ac:dyDescent="0.2">
      <c r="I656" s="681"/>
    </row>
    <row r="657" spans="9:9" s="675" customFormat="1" ht="12.75" x14ac:dyDescent="0.2">
      <c r="I657" s="681"/>
    </row>
    <row r="658" spans="9:9" s="675" customFormat="1" ht="12.75" x14ac:dyDescent="0.2">
      <c r="I658" s="681"/>
    </row>
    <row r="659" spans="9:9" s="675" customFormat="1" ht="12.75" x14ac:dyDescent="0.2">
      <c r="I659" s="681"/>
    </row>
    <row r="660" spans="9:9" s="675" customFormat="1" ht="12.75" x14ac:dyDescent="0.2">
      <c r="I660" s="681"/>
    </row>
    <row r="661" spans="9:9" s="675" customFormat="1" ht="12.75" x14ac:dyDescent="0.2">
      <c r="I661" s="681"/>
    </row>
    <row r="662" spans="9:9" s="675" customFormat="1" ht="12.75" x14ac:dyDescent="0.2">
      <c r="I662" s="681"/>
    </row>
    <row r="663" spans="9:9" s="675" customFormat="1" ht="12.75" x14ac:dyDescent="0.2">
      <c r="I663" s="681"/>
    </row>
    <row r="664" spans="9:9" s="675" customFormat="1" ht="12.75" x14ac:dyDescent="0.2">
      <c r="I664" s="681"/>
    </row>
    <row r="665" spans="9:9" s="675" customFormat="1" ht="12.75" x14ac:dyDescent="0.2">
      <c r="I665" s="681"/>
    </row>
    <row r="666" spans="9:9" s="675" customFormat="1" ht="12.75" x14ac:dyDescent="0.2">
      <c r="I666" s="681"/>
    </row>
    <row r="667" spans="9:9" s="675" customFormat="1" ht="12.75" x14ac:dyDescent="0.2">
      <c r="I667" s="681"/>
    </row>
    <row r="668" spans="9:9" s="675" customFormat="1" ht="12.75" x14ac:dyDescent="0.2">
      <c r="I668" s="681"/>
    </row>
    <row r="669" spans="9:9" s="675" customFormat="1" ht="12.75" x14ac:dyDescent="0.2">
      <c r="I669" s="681"/>
    </row>
    <row r="670" spans="9:9" s="675" customFormat="1" ht="12.75" x14ac:dyDescent="0.2">
      <c r="I670" s="681"/>
    </row>
    <row r="671" spans="9:9" s="675" customFormat="1" ht="12.75" x14ac:dyDescent="0.2">
      <c r="I671" s="681"/>
    </row>
    <row r="672" spans="9:9" s="675" customFormat="1" ht="12.75" x14ac:dyDescent="0.2">
      <c r="I672" s="681"/>
    </row>
    <row r="673" spans="9:9" s="675" customFormat="1" ht="12.75" x14ac:dyDescent="0.2">
      <c r="I673" s="681"/>
    </row>
    <row r="674" spans="9:9" s="675" customFormat="1" ht="12.75" x14ac:dyDescent="0.2">
      <c r="I674" s="681"/>
    </row>
    <row r="675" spans="9:9" s="675" customFormat="1" ht="12.75" x14ac:dyDescent="0.2">
      <c r="I675" s="681"/>
    </row>
    <row r="676" spans="9:9" s="675" customFormat="1" ht="12.75" x14ac:dyDescent="0.2">
      <c r="I676" s="681"/>
    </row>
    <row r="677" spans="9:9" s="675" customFormat="1" ht="12.75" x14ac:dyDescent="0.2">
      <c r="I677" s="681"/>
    </row>
    <row r="678" spans="9:9" s="675" customFormat="1" ht="12.75" x14ac:dyDescent="0.2">
      <c r="I678" s="681"/>
    </row>
    <row r="679" spans="9:9" s="675" customFormat="1" ht="12.75" x14ac:dyDescent="0.2">
      <c r="I679" s="681"/>
    </row>
    <row r="680" spans="9:9" s="675" customFormat="1" ht="12.75" x14ac:dyDescent="0.2">
      <c r="I680" s="681"/>
    </row>
    <row r="681" spans="9:9" s="675" customFormat="1" ht="12.75" x14ac:dyDescent="0.2">
      <c r="I681" s="681"/>
    </row>
    <row r="682" spans="9:9" s="675" customFormat="1" ht="12.75" x14ac:dyDescent="0.2">
      <c r="I682" s="681"/>
    </row>
    <row r="683" spans="9:9" s="675" customFormat="1" ht="12.75" x14ac:dyDescent="0.2">
      <c r="I683" s="681"/>
    </row>
    <row r="684" spans="9:9" s="675" customFormat="1" ht="12.75" x14ac:dyDescent="0.2">
      <c r="I684" s="681"/>
    </row>
    <row r="685" spans="9:9" s="675" customFormat="1" ht="12.75" x14ac:dyDescent="0.2">
      <c r="I685" s="681"/>
    </row>
    <row r="686" spans="9:9" s="675" customFormat="1" ht="12.75" x14ac:dyDescent="0.2">
      <c r="I686" s="681"/>
    </row>
    <row r="687" spans="9:9" s="675" customFormat="1" ht="12.75" x14ac:dyDescent="0.2">
      <c r="I687" s="681"/>
    </row>
    <row r="688" spans="9:9" s="675" customFormat="1" ht="12.75" x14ac:dyDescent="0.2">
      <c r="I688" s="681"/>
    </row>
    <row r="689" spans="9:9" s="675" customFormat="1" ht="12.75" x14ac:dyDescent="0.2">
      <c r="I689" s="681"/>
    </row>
    <row r="690" spans="9:9" s="675" customFormat="1" ht="12.75" x14ac:dyDescent="0.2">
      <c r="I690" s="681"/>
    </row>
    <row r="691" spans="9:9" s="675" customFormat="1" ht="12.75" x14ac:dyDescent="0.2">
      <c r="I691" s="681"/>
    </row>
    <row r="692" spans="9:9" s="675" customFormat="1" ht="12.75" x14ac:dyDescent="0.2">
      <c r="I692" s="681"/>
    </row>
    <row r="693" spans="9:9" s="675" customFormat="1" ht="12.75" x14ac:dyDescent="0.2">
      <c r="I693" s="681"/>
    </row>
    <row r="694" spans="9:9" s="675" customFormat="1" ht="12.75" x14ac:dyDescent="0.2">
      <c r="I694" s="681"/>
    </row>
    <row r="695" spans="9:9" s="675" customFormat="1" ht="12.75" x14ac:dyDescent="0.2">
      <c r="I695" s="681"/>
    </row>
    <row r="696" spans="9:9" s="675" customFormat="1" ht="12.75" x14ac:dyDescent="0.2">
      <c r="I696" s="681"/>
    </row>
    <row r="697" spans="9:9" s="675" customFormat="1" ht="12.75" x14ac:dyDescent="0.2">
      <c r="I697" s="681"/>
    </row>
    <row r="698" spans="9:9" s="675" customFormat="1" ht="12.75" x14ac:dyDescent="0.2">
      <c r="I698" s="681"/>
    </row>
    <row r="699" spans="9:9" s="675" customFormat="1" ht="12.75" x14ac:dyDescent="0.2">
      <c r="I699" s="681"/>
    </row>
    <row r="700" spans="9:9" s="675" customFormat="1" ht="12.75" x14ac:dyDescent="0.2">
      <c r="I700" s="681"/>
    </row>
    <row r="701" spans="9:9" s="675" customFormat="1" ht="12.75" x14ac:dyDescent="0.2">
      <c r="I701" s="681"/>
    </row>
    <row r="702" spans="9:9" s="675" customFormat="1" ht="12.75" x14ac:dyDescent="0.2">
      <c r="I702" s="681"/>
    </row>
    <row r="703" spans="9:9" s="675" customFormat="1" ht="12.75" x14ac:dyDescent="0.2">
      <c r="I703" s="681"/>
    </row>
    <row r="704" spans="9:9" s="675" customFormat="1" ht="12.75" x14ac:dyDescent="0.2">
      <c r="I704" s="681"/>
    </row>
    <row r="705" spans="9:9" s="675" customFormat="1" ht="12.75" x14ac:dyDescent="0.2">
      <c r="I705" s="681"/>
    </row>
    <row r="706" spans="9:9" s="675" customFormat="1" ht="12.75" x14ac:dyDescent="0.2">
      <c r="I706" s="681"/>
    </row>
    <row r="707" spans="9:9" s="675" customFormat="1" ht="12.75" x14ac:dyDescent="0.2">
      <c r="I707" s="681"/>
    </row>
    <row r="708" spans="9:9" s="675" customFormat="1" ht="12.75" x14ac:dyDescent="0.2">
      <c r="I708" s="681"/>
    </row>
    <row r="709" spans="9:9" s="675" customFormat="1" ht="12.75" x14ac:dyDescent="0.2">
      <c r="I709" s="681"/>
    </row>
    <row r="710" spans="9:9" s="675" customFormat="1" ht="12.75" x14ac:dyDescent="0.2">
      <c r="I710" s="681"/>
    </row>
    <row r="711" spans="9:9" s="675" customFormat="1" ht="12.75" x14ac:dyDescent="0.2">
      <c r="I711" s="681"/>
    </row>
    <row r="712" spans="9:9" s="675" customFormat="1" ht="12.75" x14ac:dyDescent="0.2">
      <c r="I712" s="681"/>
    </row>
    <row r="713" spans="9:9" s="675" customFormat="1" ht="12.75" x14ac:dyDescent="0.2">
      <c r="I713" s="681"/>
    </row>
    <row r="714" spans="9:9" s="675" customFormat="1" ht="12.75" x14ac:dyDescent="0.2">
      <c r="I714" s="681"/>
    </row>
    <row r="715" spans="9:9" s="675" customFormat="1" ht="12.75" x14ac:dyDescent="0.2">
      <c r="I715" s="681"/>
    </row>
    <row r="716" spans="9:9" s="675" customFormat="1" ht="12.75" x14ac:dyDescent="0.2">
      <c r="I716" s="681"/>
    </row>
    <row r="717" spans="9:9" s="675" customFormat="1" ht="12.75" x14ac:dyDescent="0.2">
      <c r="I717" s="681"/>
    </row>
    <row r="718" spans="9:9" s="675" customFormat="1" ht="12.75" x14ac:dyDescent="0.2">
      <c r="I718" s="681"/>
    </row>
    <row r="719" spans="9:9" s="675" customFormat="1" ht="12.75" x14ac:dyDescent="0.2">
      <c r="I719" s="681"/>
    </row>
    <row r="720" spans="9:9" s="675" customFormat="1" ht="12.75" x14ac:dyDescent="0.2">
      <c r="I720" s="681"/>
    </row>
    <row r="721" spans="9:9" s="675" customFormat="1" ht="12.75" x14ac:dyDescent="0.2">
      <c r="I721" s="681"/>
    </row>
    <row r="722" spans="9:9" s="675" customFormat="1" ht="12.75" x14ac:dyDescent="0.2">
      <c r="I722" s="681"/>
    </row>
    <row r="723" spans="9:9" s="675" customFormat="1" ht="12.75" x14ac:dyDescent="0.2">
      <c r="I723" s="681"/>
    </row>
    <row r="724" spans="9:9" s="675" customFormat="1" ht="12.75" x14ac:dyDescent="0.2">
      <c r="I724" s="681"/>
    </row>
    <row r="725" spans="9:9" s="675" customFormat="1" ht="12.75" x14ac:dyDescent="0.2">
      <c r="I725" s="681"/>
    </row>
    <row r="726" spans="9:9" s="675" customFormat="1" ht="12.75" x14ac:dyDescent="0.2">
      <c r="I726" s="681"/>
    </row>
    <row r="727" spans="9:9" s="675" customFormat="1" ht="12.75" x14ac:dyDescent="0.2">
      <c r="I727" s="681"/>
    </row>
    <row r="728" spans="9:9" s="675" customFormat="1" ht="12.75" x14ac:dyDescent="0.2">
      <c r="I728" s="681"/>
    </row>
    <row r="729" spans="9:9" s="675" customFormat="1" ht="12.75" x14ac:dyDescent="0.2">
      <c r="I729" s="681"/>
    </row>
    <row r="730" spans="9:9" s="675" customFormat="1" ht="12.75" x14ac:dyDescent="0.2">
      <c r="I730" s="681"/>
    </row>
    <row r="731" spans="9:9" s="675" customFormat="1" ht="12.75" x14ac:dyDescent="0.2">
      <c r="I731" s="681"/>
    </row>
    <row r="732" spans="9:9" s="675" customFormat="1" ht="12.75" x14ac:dyDescent="0.2">
      <c r="I732" s="681"/>
    </row>
    <row r="733" spans="9:9" s="675" customFormat="1" ht="12.75" x14ac:dyDescent="0.2">
      <c r="I733" s="681"/>
    </row>
    <row r="734" spans="9:9" s="675" customFormat="1" ht="12.75" x14ac:dyDescent="0.2">
      <c r="I734" s="681"/>
    </row>
    <row r="735" spans="9:9" s="675" customFormat="1" ht="12.75" x14ac:dyDescent="0.2">
      <c r="I735" s="681"/>
    </row>
    <row r="736" spans="9:9" s="675" customFormat="1" ht="12.75" x14ac:dyDescent="0.2">
      <c r="I736" s="681"/>
    </row>
    <row r="737" spans="9:9" s="675" customFormat="1" ht="12.75" x14ac:dyDescent="0.2">
      <c r="I737" s="681"/>
    </row>
    <row r="738" spans="9:9" s="675" customFormat="1" ht="12.75" x14ac:dyDescent="0.2">
      <c r="I738" s="681"/>
    </row>
    <row r="739" spans="9:9" s="675" customFormat="1" ht="12.75" x14ac:dyDescent="0.2">
      <c r="I739" s="681"/>
    </row>
    <row r="740" spans="9:9" s="675" customFormat="1" ht="12.75" x14ac:dyDescent="0.2">
      <c r="I740" s="681"/>
    </row>
    <row r="741" spans="9:9" s="675" customFormat="1" ht="12.75" x14ac:dyDescent="0.2">
      <c r="I741" s="681"/>
    </row>
    <row r="742" spans="9:9" s="675" customFormat="1" ht="12.75" x14ac:dyDescent="0.2">
      <c r="I742" s="681"/>
    </row>
    <row r="743" spans="9:9" s="675" customFormat="1" ht="12.75" x14ac:dyDescent="0.2">
      <c r="I743" s="681"/>
    </row>
  </sheetData>
  <mergeCells count="3">
    <mergeCell ref="A4:I4"/>
    <mergeCell ref="A5:I5"/>
    <mergeCell ref="B6:D6"/>
  </mergeCells>
  <printOptions horizontalCentered="1"/>
  <pageMargins left="0" right="0" top="1.3775590551181103" bottom="0.59015748031496074" header="0.98385826771653528" footer="0.19645669291338586"/>
  <pageSetup paperSize="0" scale="90" fitToWidth="0" fitToHeight="0" orientation="landscape" horizontalDpi="0" verticalDpi="0" copie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43"/>
  <sheetViews>
    <sheetView showGridLines="0" workbookViewId="0">
      <selection activeCell="P20" sqref="P20"/>
    </sheetView>
  </sheetViews>
  <sheetFormatPr baseColWidth="10" defaultRowHeight="14.25" x14ac:dyDescent="0.2"/>
  <cols>
    <col min="1" max="1" width="6" style="613" customWidth="1"/>
    <col min="2" max="2" width="20.375" style="613" customWidth="1"/>
    <col min="3" max="4" width="12.5" style="613" customWidth="1"/>
    <col min="5" max="5" width="12.75" style="613" customWidth="1"/>
    <col min="6" max="6" width="13.875" style="613" bestFit="1" customWidth="1"/>
    <col min="7" max="7" width="12" style="613" bestFit="1" customWidth="1"/>
    <col min="8" max="8" width="13.875" style="613" bestFit="1" customWidth="1"/>
    <col min="9" max="9" width="14.375" style="621" customWidth="1"/>
    <col min="10" max="10" width="7.5" style="613" customWidth="1"/>
    <col min="11" max="15" width="6.75" style="613" customWidth="1"/>
    <col min="16" max="1024" width="12.875" style="613" customWidth="1"/>
    <col min="1025" max="16384" width="11" style="402"/>
  </cols>
  <sheetData>
    <row r="1" spans="1:15" s="614" customFormat="1" ht="12.75" x14ac:dyDescent="0.2">
      <c r="A1" s="611"/>
      <c r="B1" s="611"/>
      <c r="C1" s="612" t="s">
        <v>0</v>
      </c>
      <c r="D1" s="649"/>
      <c r="E1" s="611"/>
      <c r="F1" s="611"/>
      <c r="G1" s="611"/>
      <c r="H1" s="611"/>
      <c r="I1" s="611"/>
    </row>
    <row r="2" spans="1:15" s="614" customFormat="1" ht="12.75" x14ac:dyDescent="0.2">
      <c r="A2" s="611"/>
      <c r="B2" s="611"/>
      <c r="C2" s="612" t="s">
        <v>163</v>
      </c>
      <c r="D2" s="649"/>
      <c r="E2" s="611"/>
      <c r="F2" s="611"/>
      <c r="G2" s="611"/>
      <c r="H2" s="611"/>
      <c r="I2" s="611"/>
    </row>
    <row r="3" spans="1:15" s="614" customFormat="1" ht="12.75" x14ac:dyDescent="0.2">
      <c r="B3" s="611"/>
      <c r="C3" s="611"/>
      <c r="D3" s="611"/>
      <c r="E3" s="611"/>
      <c r="F3" s="611"/>
      <c r="G3" s="611"/>
      <c r="H3" s="611"/>
      <c r="I3" s="611"/>
    </row>
    <row r="4" spans="1:15" s="614" customFormat="1" ht="12.75" x14ac:dyDescent="0.2">
      <c r="A4" s="762" t="s">
        <v>528</v>
      </c>
      <c r="B4" s="762"/>
      <c r="C4" s="762"/>
      <c r="D4" s="762"/>
      <c r="E4" s="762"/>
      <c r="F4" s="762"/>
      <c r="G4" s="762"/>
      <c r="H4" s="762"/>
      <c r="I4" s="762"/>
    </row>
    <row r="5" spans="1:15" s="614" customFormat="1" x14ac:dyDescent="0.2">
      <c r="A5" s="763"/>
      <c r="B5" s="763"/>
      <c r="C5" s="763"/>
      <c r="D5" s="763"/>
      <c r="E5" s="763"/>
      <c r="F5" s="763"/>
      <c r="G5" s="763"/>
      <c r="H5" s="763"/>
      <c r="I5" s="763"/>
    </row>
    <row r="6" spans="1:15" s="614" customFormat="1" ht="12.75" x14ac:dyDescent="0.2">
      <c r="A6" s="613"/>
      <c r="B6" s="764" t="s">
        <v>380</v>
      </c>
      <c r="C6" s="764"/>
      <c r="D6" s="764"/>
      <c r="E6" s="615"/>
      <c r="F6" s="616"/>
      <c r="H6" s="617"/>
      <c r="I6" s="615"/>
    </row>
    <row r="7" spans="1:15" s="614" customFormat="1" ht="12.75" x14ac:dyDescent="0.2">
      <c r="A7" s="613"/>
      <c r="B7" s="612" t="s">
        <v>314</v>
      </c>
      <c r="C7" s="613"/>
      <c r="D7" s="613"/>
      <c r="E7" s="613"/>
      <c r="F7" s="650">
        <f>'FONDOS PART 2024'!H14</f>
        <v>18931807.199999999</v>
      </c>
      <c r="G7" s="620"/>
      <c r="H7" s="617"/>
      <c r="I7" s="621"/>
    </row>
    <row r="8" spans="1:15" s="614" customFormat="1" ht="12.75" x14ac:dyDescent="0.2">
      <c r="A8" s="613"/>
      <c r="B8" s="612" t="s">
        <v>315</v>
      </c>
      <c r="C8" s="613"/>
      <c r="D8" s="613"/>
      <c r="E8" s="613"/>
      <c r="F8" s="619">
        <f>F7*0.45</f>
        <v>8519313.2400000002</v>
      </c>
      <c r="G8" s="650"/>
      <c r="H8" s="617"/>
      <c r="I8" s="613"/>
    </row>
    <row r="9" spans="1:15" s="614" customFormat="1" ht="12.75" x14ac:dyDescent="0.2">
      <c r="A9" s="613"/>
      <c r="B9" s="612" t="s">
        <v>317</v>
      </c>
      <c r="C9" s="613"/>
      <c r="D9" s="613"/>
      <c r="E9" s="613"/>
      <c r="F9" s="619">
        <f>F7*0.45</f>
        <v>8519313.2400000002</v>
      </c>
      <c r="G9" s="619"/>
      <c r="H9" s="622"/>
      <c r="I9" s="621"/>
    </row>
    <row r="10" spans="1:15" s="614" customFormat="1" ht="12.75" x14ac:dyDescent="0.2">
      <c r="A10" s="613"/>
      <c r="B10" s="612" t="s">
        <v>319</v>
      </c>
      <c r="C10" s="613"/>
      <c r="D10" s="613"/>
      <c r="E10" s="613"/>
      <c r="F10" s="619">
        <f>F7*0.1</f>
        <v>1893180.72</v>
      </c>
      <c r="G10" s="619"/>
      <c r="H10" s="622"/>
      <c r="I10" s="621"/>
    </row>
    <row r="11" spans="1:15" s="613" customFormat="1" ht="12.75" x14ac:dyDescent="0.2">
      <c r="A11" s="624"/>
      <c r="B11" s="624"/>
      <c r="C11" s="625"/>
      <c r="D11" s="626"/>
      <c r="F11" s="627"/>
      <c r="G11" s="617"/>
      <c r="I11" s="621"/>
    </row>
    <row r="12" spans="1:15" s="613" customFormat="1" ht="25.5" x14ac:dyDescent="0.2">
      <c r="A12" s="722" t="s">
        <v>364</v>
      </c>
      <c r="B12" s="722" t="s">
        <v>29</v>
      </c>
      <c r="C12" s="722" t="s">
        <v>10</v>
      </c>
      <c r="D12" s="722" t="s">
        <v>365</v>
      </c>
      <c r="E12" s="722" t="s">
        <v>366</v>
      </c>
      <c r="F12" s="722" t="s">
        <v>539</v>
      </c>
      <c r="G12" s="722" t="s">
        <v>542</v>
      </c>
      <c r="H12" s="722" t="s">
        <v>540</v>
      </c>
      <c r="I12" s="722" t="s">
        <v>541</v>
      </c>
    </row>
    <row r="13" spans="1:15" s="613" customFormat="1" ht="12.75" x14ac:dyDescent="0.2">
      <c r="A13" s="651"/>
      <c r="B13" s="651"/>
      <c r="C13" s="624" t="s">
        <v>370</v>
      </c>
      <c r="D13" s="624" t="s">
        <v>371</v>
      </c>
      <c r="E13" s="624" t="s">
        <v>372</v>
      </c>
      <c r="F13" s="624" t="s">
        <v>373</v>
      </c>
      <c r="G13" s="624" t="s">
        <v>374</v>
      </c>
      <c r="H13" s="624" t="s">
        <v>375</v>
      </c>
      <c r="I13" s="624" t="s">
        <v>376</v>
      </c>
    </row>
    <row r="14" spans="1:15" s="613" customFormat="1" ht="12.75" x14ac:dyDescent="0.2">
      <c r="A14" s="651"/>
      <c r="B14" s="651"/>
      <c r="C14" s="628">
        <v>100</v>
      </c>
      <c r="D14" s="629">
        <f t="shared" ref="D14:I14" si="0">SUM(D15:D127)</f>
        <v>8519313.2399999984</v>
      </c>
      <c r="E14" s="630">
        <f t="shared" si="0"/>
        <v>99.999999999999915</v>
      </c>
      <c r="F14" s="629">
        <f t="shared" si="0"/>
        <v>8519313.2399999928</v>
      </c>
      <c r="G14" s="630">
        <f t="shared" si="0"/>
        <v>100.00000000000006</v>
      </c>
      <c r="H14" s="629">
        <f t="shared" si="0"/>
        <v>1893180.7200000007</v>
      </c>
      <c r="I14" s="629">
        <f t="shared" si="0"/>
        <v>18931807.199999999</v>
      </c>
      <c r="M14" s="630"/>
      <c r="N14" s="630"/>
      <c r="O14" s="630"/>
    </row>
    <row r="15" spans="1:15" s="613" customFormat="1" ht="12.75" x14ac:dyDescent="0.2">
      <c r="A15" s="631">
        <v>1</v>
      </c>
      <c r="B15" s="631" t="s">
        <v>43</v>
      </c>
      <c r="C15" s="632">
        <f>'COEFIC 2023'!I8</f>
        <v>0.23797360453465957</v>
      </c>
      <c r="D15" s="633">
        <f t="shared" ref="D15:D46" si="1">$F$8*C15%</f>
        <v>20273.716798826496</v>
      </c>
      <c r="E15" s="634">
        <f>'COEFIC 2023'!P8</f>
        <v>0.39190942225476838</v>
      </c>
      <c r="F15" s="635">
        <f t="shared" ref="F15:F46" si="2">$F$9*E15%</f>
        <v>33387.99129895799</v>
      </c>
      <c r="G15" s="653">
        <f>FPART!J16</f>
        <v>0.78996666580088204</v>
      </c>
      <c r="H15" s="637">
        <f t="shared" ref="H15:H46" si="3">$F$10*G15%</f>
        <v>14955.496611369133</v>
      </c>
      <c r="I15" s="638">
        <f t="shared" ref="I15:I28" si="4">D15+F15+H15</f>
        <v>68617.204709153622</v>
      </c>
      <c r="M15" s="639"/>
      <c r="N15" s="640"/>
      <c r="O15" s="641"/>
    </row>
    <row r="16" spans="1:15" s="613" customFormat="1" ht="12.75" x14ac:dyDescent="0.2">
      <c r="A16" s="631">
        <v>2</v>
      </c>
      <c r="B16" s="631" t="s">
        <v>46</v>
      </c>
      <c r="C16" s="632">
        <f>'COEFIC 2023'!I9</f>
        <v>0.31068600666351365</v>
      </c>
      <c r="D16" s="633">
        <f t="shared" si="1"/>
        <v>26468.314100512001</v>
      </c>
      <c r="E16" s="634">
        <f>'COEFIC 2023'!P9</f>
        <v>1.2675015186709291</v>
      </c>
      <c r="F16" s="635">
        <f t="shared" si="2"/>
        <v>107982.42469733354</v>
      </c>
      <c r="G16" s="653">
        <f>FPART!J17</f>
        <v>0.41162616179693873</v>
      </c>
      <c r="H16" s="637">
        <f t="shared" si="3"/>
        <v>7792.8271336156486</v>
      </c>
      <c r="I16" s="638">
        <f t="shared" si="4"/>
        <v>142243.5659314612</v>
      </c>
      <c r="M16" s="639"/>
      <c r="N16" s="640"/>
      <c r="O16" s="641"/>
    </row>
    <row r="17" spans="1:15" s="613" customFormat="1" ht="12.75" x14ac:dyDescent="0.2">
      <c r="A17" s="631">
        <v>3</v>
      </c>
      <c r="B17" s="631" t="s">
        <v>49</v>
      </c>
      <c r="C17" s="632">
        <f>'COEFIC 2023'!I10</f>
        <v>0.48432819257562787</v>
      </c>
      <c r="D17" s="633">
        <f t="shared" si="1"/>
        <v>41261.435835148164</v>
      </c>
      <c r="E17" s="634">
        <f>'COEFIC 2023'!P10</f>
        <v>0.6143607387492529</v>
      </c>
      <c r="F17" s="635">
        <f t="shared" si="2"/>
        <v>52339.315757626915</v>
      </c>
      <c r="G17" s="653">
        <f>FPART!J18</f>
        <v>0.92173246284482802</v>
      </c>
      <c r="H17" s="637">
        <f t="shared" si="3"/>
        <v>17450.061276559449</v>
      </c>
      <c r="I17" s="638">
        <f t="shared" si="4"/>
        <v>111050.81286933454</v>
      </c>
      <c r="M17" s="639"/>
      <c r="N17" s="640"/>
      <c r="O17" s="641"/>
    </row>
    <row r="18" spans="1:15" s="613" customFormat="1" ht="12.75" x14ac:dyDescent="0.2">
      <c r="A18" s="631">
        <v>4</v>
      </c>
      <c r="B18" s="631" t="s">
        <v>52</v>
      </c>
      <c r="C18" s="632">
        <f>'COEFIC 2023'!I11</f>
        <v>0.31466592094163509</v>
      </c>
      <c r="D18" s="633">
        <f t="shared" si="1"/>
        <v>26807.375464548652</v>
      </c>
      <c r="E18" s="634">
        <f>'COEFIC 2023'!P11</f>
        <v>0.39045222807652885</v>
      </c>
      <c r="F18" s="635">
        <f t="shared" si="2"/>
        <v>33263.848362398719</v>
      </c>
      <c r="G18" s="653">
        <f>FPART!J19</f>
        <v>0.93309894828124873</v>
      </c>
      <c r="H18" s="637">
        <f t="shared" si="3"/>
        <v>17665.249387383374</v>
      </c>
      <c r="I18" s="638">
        <f t="shared" si="4"/>
        <v>77736.473214330748</v>
      </c>
      <c r="M18" s="639"/>
      <c r="N18" s="640"/>
      <c r="O18" s="641"/>
    </row>
    <row r="19" spans="1:15" s="613" customFormat="1" ht="12.75" x14ac:dyDescent="0.2">
      <c r="A19" s="631">
        <v>5</v>
      </c>
      <c r="B19" s="631" t="s">
        <v>54</v>
      </c>
      <c r="C19" s="632">
        <f>'COEFIC 2023'!I12</f>
        <v>0.22936098580581471</v>
      </c>
      <c r="D19" s="633">
        <f t="shared" si="1"/>
        <v>19539.980831149292</v>
      </c>
      <c r="E19" s="634">
        <f>'COEFIC 2023'!P12</f>
        <v>0.41290602770742135</v>
      </c>
      <c r="F19" s="635">
        <f t="shared" si="2"/>
        <v>35176.757887236417</v>
      </c>
      <c r="G19" s="653">
        <f>FPART!J20</f>
        <v>0.74669597756376371</v>
      </c>
      <c r="H19" s="637">
        <f t="shared" si="3"/>
        <v>14136.304284252699</v>
      </c>
      <c r="I19" s="638">
        <f t="shared" si="4"/>
        <v>68853.043002638413</v>
      </c>
      <c r="M19" s="639"/>
      <c r="N19" s="640"/>
      <c r="O19" s="641"/>
    </row>
    <row r="20" spans="1:15" s="613" customFormat="1" ht="12.75" x14ac:dyDescent="0.2">
      <c r="A20" s="631">
        <v>6</v>
      </c>
      <c r="B20" s="631" t="s">
        <v>57</v>
      </c>
      <c r="C20" s="632">
        <f>'COEFIC 2023'!I13</f>
        <v>2.6572982151874371</v>
      </c>
      <c r="D20" s="633">
        <f t="shared" si="1"/>
        <v>226383.55867274705</v>
      </c>
      <c r="E20" s="634">
        <f>'COEFIC 2023'!P13</f>
        <v>2.3148565147498155</v>
      </c>
      <c r="F20" s="635">
        <f t="shared" si="2"/>
        <v>197209.8775480836</v>
      </c>
      <c r="G20" s="653">
        <f>FPART!J21</f>
        <v>1.1174691526029661</v>
      </c>
      <c r="H20" s="637">
        <f t="shared" si="3"/>
        <v>21155.710549026731</v>
      </c>
      <c r="I20" s="638">
        <f t="shared" si="4"/>
        <v>444749.14676985738</v>
      </c>
      <c r="M20" s="639"/>
      <c r="N20" s="640"/>
      <c r="O20" s="641"/>
    </row>
    <row r="21" spans="1:15" s="613" customFormat="1" ht="12.75" x14ac:dyDescent="0.2">
      <c r="A21" s="631">
        <v>7</v>
      </c>
      <c r="B21" s="631" t="s">
        <v>44</v>
      </c>
      <c r="C21" s="632">
        <f>'COEFIC 2023'!I14</f>
        <v>7.4312790939103937E-2</v>
      </c>
      <c r="D21" s="633">
        <f t="shared" si="1"/>
        <v>6330.9394374886024</v>
      </c>
      <c r="E21" s="634">
        <f>'COEFIC 2023'!P14</f>
        <v>0.37653818456552185</v>
      </c>
      <c r="F21" s="635">
        <f t="shared" si="2"/>
        <v>32078.467411346141</v>
      </c>
      <c r="G21" s="653">
        <f>FPART!J22</f>
        <v>0.3446437770918015</v>
      </c>
      <c r="H21" s="637">
        <f t="shared" si="3"/>
        <v>6524.7295405817622</v>
      </c>
      <c r="I21" s="638">
        <f t="shared" si="4"/>
        <v>44934.136389416504</v>
      </c>
      <c r="M21" s="639"/>
      <c r="N21" s="640"/>
      <c r="O21" s="641"/>
    </row>
    <row r="22" spans="1:15" s="613" customFormat="1" ht="12.75" x14ac:dyDescent="0.2">
      <c r="A22" s="631">
        <v>8</v>
      </c>
      <c r="B22" s="631" t="s">
        <v>59</v>
      </c>
      <c r="C22" s="632">
        <f>'COEFIC 2023'!I15</f>
        <v>0.51962097739113877</v>
      </c>
      <c r="D22" s="633">
        <f t="shared" si="1"/>
        <v>44268.138724700693</v>
      </c>
      <c r="E22" s="634">
        <f>'COEFIC 2023'!P15</f>
        <v>2.3668185263996966</v>
      </c>
      <c r="F22" s="635">
        <f t="shared" si="2"/>
        <v>201636.68408634223</v>
      </c>
      <c r="G22" s="653">
        <f>FPART!J23</f>
        <v>0.37641255317525624</v>
      </c>
      <c r="H22" s="637">
        <f t="shared" si="3"/>
        <v>7126.1698843736986</v>
      </c>
      <c r="I22" s="638">
        <f t="shared" si="4"/>
        <v>253030.99269541661</v>
      </c>
      <c r="M22" s="639"/>
      <c r="N22" s="640"/>
      <c r="O22" s="641"/>
    </row>
    <row r="23" spans="1:15" s="613" customFormat="1" ht="12.75" x14ac:dyDescent="0.2">
      <c r="A23" s="631">
        <v>9</v>
      </c>
      <c r="B23" s="631" t="s">
        <v>342</v>
      </c>
      <c r="C23" s="632">
        <f>'COEFIC 2023'!I16</f>
        <v>0.76372238644925527</v>
      </c>
      <c r="D23" s="633">
        <f t="shared" si="1"/>
        <v>65063.902385615373</v>
      </c>
      <c r="E23" s="634">
        <f>'COEFIC 2023'!P16</f>
        <v>0.92206001121936687</v>
      </c>
      <c r="F23" s="635">
        <f t="shared" si="2"/>
        <v>78553.180616557001</v>
      </c>
      <c r="G23" s="653">
        <f>FPART!J24</f>
        <v>0.9472702299654876</v>
      </c>
      <c r="H23" s="637">
        <f t="shared" si="3"/>
        <v>17933.537360006274</v>
      </c>
      <c r="I23" s="638">
        <f t="shared" si="4"/>
        <v>161550.62036217866</v>
      </c>
      <c r="M23" s="639"/>
      <c r="N23" s="640"/>
      <c r="O23" s="641"/>
    </row>
    <row r="24" spans="1:15" s="613" customFormat="1" ht="12.75" x14ac:dyDescent="0.2">
      <c r="A24" s="631">
        <v>10</v>
      </c>
      <c r="B24" s="631" t="s">
        <v>64</v>
      </c>
      <c r="C24" s="632">
        <f>'COEFIC 2023'!I17</f>
        <v>0.428146122236855</v>
      </c>
      <c r="D24" s="633">
        <f t="shared" si="1"/>
        <v>36475.109278270975</v>
      </c>
      <c r="E24" s="634">
        <f>'COEFIC 2023'!P17</f>
        <v>2.5709050555810502</v>
      </c>
      <c r="F24" s="635">
        <f t="shared" si="2"/>
        <v>219023.45478794578</v>
      </c>
      <c r="G24" s="653">
        <f>FPART!J25</f>
        <v>0.29850253295498103</v>
      </c>
      <c r="H24" s="637">
        <f t="shared" si="3"/>
        <v>5651.1924026153474</v>
      </c>
      <c r="I24" s="638">
        <f t="shared" si="4"/>
        <v>261149.75646883211</v>
      </c>
      <c r="M24" s="639"/>
      <c r="N24" s="640"/>
      <c r="O24" s="641"/>
    </row>
    <row r="25" spans="1:15" s="613" customFormat="1" ht="12.75" x14ac:dyDescent="0.2">
      <c r="A25" s="631">
        <v>11</v>
      </c>
      <c r="B25" s="631" t="s">
        <v>343</v>
      </c>
      <c r="C25" s="632">
        <f>'COEFIC 2023'!I18</f>
        <v>0.24597554858590909</v>
      </c>
      <c r="D25" s="633">
        <f t="shared" si="1"/>
        <v>20955.427477841986</v>
      </c>
      <c r="E25" s="634">
        <f>'COEFIC 2023'!P18</f>
        <v>0.48150914529440353</v>
      </c>
      <c r="F25" s="635">
        <f t="shared" si="2"/>
        <v>41021.272366876954</v>
      </c>
      <c r="G25" s="653">
        <f>FPART!J26</f>
        <v>0.7069813546622179</v>
      </c>
      <c r="H25" s="637">
        <f t="shared" si="3"/>
        <v>13384.434700459931</v>
      </c>
      <c r="I25" s="638">
        <f t="shared" si="4"/>
        <v>75361.134545178866</v>
      </c>
      <c r="M25" s="639"/>
      <c r="N25" s="640"/>
      <c r="O25" s="641"/>
    </row>
    <row r="26" spans="1:15" s="613" customFormat="1" ht="12.75" x14ac:dyDescent="0.2">
      <c r="A26" s="631">
        <v>12</v>
      </c>
      <c r="B26" s="631" t="s">
        <v>70</v>
      </c>
      <c r="C26" s="632">
        <f>'COEFIC 2023'!I19</f>
        <v>0.95892770580473663</v>
      </c>
      <c r="D26" s="633">
        <f t="shared" si="1"/>
        <v>81694.055002651177</v>
      </c>
      <c r="E26" s="634">
        <f>'COEFIC 2023'!P19</f>
        <v>1.0229413737008273</v>
      </c>
      <c r="F26" s="635">
        <f t="shared" si="2"/>
        <v>87147.579887132466</v>
      </c>
      <c r="G26" s="653">
        <f>FPART!J27</f>
        <v>1.0116977575122408</v>
      </c>
      <c r="H26" s="637">
        <f t="shared" si="3"/>
        <v>19153.266889894094</v>
      </c>
      <c r="I26" s="638">
        <f t="shared" si="4"/>
        <v>187994.90177967772</v>
      </c>
      <c r="M26" s="639"/>
      <c r="N26" s="640"/>
      <c r="O26" s="641"/>
    </row>
    <row r="27" spans="1:15" s="613" customFormat="1" ht="12.75" x14ac:dyDescent="0.2">
      <c r="A27" s="631">
        <v>13</v>
      </c>
      <c r="B27" s="631" t="s">
        <v>73</v>
      </c>
      <c r="C27" s="632">
        <f>'COEFIC 2023'!I20</f>
        <v>0.19322589109017221</v>
      </c>
      <c r="D27" s="633">
        <f t="shared" si="1"/>
        <v>16461.518922753021</v>
      </c>
      <c r="E27" s="634">
        <f>'COEFIC 2023'!P20</f>
        <v>0.96514801886169921</v>
      </c>
      <c r="F27" s="635">
        <f t="shared" si="2"/>
        <v>82223.982956482447</v>
      </c>
      <c r="G27" s="653">
        <f>FPART!J28</f>
        <v>0.34878390370081253</v>
      </c>
      <c r="H27" s="637">
        <f t="shared" si="3"/>
        <v>6603.1096193271487</v>
      </c>
      <c r="I27" s="638">
        <f t="shared" si="4"/>
        <v>105288.61149856262</v>
      </c>
      <c r="M27" s="639"/>
      <c r="N27" s="640"/>
      <c r="O27" s="641"/>
    </row>
    <row r="28" spans="1:15" s="613" customFormat="1" ht="12.75" x14ac:dyDescent="0.2">
      <c r="A28" s="631">
        <v>14</v>
      </c>
      <c r="B28" s="631" t="s">
        <v>75</v>
      </c>
      <c r="C28" s="632">
        <f>'COEFIC 2023'!I21</f>
        <v>0.35844497800097119</v>
      </c>
      <c r="D28" s="633">
        <f t="shared" si="1"/>
        <v>30537.050468951824</v>
      </c>
      <c r="E28" s="634">
        <f>'COEFIC 2023'!P21</f>
        <v>0.57115855003271865</v>
      </c>
      <c r="F28" s="635">
        <f t="shared" si="2"/>
        <v>48658.785974329425</v>
      </c>
      <c r="G28" s="653">
        <f>FPART!J29</f>
        <v>0.80624051696347643</v>
      </c>
      <c r="H28" s="637">
        <f t="shared" si="3"/>
        <v>15263.590023980865</v>
      </c>
      <c r="I28" s="638">
        <f t="shared" si="4"/>
        <v>94459.426467262121</v>
      </c>
      <c r="M28" s="639"/>
      <c r="N28" s="640"/>
      <c r="O28" s="641"/>
    </row>
    <row r="29" spans="1:15" s="613" customFormat="1" ht="12.75" x14ac:dyDescent="0.2">
      <c r="A29" s="631">
        <v>15</v>
      </c>
      <c r="B29" s="728" t="s">
        <v>77</v>
      </c>
      <c r="C29" s="632">
        <f>'COEFIC 2023'!I22</f>
        <v>0.41342675673205659</v>
      </c>
      <c r="D29" s="633">
        <f t="shared" si="1"/>
        <v>35221.120423976688</v>
      </c>
      <c r="E29" s="634">
        <f>'COEFIC 2023'!P22</f>
        <v>2.4541796257109025</v>
      </c>
      <c r="F29" s="635">
        <f t="shared" si="2"/>
        <v>209079.24978657137</v>
      </c>
      <c r="G29" s="653">
        <f>FPART!J30</f>
        <v>0.30145252425752023</v>
      </c>
      <c r="H29" s="637">
        <f t="shared" si="3"/>
        <v>5707.0410691966963</v>
      </c>
      <c r="I29" s="638">
        <f>D29+F29+H29</f>
        <v>250007.41127974473</v>
      </c>
      <c r="M29" s="639"/>
      <c r="N29" s="640"/>
      <c r="O29" s="641"/>
    </row>
    <row r="30" spans="1:15" s="613" customFormat="1" ht="12.75" x14ac:dyDescent="0.2">
      <c r="A30" s="631">
        <v>16</v>
      </c>
      <c r="B30" s="631" t="s">
        <v>79</v>
      </c>
      <c r="C30" s="632">
        <f>'COEFIC 2023'!I23</f>
        <v>0.44147567640643642</v>
      </c>
      <c r="D30" s="633">
        <f t="shared" si="1"/>
        <v>37610.695751473097</v>
      </c>
      <c r="E30" s="634">
        <f>'COEFIC 2023'!P23</f>
        <v>0.50820227003137264</v>
      </c>
      <c r="F30" s="635">
        <f t="shared" si="2"/>
        <v>43295.343276763284</v>
      </c>
      <c r="G30" s="653">
        <f>FPART!J31</f>
        <v>0.97200905439695728</v>
      </c>
      <c r="H30" s="637">
        <f t="shared" si="3"/>
        <v>18401.888014497508</v>
      </c>
      <c r="I30" s="638">
        <f t="shared" ref="I30:I61" si="5">D30+F30+H30</f>
        <v>99307.927042733892</v>
      </c>
      <c r="M30" s="639"/>
      <c r="N30" s="640"/>
      <c r="O30" s="641"/>
    </row>
    <row r="31" spans="1:15" s="613" customFormat="1" ht="12.75" x14ac:dyDescent="0.2">
      <c r="A31" s="631">
        <v>17</v>
      </c>
      <c r="B31" s="631" t="s">
        <v>81</v>
      </c>
      <c r="C31" s="632">
        <f>'COEFIC 2023'!I24</f>
        <v>0.73849520494031606</v>
      </c>
      <c r="D31" s="633">
        <f t="shared" si="1"/>
        <v>62914.71977124548</v>
      </c>
      <c r="E31" s="634">
        <f>'COEFIC 2023'!P24</f>
        <v>0.66896812392176042</v>
      </c>
      <c r="F31" s="635">
        <f t="shared" si="2"/>
        <v>56991.489952646145</v>
      </c>
      <c r="G31" s="653">
        <f>FPART!J32</f>
        <v>1.0971107594620315</v>
      </c>
      <c r="H31" s="637">
        <f t="shared" si="3"/>
        <v>20770.289375180757</v>
      </c>
      <c r="I31" s="638">
        <f t="shared" si="5"/>
        <v>140676.49909907239</v>
      </c>
      <c r="M31" s="639"/>
      <c r="N31" s="640"/>
      <c r="O31" s="641"/>
    </row>
    <row r="32" spans="1:15" s="613" customFormat="1" ht="12.75" x14ac:dyDescent="0.2">
      <c r="A32" s="631">
        <v>18</v>
      </c>
      <c r="B32" s="631" t="s">
        <v>82</v>
      </c>
      <c r="C32" s="632">
        <f>'COEFIC 2023'!I25</f>
        <v>0.19971167732118497</v>
      </c>
      <c r="D32" s="633">
        <f t="shared" si="1"/>
        <v>17014.063367849791</v>
      </c>
      <c r="E32" s="634">
        <f>'COEFIC 2023'!P25</f>
        <v>0.28026543034401025</v>
      </c>
      <c r="F32" s="635">
        <f t="shared" si="2"/>
        <v>23876.689914440241</v>
      </c>
      <c r="G32" s="653">
        <f>FPART!J33</f>
        <v>0.87000714146065139</v>
      </c>
      <c r="H32" s="637">
        <f t="shared" si="3"/>
        <v>16470.807464756181</v>
      </c>
      <c r="I32" s="638">
        <f t="shared" si="5"/>
        <v>57361.560747046213</v>
      </c>
      <c r="M32" s="639"/>
      <c r="N32" s="640"/>
      <c r="O32" s="641"/>
    </row>
    <row r="33" spans="1:15" s="613" customFormat="1" ht="12.75" x14ac:dyDescent="0.2">
      <c r="A33" s="631">
        <v>19</v>
      </c>
      <c r="B33" s="631" t="s">
        <v>344</v>
      </c>
      <c r="C33" s="632">
        <f>'COEFIC 2023'!I26</f>
        <v>0.42532438407141443</v>
      </c>
      <c r="D33" s="633">
        <f t="shared" si="1"/>
        <v>36234.716565144459</v>
      </c>
      <c r="E33" s="634">
        <f>'COEFIC 2023'!P26</f>
        <v>0.62493143387391448</v>
      </c>
      <c r="F33" s="635">
        <f t="shared" si="2"/>
        <v>53239.866386942245</v>
      </c>
      <c r="G33" s="653">
        <f>FPART!J34</f>
        <v>0.84676923048551944</v>
      </c>
      <c r="H33" s="637">
        <f t="shared" si="3"/>
        <v>16030.871814444215</v>
      </c>
      <c r="I33" s="638">
        <f t="shared" si="5"/>
        <v>105505.45476653091</v>
      </c>
      <c r="M33" s="639"/>
      <c r="N33" s="640"/>
      <c r="O33" s="641"/>
    </row>
    <row r="34" spans="1:15" s="613" customFormat="1" ht="12.75" x14ac:dyDescent="0.2">
      <c r="A34" s="631">
        <v>20</v>
      </c>
      <c r="B34" s="631" t="s">
        <v>87</v>
      </c>
      <c r="C34" s="632">
        <f>'COEFIC 2023'!I27</f>
        <v>0.62983722782334906</v>
      </c>
      <c r="D34" s="633">
        <f t="shared" si="1"/>
        <v>53657.806340403542</v>
      </c>
      <c r="E34" s="634">
        <f>'COEFIC 2023'!P27</f>
        <v>0.53262041220293821</v>
      </c>
      <c r="F34" s="635">
        <f t="shared" si="2"/>
        <v>45375.601295747496</v>
      </c>
      <c r="G34" s="653">
        <f>FPART!J35</f>
        <v>1.1328986870144744</v>
      </c>
      <c r="H34" s="637">
        <f t="shared" si="3"/>
        <v>21447.819519691173</v>
      </c>
      <c r="I34" s="638">
        <f t="shared" si="5"/>
        <v>120481.22715584221</v>
      </c>
      <c r="M34" s="639"/>
      <c r="N34" s="640"/>
      <c r="O34" s="641"/>
    </row>
    <row r="35" spans="1:15" s="613" customFormat="1" ht="12.75" x14ac:dyDescent="0.2">
      <c r="A35" s="631">
        <v>21</v>
      </c>
      <c r="B35" s="631" t="s">
        <v>88</v>
      </c>
      <c r="C35" s="632">
        <f>'COEFIC 2023'!I28</f>
        <v>0.28510084344701853</v>
      </c>
      <c r="D35" s="633">
        <f t="shared" si="1"/>
        <v>24288.633903133523</v>
      </c>
      <c r="E35" s="634">
        <f>'COEFIC 2023'!P28</f>
        <v>0.29534014984136081</v>
      </c>
      <c r="F35" s="635">
        <f t="shared" si="2"/>
        <v>25160.952488470892</v>
      </c>
      <c r="G35" s="653">
        <f>FPART!J36</f>
        <v>1.0270233276278691</v>
      </c>
      <c r="H35" s="637">
        <f t="shared" si="3"/>
        <v>19443.40762855325</v>
      </c>
      <c r="I35" s="638">
        <f t="shared" si="5"/>
        <v>68892.994020157668</v>
      </c>
      <c r="M35" s="639"/>
      <c r="N35" s="640"/>
      <c r="O35" s="641"/>
    </row>
    <row r="36" spans="1:15" s="613" customFormat="1" ht="12.75" x14ac:dyDescent="0.2">
      <c r="A36" s="631">
        <v>22</v>
      </c>
      <c r="B36" s="631" t="s">
        <v>91</v>
      </c>
      <c r="C36" s="632">
        <f>'COEFIC 2023'!I29</f>
        <v>0.52934965673765799</v>
      </c>
      <c r="D36" s="633">
        <f t="shared" si="1"/>
        <v>45096.955392345852</v>
      </c>
      <c r="E36" s="634">
        <f>'COEFIC 2023'!P29</f>
        <v>0.58909725889407172</v>
      </c>
      <c r="F36" s="635">
        <f t="shared" si="2"/>
        <v>50187.04077343973</v>
      </c>
      <c r="G36" s="653">
        <f>FPART!J37</f>
        <v>0.9896169889340688</v>
      </c>
      <c r="H36" s="637">
        <f t="shared" si="3"/>
        <v>18735.238036344323</v>
      </c>
      <c r="I36" s="638">
        <f t="shared" si="5"/>
        <v>114019.23420212991</v>
      </c>
      <c r="M36" s="639"/>
      <c r="N36" s="640"/>
      <c r="O36" s="641"/>
    </row>
    <row r="37" spans="1:15" s="613" customFormat="1" ht="12.75" x14ac:dyDescent="0.2">
      <c r="A37" s="631">
        <v>23</v>
      </c>
      <c r="B37" s="631" t="s">
        <v>60</v>
      </c>
      <c r="C37" s="632">
        <f>'COEFIC 2023'!I30</f>
        <v>0.21935855574175284</v>
      </c>
      <c r="D37" s="633">
        <f t="shared" si="1"/>
        <v>18687.842482379932</v>
      </c>
      <c r="E37" s="634">
        <f>'COEFIC 2023'!P30</f>
        <v>0.33156680672772304</v>
      </c>
      <c r="F37" s="635">
        <f t="shared" si="2"/>
        <v>28247.214865000122</v>
      </c>
      <c r="G37" s="653">
        <f>FPART!J38</f>
        <v>0.83253345540973678</v>
      </c>
      <c r="H37" s="637">
        <f t="shared" si="3"/>
        <v>15761.362865366933</v>
      </c>
      <c r="I37" s="638">
        <f t="shared" si="5"/>
        <v>62696.420212746991</v>
      </c>
      <c r="M37" s="639"/>
      <c r="N37" s="640"/>
      <c r="O37" s="641"/>
    </row>
    <row r="38" spans="1:15" s="613" customFormat="1" ht="12.75" x14ac:dyDescent="0.2">
      <c r="A38" s="631">
        <v>24</v>
      </c>
      <c r="B38" s="631" t="s">
        <v>95</v>
      </c>
      <c r="C38" s="632">
        <f>'COEFIC 2023'!I31</f>
        <v>0.43349479010269021</v>
      </c>
      <c r="D38" s="633">
        <f t="shared" si="1"/>
        <v>36930.7790479287</v>
      </c>
      <c r="E38" s="634">
        <f>'COEFIC 2023'!P31</f>
        <v>0.37830699446529953</v>
      </c>
      <c r="F38" s="635">
        <f t="shared" si="2"/>
        <v>32229.157867328329</v>
      </c>
      <c r="G38" s="653">
        <f>FPART!J39</f>
        <v>1.1165386556009005</v>
      </c>
      <c r="H38" s="637">
        <f t="shared" si="3"/>
        <v>21138.09455918345</v>
      </c>
      <c r="I38" s="638">
        <f t="shared" si="5"/>
        <v>90298.031474440475</v>
      </c>
      <c r="M38" s="639"/>
      <c r="N38" s="640"/>
      <c r="O38" s="641"/>
    </row>
    <row r="39" spans="1:15" s="613" customFormat="1" ht="12.75" x14ac:dyDescent="0.2">
      <c r="A39" s="631">
        <v>25</v>
      </c>
      <c r="B39" s="631" t="s">
        <v>97</v>
      </c>
      <c r="C39" s="632">
        <f>'COEFIC 2023'!I32</f>
        <v>0.8541022387333681</v>
      </c>
      <c r="D39" s="633">
        <f t="shared" si="1"/>
        <v>72763.645107548247</v>
      </c>
      <c r="E39" s="634">
        <f>'COEFIC 2023'!P32</f>
        <v>0.57696638894395824</v>
      </c>
      <c r="F39" s="635">
        <f t="shared" si="2"/>
        <v>49153.573963652532</v>
      </c>
      <c r="G39" s="653">
        <f>FPART!J40</f>
        <v>1.2479272892564075</v>
      </c>
      <c r="H39" s="637">
        <f t="shared" si="3"/>
        <v>23625.518839820936</v>
      </c>
      <c r="I39" s="638">
        <f t="shared" si="5"/>
        <v>145542.73791102172</v>
      </c>
      <c r="M39" s="639"/>
      <c r="N39" s="640"/>
      <c r="O39" s="641"/>
    </row>
    <row r="40" spans="1:15" s="613" customFormat="1" ht="12.75" x14ac:dyDescent="0.2">
      <c r="A40" s="631">
        <v>26</v>
      </c>
      <c r="B40" s="631" t="s">
        <v>345</v>
      </c>
      <c r="C40" s="632">
        <f>'COEFIC 2023'!I33</f>
        <v>0.10050862883319442</v>
      </c>
      <c r="D40" s="633">
        <f t="shared" si="1"/>
        <v>8562.6449235287891</v>
      </c>
      <c r="E40" s="634">
        <f>'COEFIC 2023'!P33</f>
        <v>0.94812774970318459</v>
      </c>
      <c r="F40" s="635">
        <f t="shared" si="2"/>
        <v>80773.972912577476</v>
      </c>
      <c r="G40" s="653">
        <f>FPART!J41</f>
        <v>0.20040950302944549</v>
      </c>
      <c r="H40" s="637">
        <f t="shared" si="3"/>
        <v>3794.114072401278</v>
      </c>
      <c r="I40" s="638">
        <f t="shared" si="5"/>
        <v>93130.731908507543</v>
      </c>
      <c r="M40" s="639"/>
      <c r="N40" s="640"/>
      <c r="O40" s="641"/>
    </row>
    <row r="41" spans="1:15" s="613" customFormat="1" ht="12.75" x14ac:dyDescent="0.2">
      <c r="A41" s="631">
        <v>27</v>
      </c>
      <c r="B41" s="631" t="s">
        <v>71</v>
      </c>
      <c r="C41" s="632">
        <f>'COEFIC 2023'!I34</f>
        <v>0.10410950365625671</v>
      </c>
      <c r="D41" s="633">
        <f t="shared" si="1"/>
        <v>8869.4147290857618</v>
      </c>
      <c r="E41" s="634">
        <f>'COEFIC 2023'!P34</f>
        <v>0.23628668401264072</v>
      </c>
      <c r="F41" s="635">
        <f t="shared" si="2"/>
        <v>20130.002755445865</v>
      </c>
      <c r="G41" s="653">
        <f>FPART!J42</f>
        <v>0.63950739550870017</v>
      </c>
      <c r="H41" s="637">
        <f t="shared" si="3"/>
        <v>12107.030714744858</v>
      </c>
      <c r="I41" s="638">
        <f t="shared" si="5"/>
        <v>41106.448199276485</v>
      </c>
      <c r="M41" s="639"/>
      <c r="N41" s="640"/>
      <c r="O41" s="641"/>
    </row>
    <row r="42" spans="1:15" s="613" customFormat="1" ht="12.75" x14ac:dyDescent="0.2">
      <c r="A42" s="631">
        <v>28</v>
      </c>
      <c r="B42" s="631" t="s">
        <v>72</v>
      </c>
      <c r="C42" s="632">
        <f>'COEFIC 2023'!I35</f>
        <v>0.11019519268470698</v>
      </c>
      <c r="D42" s="633">
        <f t="shared" si="1"/>
        <v>9387.8736402317536</v>
      </c>
      <c r="E42" s="634">
        <f>'COEFIC 2023'!P35</f>
        <v>0.25822216015596905</v>
      </c>
      <c r="F42" s="635">
        <f t="shared" si="2"/>
        <v>21998.754678781475</v>
      </c>
      <c r="G42" s="653">
        <f>FPART!J43</f>
        <v>0.62540659063940485</v>
      </c>
      <c r="H42" s="637">
        <f t="shared" si="3"/>
        <v>11840.076995594538</v>
      </c>
      <c r="I42" s="638">
        <f t="shared" si="5"/>
        <v>43226.705314607767</v>
      </c>
      <c r="M42" s="639"/>
      <c r="N42" s="640"/>
      <c r="O42" s="641"/>
    </row>
    <row r="43" spans="1:15" s="613" customFormat="1" ht="12.75" x14ac:dyDescent="0.2">
      <c r="A43" s="631">
        <v>29</v>
      </c>
      <c r="B43" s="631" t="s">
        <v>61</v>
      </c>
      <c r="C43" s="632">
        <f>'COEFIC 2023'!I36</f>
        <v>0.25989471968558259</v>
      </c>
      <c r="D43" s="633">
        <f t="shared" si="1"/>
        <v>22141.245264234723</v>
      </c>
      <c r="E43" s="634">
        <f>'COEFIC 2023'!P36</f>
        <v>0.80482357884115929</v>
      </c>
      <c r="F43" s="635">
        <f t="shared" si="2"/>
        <v>68565.441710856729</v>
      </c>
      <c r="G43" s="653">
        <f>FPART!J44</f>
        <v>0.51039054519633531</v>
      </c>
      <c r="H43" s="637">
        <f t="shared" si="3"/>
        <v>9662.6153983599052</v>
      </c>
      <c r="I43" s="638">
        <f t="shared" si="5"/>
        <v>100369.30237345136</v>
      </c>
      <c r="M43" s="639"/>
      <c r="N43" s="640"/>
      <c r="O43" s="641"/>
    </row>
    <row r="44" spans="1:15" s="613" customFormat="1" ht="12.75" x14ac:dyDescent="0.2">
      <c r="A44" s="631">
        <v>30</v>
      </c>
      <c r="B44" s="631" t="s">
        <v>104</v>
      </c>
      <c r="C44" s="632">
        <f>'COEFIC 2023'!I37</f>
        <v>0.24953430791396478</v>
      </c>
      <c r="D44" s="633">
        <f t="shared" si="1"/>
        <v>21258.60933245677</v>
      </c>
      <c r="E44" s="634">
        <f>'COEFIC 2023'!P37</f>
        <v>0.37167013004425603</v>
      </c>
      <c r="F44" s="635">
        <f t="shared" si="2"/>
        <v>31663.742597985522</v>
      </c>
      <c r="G44" s="653">
        <f>FPART!J45</f>
        <v>0.83991550252888769</v>
      </c>
      <c r="H44" s="637">
        <f t="shared" si="3"/>
        <v>15901.118358168014</v>
      </c>
      <c r="I44" s="638">
        <f t="shared" si="5"/>
        <v>68823.470288610304</v>
      </c>
      <c r="M44" s="639"/>
      <c r="N44" s="640"/>
      <c r="O44" s="641"/>
    </row>
    <row r="45" spans="1:15" s="613" customFormat="1" ht="12.75" x14ac:dyDescent="0.2">
      <c r="A45" s="631">
        <v>31</v>
      </c>
      <c r="B45" s="631" t="s">
        <v>48</v>
      </c>
      <c r="C45" s="632">
        <f>'COEFIC 2023'!I38</f>
        <v>0.33928242777297896</v>
      </c>
      <c r="D45" s="633">
        <f t="shared" si="1"/>
        <v>28904.532790256835</v>
      </c>
      <c r="E45" s="634">
        <f>'COEFIC 2023'!P38</f>
        <v>0.55583300952537551</v>
      </c>
      <c r="F45" s="635">
        <f t="shared" si="2"/>
        <v>47353.155172785773</v>
      </c>
      <c r="G45" s="653">
        <f>FPART!J46</f>
        <v>0.79254184703312069</v>
      </c>
      <c r="H45" s="637">
        <f t="shared" si="3"/>
        <v>15004.249445962932</v>
      </c>
      <c r="I45" s="638">
        <f t="shared" si="5"/>
        <v>91261.93740900555</v>
      </c>
      <c r="M45" s="639"/>
      <c r="N45" s="640"/>
      <c r="O45" s="641"/>
    </row>
    <row r="46" spans="1:15" s="613" customFormat="1" ht="12.75" x14ac:dyDescent="0.2">
      <c r="A46" s="631">
        <v>32</v>
      </c>
      <c r="B46" s="631" t="s">
        <v>83</v>
      </c>
      <c r="C46" s="632">
        <f>'COEFIC 2023'!I39</f>
        <v>0.33092250201417356</v>
      </c>
      <c r="D46" s="633">
        <f t="shared" si="1"/>
        <v>28192.324528232755</v>
      </c>
      <c r="E46" s="634">
        <f>'COEFIC 2023'!P39</f>
        <v>0.35285067758515876</v>
      </c>
      <c r="F46" s="635">
        <f t="shared" si="2"/>
        <v>30060.454492942143</v>
      </c>
      <c r="G46" s="653">
        <f>FPART!J47</f>
        <v>1.0119385015504034</v>
      </c>
      <c r="H46" s="637">
        <f t="shared" si="3"/>
        <v>19157.824609609139</v>
      </c>
      <c r="I46" s="638">
        <f t="shared" si="5"/>
        <v>77410.603630784026</v>
      </c>
      <c r="M46" s="639"/>
      <c r="N46" s="640"/>
      <c r="O46" s="641"/>
    </row>
    <row r="47" spans="1:15" s="613" customFormat="1" ht="12.75" x14ac:dyDescent="0.2">
      <c r="A47" s="631">
        <v>33</v>
      </c>
      <c r="B47" s="631" t="s">
        <v>108</v>
      </c>
      <c r="C47" s="632">
        <f>'COEFIC 2023'!I40</f>
        <v>0.45202560790558383</v>
      </c>
      <c r="D47" s="633">
        <f t="shared" ref="D47:D78" si="6">$F$8*C47%</f>
        <v>38509.47746249089</v>
      </c>
      <c r="E47" s="634">
        <f>'COEFIC 2023'!P40</f>
        <v>0.49576725952589529</v>
      </c>
      <c r="F47" s="635">
        <f t="shared" ref="F47:F78" si="7">$F$9*E47%</f>
        <v>42235.965780374761</v>
      </c>
      <c r="G47" s="653">
        <f>FPART!J48</f>
        <v>0.99721656830305083</v>
      </c>
      <c r="H47" s="637">
        <f t="shared" ref="H47:H78" si="8">$F$10*G47%</f>
        <v>18879.111807758989</v>
      </c>
      <c r="I47" s="638">
        <f t="shared" si="5"/>
        <v>99624.555050624636</v>
      </c>
      <c r="M47" s="639"/>
      <c r="N47" s="640"/>
      <c r="O47" s="641"/>
    </row>
    <row r="48" spans="1:15" s="613" customFormat="1" ht="12.75" x14ac:dyDescent="0.2">
      <c r="A48" s="631">
        <v>34</v>
      </c>
      <c r="B48" s="631" t="s">
        <v>110</v>
      </c>
      <c r="C48" s="632">
        <f>'COEFIC 2023'!I41</f>
        <v>2.6472115541333623</v>
      </c>
      <c r="D48" s="633">
        <f t="shared" si="6"/>
        <v>225524.2444220933</v>
      </c>
      <c r="E48" s="634">
        <f>'COEFIC 2023'!P41</f>
        <v>1.9717994179898699</v>
      </c>
      <c r="F48" s="635">
        <f t="shared" si="7"/>
        <v>167983.76888305394</v>
      </c>
      <c r="G48" s="653">
        <f>FPART!J49</f>
        <v>1.1983385718274551</v>
      </c>
      <c r="H48" s="637">
        <f t="shared" si="8"/>
        <v>22686.714802160728</v>
      </c>
      <c r="I48" s="638">
        <f t="shared" si="5"/>
        <v>416194.72810730798</v>
      </c>
      <c r="M48" s="639"/>
      <c r="N48" s="640"/>
      <c r="O48" s="641"/>
    </row>
    <row r="49" spans="1:15" s="613" customFormat="1" ht="12.75" x14ac:dyDescent="0.2">
      <c r="A49" s="631">
        <v>35</v>
      </c>
      <c r="B49" s="631" t="s">
        <v>112</v>
      </c>
      <c r="C49" s="632">
        <f>'COEFIC 2023'!I42</f>
        <v>0.64493563278320676</v>
      </c>
      <c r="D49" s="633">
        <f t="shared" si="6"/>
        <v>54944.086753177515</v>
      </c>
      <c r="E49" s="634">
        <f>'COEFIC 2023'!P42</f>
        <v>1.3912005894388211</v>
      </c>
      <c r="F49" s="635">
        <f t="shared" si="7"/>
        <v>118520.73601101953</v>
      </c>
      <c r="G49" s="653">
        <f>FPART!J50</f>
        <v>0.66229187199343809</v>
      </c>
      <c r="H49" s="637">
        <f t="shared" si="8"/>
        <v>12538.382030706849</v>
      </c>
      <c r="I49" s="638">
        <f t="shared" si="5"/>
        <v>186003.2047949039</v>
      </c>
      <c r="M49" s="639"/>
      <c r="N49" s="640"/>
      <c r="O49" s="641"/>
    </row>
    <row r="50" spans="1:15" s="613" customFormat="1" ht="12.75" x14ac:dyDescent="0.2">
      <c r="A50" s="631">
        <v>36</v>
      </c>
      <c r="B50" s="631" t="s">
        <v>114</v>
      </c>
      <c r="C50" s="632">
        <f>'COEFIC 2023'!I43</f>
        <v>0.24519641192828742</v>
      </c>
      <c r="D50" s="633">
        <f t="shared" si="6"/>
        <v>20889.05038541153</v>
      </c>
      <c r="E50" s="634">
        <f>'COEFIC 2023'!P43</f>
        <v>0.38634093434527844</v>
      </c>
      <c r="F50" s="635">
        <f t="shared" si="7"/>
        <v>32913.594371217012</v>
      </c>
      <c r="G50" s="653">
        <f>FPART!J51</f>
        <v>0.81181104447788688</v>
      </c>
      <c r="H50" s="637">
        <f t="shared" si="8"/>
        <v>15369.050176885979</v>
      </c>
      <c r="I50" s="638">
        <f t="shared" si="5"/>
        <v>69171.694933514518</v>
      </c>
      <c r="M50" s="639"/>
      <c r="N50" s="640"/>
      <c r="O50" s="641"/>
    </row>
    <row r="51" spans="1:15" s="613" customFormat="1" ht="12.75" x14ac:dyDescent="0.2">
      <c r="A51" s="631">
        <v>37</v>
      </c>
      <c r="B51" s="631" t="s">
        <v>92</v>
      </c>
      <c r="C51" s="632">
        <f>'COEFIC 2023'!I44</f>
        <v>0.16730380391362448</v>
      </c>
      <c r="D51" s="633">
        <f t="shared" si="6"/>
        <v>14253.135117837048</v>
      </c>
      <c r="E51" s="634">
        <f>'COEFIC 2023'!P44</f>
        <v>0.29726517420617776</v>
      </c>
      <c r="F51" s="635">
        <f t="shared" si="7"/>
        <v>25324.951344055968</v>
      </c>
      <c r="G51" s="653">
        <f>FPART!J52</f>
        <v>0.75300089428431383</v>
      </c>
      <c r="H51" s="637">
        <f t="shared" si="8"/>
        <v>14255.667752018211</v>
      </c>
      <c r="I51" s="638">
        <f t="shared" si="5"/>
        <v>53833.754213911227</v>
      </c>
      <c r="M51" s="639"/>
      <c r="N51" s="640"/>
      <c r="O51" s="641"/>
    </row>
    <row r="52" spans="1:15" s="613" customFormat="1" ht="12.75" x14ac:dyDescent="0.2">
      <c r="A52" s="631">
        <v>38</v>
      </c>
      <c r="B52" s="631" t="s">
        <v>51</v>
      </c>
      <c r="C52" s="632">
        <f>'COEFIC 2023'!I45</f>
        <v>0.88385683595551423</v>
      </c>
      <c r="D52" s="633">
        <f t="shared" si="6"/>
        <v>75298.532448203201</v>
      </c>
      <c r="E52" s="634">
        <f>'COEFIC 2023'!P45</f>
        <v>1.9184634861274525</v>
      </c>
      <c r="F52" s="635">
        <f t="shared" si="7"/>
        <v>163439.91377822164</v>
      </c>
      <c r="G52" s="653">
        <f>FPART!J53</f>
        <v>0.65948364803154547</v>
      </c>
      <c r="H52" s="637">
        <f t="shared" si="8"/>
        <v>12485.217276085878</v>
      </c>
      <c r="I52" s="638">
        <f t="shared" si="5"/>
        <v>251223.6635025107</v>
      </c>
      <c r="M52" s="639"/>
      <c r="N52" s="640"/>
      <c r="O52" s="641"/>
    </row>
    <row r="53" spans="1:15" s="613" customFormat="1" ht="12.75" x14ac:dyDescent="0.2">
      <c r="A53" s="631">
        <v>39</v>
      </c>
      <c r="B53" s="631" t="s">
        <v>105</v>
      </c>
      <c r="C53" s="632">
        <f>'COEFIC 2023'!I46</f>
        <v>0.18983559374214284</v>
      </c>
      <c r="D53" s="633">
        <f t="shared" si="6"/>
        <v>16172.688871906987</v>
      </c>
      <c r="E53" s="634">
        <f>'COEFIC 2023'!P46</f>
        <v>0.31996796117075799</v>
      </c>
      <c r="F53" s="635">
        <f t="shared" si="7"/>
        <v>27259.072879778447</v>
      </c>
      <c r="G53" s="653">
        <f>FPART!J54</f>
        <v>0.77860048179540364</v>
      </c>
      <c r="H53" s="637">
        <f t="shared" si="8"/>
        <v>14740.314207177691</v>
      </c>
      <c r="I53" s="638">
        <f t="shared" si="5"/>
        <v>58172.075958863126</v>
      </c>
      <c r="M53" s="639"/>
      <c r="N53" s="640"/>
      <c r="O53" s="641"/>
    </row>
    <row r="54" spans="1:15" s="613" customFormat="1" ht="12.75" x14ac:dyDescent="0.2">
      <c r="A54" s="631">
        <v>40</v>
      </c>
      <c r="B54" s="631" t="s">
        <v>96</v>
      </c>
      <c r="C54" s="632">
        <f>'COEFIC 2023'!I47</f>
        <v>0.38714668784795297</v>
      </c>
      <c r="D54" s="633">
        <f t="shared" si="6"/>
        <v>32982.239036052131</v>
      </c>
      <c r="E54" s="634">
        <f>'COEFIC 2023'!P47</f>
        <v>0.4670133881314788</v>
      </c>
      <c r="F54" s="635">
        <f t="shared" si="7"/>
        <v>39786.333407657665</v>
      </c>
      <c r="G54" s="653">
        <f>FPART!J55</f>
        <v>0.94771152584822815</v>
      </c>
      <c r="H54" s="637">
        <f t="shared" si="8"/>
        <v>17941.891888576472</v>
      </c>
      <c r="I54" s="638">
        <f t="shared" si="5"/>
        <v>90710.464332286268</v>
      </c>
      <c r="M54" s="639"/>
      <c r="N54" s="640"/>
      <c r="O54" s="641"/>
    </row>
    <row r="55" spans="1:15" s="613" customFormat="1" ht="12.75" x14ac:dyDescent="0.2">
      <c r="A55" s="631">
        <v>41</v>
      </c>
      <c r="B55" s="631" t="s">
        <v>98</v>
      </c>
      <c r="C55" s="632">
        <f>'COEFIC 2023'!I48</f>
        <v>0.3378294431952521</v>
      </c>
      <c r="D55" s="633">
        <f t="shared" si="6"/>
        <v>28780.748482751391</v>
      </c>
      <c r="E55" s="634">
        <f>'COEFIC 2023'!P48</f>
        <v>0.51242411214883699</v>
      </c>
      <c r="F55" s="635">
        <f t="shared" si="7"/>
        <v>43655.015231248319</v>
      </c>
      <c r="G55" s="653">
        <f>FPART!J56</f>
        <v>0.83078552954091656</v>
      </c>
      <c r="H55" s="637">
        <f t="shared" si="8"/>
        <v>15728.271469818535</v>
      </c>
      <c r="I55" s="638">
        <f t="shared" si="5"/>
        <v>88164.03518381824</v>
      </c>
      <c r="M55" s="639"/>
      <c r="N55" s="640"/>
      <c r="O55" s="641"/>
    </row>
    <row r="56" spans="1:15" s="613" customFormat="1" ht="12.75" x14ac:dyDescent="0.2">
      <c r="A56" s="631">
        <v>42</v>
      </c>
      <c r="B56" s="631" t="s">
        <v>122</v>
      </c>
      <c r="C56" s="632">
        <f>'COEFIC 2023'!I49</f>
        <v>0.30116790479202737</v>
      </c>
      <c r="D56" s="633">
        <f t="shared" si="6"/>
        <v>25657.437187577783</v>
      </c>
      <c r="E56" s="634">
        <f>'COEFIC 2023'!P49</f>
        <v>0.39561419725385255</v>
      </c>
      <c r="F56" s="635">
        <f t="shared" si="7"/>
        <v>33703.612685967179</v>
      </c>
      <c r="G56" s="653">
        <f>FPART!J57</f>
        <v>0.90375681182419565</v>
      </c>
      <c r="H56" s="637">
        <f t="shared" si="8"/>
        <v>17109.749717142353</v>
      </c>
      <c r="I56" s="638">
        <f t="shared" si="5"/>
        <v>76470.799590687326</v>
      </c>
      <c r="M56" s="639"/>
      <c r="N56" s="640"/>
      <c r="O56" s="641"/>
    </row>
    <row r="57" spans="1:15" s="613" customFormat="1" ht="12.75" x14ac:dyDescent="0.2">
      <c r="A57" s="631">
        <v>43</v>
      </c>
      <c r="B57" s="631" t="s">
        <v>346</v>
      </c>
      <c r="C57" s="632">
        <f>'COEFIC 2023'!I50</f>
        <v>1.4483729310236635</v>
      </c>
      <c r="D57" s="633">
        <f t="shared" si="6"/>
        <v>123391.42687727504</v>
      </c>
      <c r="E57" s="634">
        <f>'COEFIC 2023'!P50</f>
        <v>1.9015322371627141</v>
      </c>
      <c r="F57" s="635">
        <f t="shared" si="7"/>
        <v>161997.48764347131</v>
      </c>
      <c r="G57" s="653">
        <f>FPART!J58</f>
        <v>0.90404025564543489</v>
      </c>
      <c r="H57" s="637">
        <f t="shared" si="8"/>
        <v>17115.115820918087</v>
      </c>
      <c r="I57" s="638">
        <f t="shared" si="5"/>
        <v>302504.03034166445</v>
      </c>
      <c r="M57" s="639"/>
      <c r="N57" s="640"/>
      <c r="O57" s="641"/>
    </row>
    <row r="58" spans="1:15" s="613" customFormat="1" ht="12.75" x14ac:dyDescent="0.2">
      <c r="A58" s="631">
        <v>44</v>
      </c>
      <c r="B58" s="631" t="s">
        <v>102</v>
      </c>
      <c r="C58" s="632">
        <f>'COEFIC 2023'!I51</f>
        <v>0.27261359917756861</v>
      </c>
      <c r="D58" s="633">
        <f t="shared" si="6"/>
        <v>23224.806448775133</v>
      </c>
      <c r="E58" s="634">
        <f>'COEFIC 2023'!P51</f>
        <v>0.37461514740795937</v>
      </c>
      <c r="F58" s="635">
        <f t="shared" si="7"/>
        <v>31914.6378521718</v>
      </c>
      <c r="G58" s="653">
        <f>FPART!J59</f>
        <v>0.88070325427299512</v>
      </c>
      <c r="H58" s="637">
        <f t="shared" si="8"/>
        <v>16673.304210308917</v>
      </c>
      <c r="I58" s="638">
        <f t="shared" si="5"/>
        <v>71812.74851125585</v>
      </c>
      <c r="M58" s="639"/>
      <c r="N58" s="640"/>
      <c r="O58" s="641"/>
    </row>
    <row r="59" spans="1:15" s="613" customFormat="1" ht="12.75" x14ac:dyDescent="0.2">
      <c r="A59" s="631">
        <v>45</v>
      </c>
      <c r="B59" s="631" t="s">
        <v>127</v>
      </c>
      <c r="C59" s="632">
        <f>'COEFIC 2023'!I52</f>
        <v>0.76140603422389352</v>
      </c>
      <c r="D59" s="633">
        <f t="shared" si="6"/>
        <v>64866.565083795089</v>
      </c>
      <c r="E59" s="634">
        <f>'COEFIC 2023'!P52</f>
        <v>0.75599148751357081</v>
      </c>
      <c r="F59" s="635">
        <f t="shared" si="7"/>
        <v>64405.282889016584</v>
      </c>
      <c r="G59" s="653">
        <f>FPART!J60</f>
        <v>1.0491964841174999</v>
      </c>
      <c r="H59" s="637">
        <f t="shared" si="8"/>
        <v>19863.18555223037</v>
      </c>
      <c r="I59" s="638">
        <f t="shared" si="5"/>
        <v>149135.03352504203</v>
      </c>
      <c r="M59" s="639"/>
      <c r="N59" s="640"/>
      <c r="O59" s="641"/>
    </row>
    <row r="60" spans="1:15" s="613" customFormat="1" ht="12.75" x14ac:dyDescent="0.2">
      <c r="A60" s="631">
        <v>46</v>
      </c>
      <c r="B60" s="631" t="s">
        <v>119</v>
      </c>
      <c r="C60" s="632">
        <f>'COEFIC 2023'!I53</f>
        <v>0.31451851670911207</v>
      </c>
      <c r="D60" s="633">
        <f t="shared" si="6"/>
        <v>26794.817636250998</v>
      </c>
      <c r="E60" s="634">
        <f>'COEFIC 2023'!P53</f>
        <v>0.43928797738663627</v>
      </c>
      <c r="F60" s="635">
        <f t="shared" si="7"/>
        <v>37424.318819227912</v>
      </c>
      <c r="G60" s="653">
        <f>FPART!J61</f>
        <v>0.87242123304316332</v>
      </c>
      <c r="H60" s="637">
        <f t="shared" si="8"/>
        <v>16516.510581159437</v>
      </c>
      <c r="I60" s="638">
        <f t="shared" si="5"/>
        <v>80735.647036638344</v>
      </c>
      <c r="M60" s="639"/>
      <c r="N60" s="640"/>
      <c r="O60" s="641"/>
    </row>
    <row r="61" spans="1:15" s="613" customFormat="1" ht="12.75" x14ac:dyDescent="0.2">
      <c r="A61" s="631">
        <v>47</v>
      </c>
      <c r="B61" s="631" t="s">
        <v>121</v>
      </c>
      <c r="C61" s="632">
        <f>'COEFIC 2023'!I54</f>
        <v>0.41765936398021752</v>
      </c>
      <c r="D61" s="633">
        <f t="shared" si="6"/>
        <v>35581.709493666458</v>
      </c>
      <c r="E61" s="634">
        <f>'COEFIC 2023'!P54</f>
        <v>0.56420574714884908</v>
      </c>
      <c r="F61" s="635">
        <f t="shared" si="7"/>
        <v>48066.454917692819</v>
      </c>
      <c r="G61" s="653">
        <f>FPART!J62</f>
        <v>0.88942693458047528</v>
      </c>
      <c r="H61" s="637">
        <f t="shared" si="8"/>
        <v>16838.459243964571</v>
      </c>
      <c r="I61" s="638">
        <f t="shared" si="5"/>
        <v>100486.62365532384</v>
      </c>
      <c r="M61" s="639"/>
      <c r="N61" s="640"/>
      <c r="O61" s="641"/>
    </row>
    <row r="62" spans="1:15" s="613" customFormat="1" ht="12.75" x14ac:dyDescent="0.2">
      <c r="A62" s="631">
        <v>48</v>
      </c>
      <c r="B62" s="631" t="s">
        <v>47</v>
      </c>
      <c r="C62" s="632">
        <f>'COEFIC 2023'!I55</f>
        <v>0.12097675940639052</v>
      </c>
      <c r="D62" s="633">
        <f t="shared" si="6"/>
        <v>10306.389081431575</v>
      </c>
      <c r="E62" s="634">
        <f>'COEFIC 2023'!P55</f>
        <v>0.33094459983869112</v>
      </c>
      <c r="F62" s="635">
        <f t="shared" si="7"/>
        <v>28194.207111122632</v>
      </c>
      <c r="G62" s="653">
        <f>FPART!J63</f>
        <v>0.55973048604757003</v>
      </c>
      <c r="H62" s="637">
        <f t="shared" si="8"/>
        <v>10596.709645814886</v>
      </c>
      <c r="I62" s="638">
        <f t="shared" ref="I62:I93" si="9">D62+F62+H62</f>
        <v>49097.305838369095</v>
      </c>
      <c r="M62" s="639"/>
      <c r="N62" s="640"/>
      <c r="O62" s="641"/>
    </row>
    <row r="63" spans="1:15" s="613" customFormat="1" ht="12.75" x14ac:dyDescent="0.2">
      <c r="A63" s="631">
        <v>49</v>
      </c>
      <c r="B63" s="631" t="s">
        <v>115</v>
      </c>
      <c r="C63" s="632">
        <f>'COEFIC 2023'!I56</f>
        <v>0.40190816884775799</v>
      </c>
      <c r="D63" s="633">
        <f t="shared" si="6"/>
        <v>34239.815841288597</v>
      </c>
      <c r="E63" s="634">
        <f>'COEFIC 2023'!P56</f>
        <v>1.3248275146655468</v>
      </c>
      <c r="F63" s="635">
        <f t="shared" si="7"/>
        <v>112866.20586406488</v>
      </c>
      <c r="G63" s="653">
        <f>FPART!J64</f>
        <v>0.48667703346580021</v>
      </c>
      <c r="H63" s="637">
        <f t="shared" si="8"/>
        <v>9213.675766242477</v>
      </c>
      <c r="I63" s="638">
        <f t="shared" si="9"/>
        <v>156319.69747159592</v>
      </c>
      <c r="M63" s="639"/>
      <c r="N63" s="640"/>
      <c r="O63" s="641"/>
    </row>
    <row r="64" spans="1:15" s="613" customFormat="1" ht="12.75" x14ac:dyDescent="0.2">
      <c r="A64" s="631">
        <v>50</v>
      </c>
      <c r="B64" s="631" t="s">
        <v>69</v>
      </c>
      <c r="C64" s="632">
        <f>'COEFIC 2023'!I57</f>
        <v>1.8806884872661696</v>
      </c>
      <c r="D64" s="633">
        <f t="shared" si="6"/>
        <v>160221.74329882249</v>
      </c>
      <c r="E64" s="634">
        <f>'COEFIC 2023'!P57</f>
        <v>1.2229607983357664</v>
      </c>
      <c r="F64" s="635">
        <f t="shared" si="7"/>
        <v>104187.86121262865</v>
      </c>
      <c r="G64" s="653">
        <f>FPART!J65</f>
        <v>1.2670218630598797</v>
      </c>
      <c r="H64" s="637">
        <f t="shared" si="8"/>
        <v>23987.013629634446</v>
      </c>
      <c r="I64" s="638">
        <f t="shared" si="9"/>
        <v>288396.61814108561</v>
      </c>
      <c r="M64" s="639"/>
      <c r="N64" s="640"/>
      <c r="O64" s="641"/>
    </row>
    <row r="65" spans="1:15" s="613" customFormat="1" ht="12.75" x14ac:dyDescent="0.2">
      <c r="A65" s="631">
        <v>51</v>
      </c>
      <c r="B65" s="631" t="s">
        <v>126</v>
      </c>
      <c r="C65" s="632">
        <f>'COEFIC 2023'!I58</f>
        <v>0.29445048333847845</v>
      </c>
      <c r="D65" s="633">
        <f t="shared" si="6"/>
        <v>25085.159012298991</v>
      </c>
      <c r="E65" s="634">
        <f>'COEFIC 2023'!P58</f>
        <v>0.39645821812299525</v>
      </c>
      <c r="F65" s="635">
        <f t="shared" si="7"/>
        <v>33775.517467620411</v>
      </c>
      <c r="G65" s="653">
        <f>FPART!J66</f>
        <v>0.89111035822978302</v>
      </c>
      <c r="H65" s="637">
        <f t="shared" si="8"/>
        <v>16870.329495929185</v>
      </c>
      <c r="I65" s="638">
        <f t="shared" si="9"/>
        <v>75731.005975848588</v>
      </c>
      <c r="M65" s="639"/>
      <c r="N65" s="640"/>
      <c r="O65" s="641"/>
    </row>
    <row r="66" spans="1:15" s="613" customFormat="1" ht="12.75" x14ac:dyDescent="0.2">
      <c r="A66" s="631">
        <v>52</v>
      </c>
      <c r="B66" s="631" t="s">
        <v>58</v>
      </c>
      <c r="C66" s="632">
        <f>'COEFIC 2023'!I59</f>
        <v>4.1273816838869903</v>
      </c>
      <c r="D66" s="633">
        <f t="shared" si="6"/>
        <v>351624.5742607193</v>
      </c>
      <c r="E66" s="634">
        <f>'COEFIC 2023'!P59</f>
        <v>3.0951720361744934</v>
      </c>
      <c r="F66" s="635">
        <f t="shared" si="7"/>
        <v>263687.40107859124</v>
      </c>
      <c r="G66" s="653">
        <f>FPART!J67</f>
        <v>1.1948784663978282</v>
      </c>
      <c r="H66" s="637">
        <f t="shared" si="8"/>
        <v>22621.208753275361</v>
      </c>
      <c r="I66" s="638">
        <f t="shared" si="9"/>
        <v>637933.18409258581</v>
      </c>
      <c r="M66" s="639"/>
      <c r="N66" s="640"/>
      <c r="O66" s="641"/>
    </row>
    <row r="67" spans="1:15" s="613" customFormat="1" ht="12.75" x14ac:dyDescent="0.2">
      <c r="A67" s="631">
        <v>53</v>
      </c>
      <c r="B67" s="631" t="s">
        <v>103</v>
      </c>
      <c r="C67" s="632">
        <f>'COEFIC 2023'!I60</f>
        <v>17.879143690909327</v>
      </c>
      <c r="D67" s="633">
        <f t="shared" si="6"/>
        <v>1523180.2556582631</v>
      </c>
      <c r="E67" s="634">
        <f>'COEFIC 2023'!P60</f>
        <v>7.4172287338747696</v>
      </c>
      <c r="F67" s="635">
        <f t="shared" si="7"/>
        <v>631896.94956607767</v>
      </c>
      <c r="G67" s="653">
        <f>FPART!J68</f>
        <v>1.4778431771649561</v>
      </c>
      <c r="H67" s="637">
        <f t="shared" si="8"/>
        <v>27978.242101922388</v>
      </c>
      <c r="I67" s="638">
        <f t="shared" si="9"/>
        <v>2183055.4473262629</v>
      </c>
      <c r="M67" s="639"/>
      <c r="N67" s="640"/>
      <c r="O67" s="641"/>
    </row>
    <row r="68" spans="1:15" s="613" customFormat="1" ht="12.75" x14ac:dyDescent="0.2">
      <c r="A68" s="631">
        <v>54</v>
      </c>
      <c r="B68" s="631" t="s">
        <v>94</v>
      </c>
      <c r="C68" s="632">
        <f>'COEFIC 2023'!I61</f>
        <v>0.16810399831874945</v>
      </c>
      <c r="D68" s="633">
        <f t="shared" si="6"/>
        <v>14321.3061857386</v>
      </c>
      <c r="E68" s="634">
        <f>'COEFIC 2023'!P61</f>
        <v>0.30909086115032519</v>
      </c>
      <c r="F68" s="635">
        <f t="shared" si="7"/>
        <v>26332.418657609673</v>
      </c>
      <c r="G68" s="653">
        <f>FPART!J69</f>
        <v>0.73658381055873901</v>
      </c>
      <c r="H68" s="637">
        <f t="shared" si="8"/>
        <v>13944.86268813937</v>
      </c>
      <c r="I68" s="638">
        <f t="shared" si="9"/>
        <v>54598.587531487647</v>
      </c>
      <c r="M68" s="639"/>
      <c r="N68" s="640"/>
      <c r="O68" s="641"/>
    </row>
    <row r="69" spans="1:15" s="613" customFormat="1" ht="12.75" x14ac:dyDescent="0.2">
      <c r="A69" s="631">
        <v>55</v>
      </c>
      <c r="B69" s="631" t="s">
        <v>347</v>
      </c>
      <c r="C69" s="632">
        <f>'COEFIC 2023'!I62</f>
        <v>0.96301290882037449</v>
      </c>
      <c r="D69" s="633">
        <f t="shared" si="6"/>
        <v>82042.086244043283</v>
      </c>
      <c r="E69" s="634">
        <f>'COEFIC 2023'!P62</f>
        <v>0.80325130971927761</v>
      </c>
      <c r="F69" s="635">
        <f t="shared" si="7"/>
        <v>68431.495179387828</v>
      </c>
      <c r="G69" s="653">
        <f>FPART!J70</f>
        <v>1.1400301061832034</v>
      </c>
      <c r="H69" s="637">
        <f t="shared" si="8"/>
        <v>21582.830172455935</v>
      </c>
      <c r="I69" s="638">
        <f t="shared" si="9"/>
        <v>172056.41159588704</v>
      </c>
      <c r="M69" s="639"/>
      <c r="N69" s="640"/>
      <c r="O69" s="641"/>
    </row>
    <row r="70" spans="1:15" s="613" customFormat="1" ht="12.75" x14ac:dyDescent="0.2">
      <c r="A70" s="631">
        <v>56</v>
      </c>
      <c r="B70" s="631" t="s">
        <v>348</v>
      </c>
      <c r="C70" s="632">
        <f>'COEFIC 2023'!I63</f>
        <v>0.68644045311218771</v>
      </c>
      <c r="D70" s="633">
        <f t="shared" si="6"/>
        <v>58480.012406702597</v>
      </c>
      <c r="E70" s="634">
        <f>'COEFIC 2023'!P63</f>
        <v>0.46532661427820704</v>
      </c>
      <c r="F70" s="635">
        <f t="shared" si="7"/>
        <v>39642.631859447029</v>
      </c>
      <c r="G70" s="653">
        <f>FPART!J71</f>
        <v>1.2461723056435674</v>
      </c>
      <c r="H70" s="637">
        <f t="shared" si="8"/>
        <v>23592.293828423492</v>
      </c>
      <c r="I70" s="638">
        <f t="shared" si="9"/>
        <v>121714.93809457312</v>
      </c>
      <c r="J70" s="643"/>
      <c r="K70" s="643"/>
      <c r="L70" s="643"/>
      <c r="M70" s="639"/>
      <c r="N70" s="640"/>
      <c r="O70" s="641"/>
    </row>
    <row r="71" spans="1:15" s="643" customFormat="1" ht="12.75" x14ac:dyDescent="0.2">
      <c r="A71" s="631">
        <v>57</v>
      </c>
      <c r="B71" s="631" t="s">
        <v>65</v>
      </c>
      <c r="C71" s="632">
        <f>'COEFIC 2023'!I64</f>
        <v>0.17258929853694982</v>
      </c>
      <c r="D71" s="633">
        <f t="shared" si="6"/>
        <v>14703.422961081493</v>
      </c>
      <c r="E71" s="634">
        <f>'COEFIC 2023'!P64</f>
        <v>0.74491573722474513</v>
      </c>
      <c r="F71" s="635">
        <f t="shared" si="7"/>
        <v>63461.705028231321</v>
      </c>
      <c r="G71" s="653">
        <f>FPART!J72</f>
        <v>0.3933193291422255</v>
      </c>
      <c r="H71" s="637">
        <f t="shared" si="8"/>
        <v>7446.2457073539545</v>
      </c>
      <c r="I71" s="638">
        <f t="shared" si="9"/>
        <v>85611.373696666764</v>
      </c>
      <c r="J71" s="613"/>
      <c r="K71" s="613"/>
      <c r="L71" s="613"/>
      <c r="M71" s="639"/>
      <c r="N71" s="640"/>
      <c r="O71" s="641"/>
    </row>
    <row r="72" spans="1:15" s="613" customFormat="1" ht="12.75" x14ac:dyDescent="0.2">
      <c r="A72" s="631">
        <v>58</v>
      </c>
      <c r="B72" s="631" t="s">
        <v>134</v>
      </c>
      <c r="C72" s="632">
        <f>'COEFIC 2023'!I65</f>
        <v>0.44181260036648906</v>
      </c>
      <c r="D72" s="633">
        <f t="shared" si="6"/>
        <v>37639.399359010597</v>
      </c>
      <c r="E72" s="634">
        <f>'COEFIC 2023'!P65</f>
        <v>0.50525093226213014</v>
      </c>
      <c r="F72" s="635">
        <f t="shared" si="7"/>
        <v>43043.909567431088</v>
      </c>
      <c r="G72" s="653">
        <f>FPART!J73</f>
        <v>0.97543619400196546</v>
      </c>
      <c r="H72" s="637">
        <f t="shared" si="8"/>
        <v>18466.769960747009</v>
      </c>
      <c r="I72" s="638">
        <f t="shared" si="9"/>
        <v>99150.078887188691</v>
      </c>
      <c r="M72" s="639"/>
      <c r="N72" s="640"/>
      <c r="O72" s="641"/>
    </row>
    <row r="73" spans="1:15" s="613" customFormat="1" ht="12.75" x14ac:dyDescent="0.2">
      <c r="A73" s="631">
        <v>59</v>
      </c>
      <c r="B73" s="631" t="s">
        <v>136</v>
      </c>
      <c r="C73" s="632">
        <f>'COEFIC 2023'!I66</f>
        <v>0.19008828671218228</v>
      </c>
      <c r="D73" s="633">
        <f t="shared" si="6"/>
        <v>16194.216577560106</v>
      </c>
      <c r="E73" s="634">
        <f>'COEFIC 2023'!P66</f>
        <v>0.34163452441152531</v>
      </c>
      <c r="F73" s="635">
        <f t="shared" si="7"/>
        <v>29104.915270602109</v>
      </c>
      <c r="G73" s="653">
        <f>FPART!J74</f>
        <v>0.74749784840191158</v>
      </c>
      <c r="H73" s="637">
        <f t="shared" si="8"/>
        <v>14151.485148359818</v>
      </c>
      <c r="I73" s="638">
        <f t="shared" si="9"/>
        <v>59450.616996522032</v>
      </c>
      <c r="M73" s="639"/>
      <c r="N73" s="640"/>
      <c r="O73" s="641"/>
    </row>
    <row r="74" spans="1:15" s="613" customFormat="1" ht="12.75" x14ac:dyDescent="0.2">
      <c r="A74" s="631">
        <v>60</v>
      </c>
      <c r="B74" s="631" t="s">
        <v>137</v>
      </c>
      <c r="C74" s="632">
        <f>'COEFIC 2023'!I67</f>
        <v>0.19872196318853044</v>
      </c>
      <c r="D74" s="633">
        <f t="shared" si="6"/>
        <v>16929.746520708402</v>
      </c>
      <c r="E74" s="634">
        <f>'COEFIC 2023'!P67</f>
        <v>0.41133216924457244</v>
      </c>
      <c r="F74" s="635">
        <f t="shared" si="7"/>
        <v>35042.67595483207</v>
      </c>
      <c r="G74" s="653">
        <f>FPART!J75</f>
        <v>0.68111019086876712</v>
      </c>
      <c r="H74" s="637">
        <f t="shared" si="8"/>
        <v>12894.6468154827</v>
      </c>
      <c r="I74" s="638">
        <f t="shared" si="9"/>
        <v>64867.069291023174</v>
      </c>
      <c r="M74" s="639"/>
      <c r="N74" s="640"/>
      <c r="O74" s="641"/>
    </row>
    <row r="75" spans="1:15" s="613" customFormat="1" ht="12.75" x14ac:dyDescent="0.2">
      <c r="A75" s="631">
        <v>61</v>
      </c>
      <c r="B75" s="631" t="s">
        <v>135</v>
      </c>
      <c r="C75" s="632">
        <f>'COEFIC 2023'!I68</f>
        <v>0.52168463664646103</v>
      </c>
      <c r="D75" s="633">
        <f t="shared" si="6"/>
        <v>44443.94832086785</v>
      </c>
      <c r="E75" s="634">
        <f>'COEFIC 2023'!P68</f>
        <v>0.59684263357744027</v>
      </c>
      <c r="F75" s="635">
        <f t="shared" si="7"/>
        <v>50846.893504327556</v>
      </c>
      <c r="G75" s="653">
        <f>FPART!J76</f>
        <v>0.97521720136537549</v>
      </c>
      <c r="H75" s="637">
        <f t="shared" si="8"/>
        <v>18462.624034372864</v>
      </c>
      <c r="I75" s="638">
        <f t="shared" si="9"/>
        <v>113753.46585956827</v>
      </c>
      <c r="M75" s="639"/>
      <c r="N75" s="640"/>
      <c r="O75" s="641"/>
    </row>
    <row r="76" spans="1:15" s="613" customFormat="1" ht="12.75" x14ac:dyDescent="0.2">
      <c r="A76" s="631">
        <v>62</v>
      </c>
      <c r="B76" s="631" t="s">
        <v>113</v>
      </c>
      <c r="C76" s="632">
        <f>'COEFIC 2023'!I69</f>
        <v>0.44280231449914359</v>
      </c>
      <c r="D76" s="633">
        <f t="shared" si="6"/>
        <v>37723.716206151985</v>
      </c>
      <c r="E76" s="634">
        <f>'COEFIC 2023'!P69</f>
        <v>0.48709064033904148</v>
      </c>
      <c r="F76" s="635">
        <f t="shared" si="7"/>
        <v>41496.777413204749</v>
      </c>
      <c r="G76" s="653">
        <f>FPART!J77</f>
        <v>0.99567317695291968</v>
      </c>
      <c r="H76" s="637">
        <f t="shared" si="8"/>
        <v>18849.892620284158</v>
      </c>
      <c r="I76" s="638">
        <f t="shared" si="9"/>
        <v>98070.386239640895</v>
      </c>
      <c r="M76" s="639"/>
      <c r="N76" s="640"/>
      <c r="O76" s="641"/>
    </row>
    <row r="77" spans="1:15" s="613" customFormat="1" ht="12.75" x14ac:dyDescent="0.2">
      <c r="A77" s="631">
        <v>63</v>
      </c>
      <c r="B77" s="631" t="s">
        <v>123</v>
      </c>
      <c r="C77" s="632">
        <f>'COEFIC 2023'!I70</f>
        <v>0.31352880257645754</v>
      </c>
      <c r="D77" s="633">
        <f t="shared" si="6"/>
        <v>26710.50078910961</v>
      </c>
      <c r="E77" s="634">
        <f>'COEFIC 2023'!P70</f>
        <v>0.41328818544046847</v>
      </c>
      <c r="F77" s="635">
        <f t="shared" si="7"/>
        <v>35209.315101585584</v>
      </c>
      <c r="G77" s="653">
        <f>FPART!J78</f>
        <v>0.90197034059299264</v>
      </c>
      <c r="H77" s="637">
        <f t="shared" si="8"/>
        <v>17075.92858822487</v>
      </c>
      <c r="I77" s="638">
        <f t="shared" si="9"/>
        <v>78995.744478920067</v>
      </c>
      <c r="M77" s="639"/>
      <c r="N77" s="640"/>
      <c r="O77" s="641"/>
    </row>
    <row r="78" spans="1:15" s="613" customFormat="1" ht="12.75" x14ac:dyDescent="0.2">
      <c r="A78" s="631">
        <v>64</v>
      </c>
      <c r="B78" s="631" t="s">
        <v>74</v>
      </c>
      <c r="C78" s="632">
        <f>'COEFIC 2023'!I71</f>
        <v>0.56502148100822813</v>
      </c>
      <c r="D78" s="633">
        <f t="shared" si="6"/>
        <v>48135.949840378067</v>
      </c>
      <c r="E78" s="634">
        <f>'COEFIC 2023'!P71</f>
        <v>0.68085562816258149</v>
      </c>
      <c r="F78" s="635">
        <f t="shared" si="7"/>
        <v>58004.223675339977</v>
      </c>
      <c r="G78" s="653">
        <f>FPART!J79</f>
        <v>0.94826481243502747</v>
      </c>
      <c r="H78" s="637">
        <f t="shared" si="8"/>
        <v>17952.366603564104</v>
      </c>
      <c r="I78" s="638">
        <f t="shared" si="9"/>
        <v>124092.54011928216</v>
      </c>
      <c r="M78" s="639"/>
      <c r="N78" s="640"/>
      <c r="O78" s="641"/>
    </row>
    <row r="79" spans="1:15" s="613" customFormat="1" ht="12.75" x14ac:dyDescent="0.2">
      <c r="A79" s="631">
        <v>65</v>
      </c>
      <c r="B79" s="631" t="s">
        <v>89</v>
      </c>
      <c r="C79" s="632">
        <f>'COEFIC 2023'!I72</f>
        <v>0.83508709273789883</v>
      </c>
      <c r="D79" s="633">
        <f t="shared" ref="D79:D110" si="10">$F$8*C79%</f>
        <v>71143.685257150893</v>
      </c>
      <c r="E79" s="634">
        <f>'COEFIC 2023'!P72</f>
        <v>0.61494319721037083</v>
      </c>
      <c r="F79" s="635">
        <f t="shared" ref="F79:F110" si="11">$F$9*E79%</f>
        <v>52388.937218422434</v>
      </c>
      <c r="G79" s="653">
        <f>FPART!J80</f>
        <v>1.204188788717512</v>
      </c>
      <c r="H79" s="637">
        <f t="shared" ref="H79:H110" si="12">$F$10*G79%</f>
        <v>22797.469980401471</v>
      </c>
      <c r="I79" s="638">
        <f t="shared" si="9"/>
        <v>146330.09245597481</v>
      </c>
      <c r="M79" s="639"/>
      <c r="N79" s="640"/>
      <c r="O79" s="641"/>
    </row>
    <row r="80" spans="1:15" s="613" customFormat="1" ht="12.75" x14ac:dyDescent="0.2">
      <c r="A80" s="631">
        <v>66</v>
      </c>
      <c r="B80" s="631" t="s">
        <v>118</v>
      </c>
      <c r="C80" s="632">
        <f>'COEFIC 2023'!I73</f>
        <v>2.0717033148684965</v>
      </c>
      <c r="D80" s="633">
        <f t="shared" si="10"/>
        <v>176494.8947971107</v>
      </c>
      <c r="E80" s="634">
        <f>'COEFIC 2023'!P73</f>
        <v>1.3350772698902451</v>
      </c>
      <c r="F80" s="635">
        <f t="shared" si="11"/>
        <v>113739.4146179902</v>
      </c>
      <c r="G80" s="653">
        <f>FPART!J81</f>
        <v>1.2715202471937566</v>
      </c>
      <c r="H80" s="637">
        <f t="shared" si="12"/>
        <v>24072.17617076854</v>
      </c>
      <c r="I80" s="638">
        <f t="shared" si="9"/>
        <v>314306.48558586946</v>
      </c>
      <c r="M80" s="639"/>
      <c r="N80" s="640"/>
      <c r="O80" s="641"/>
    </row>
    <row r="81" spans="1:15" s="613" customFormat="1" ht="12.75" x14ac:dyDescent="0.2">
      <c r="A81" s="631">
        <v>67</v>
      </c>
      <c r="B81" s="631" t="s">
        <v>120</v>
      </c>
      <c r="C81" s="632">
        <f>'COEFIC 2023'!I74</f>
        <v>0.35000082125215265</v>
      </c>
      <c r="D81" s="633">
        <f t="shared" si="10"/>
        <v>29817.666305043378</v>
      </c>
      <c r="E81" s="634">
        <f>'COEFIC 2023'!P74</f>
        <v>0.49564708763613402</v>
      </c>
      <c r="F81" s="635">
        <f t="shared" si="11"/>
        <v>42225.727960659569</v>
      </c>
      <c r="G81" s="653">
        <f>FPART!J82</f>
        <v>0.8654049337071944</v>
      </c>
      <c r="H81" s="637">
        <f t="shared" si="12"/>
        <v>16383.679354873384</v>
      </c>
      <c r="I81" s="638">
        <f t="shared" si="9"/>
        <v>88427.073620576339</v>
      </c>
      <c r="M81" s="639"/>
      <c r="N81" s="640"/>
      <c r="O81" s="641"/>
    </row>
    <row r="82" spans="1:15" s="613" customFormat="1" ht="12.75" x14ac:dyDescent="0.2">
      <c r="A82" s="631">
        <v>68</v>
      </c>
      <c r="B82" s="631" t="s">
        <v>144</v>
      </c>
      <c r="C82" s="632">
        <f>'COEFIC 2023'!I75</f>
        <v>0.61886614137413598</v>
      </c>
      <c r="D82" s="633">
        <f t="shared" si="10"/>
        <v>52723.145119963883</v>
      </c>
      <c r="E82" s="634">
        <f>'COEFIC 2023'!P75</f>
        <v>0.67531065033607796</v>
      </c>
      <c r="F82" s="635">
        <f t="shared" si="11"/>
        <v>57531.82964521159</v>
      </c>
      <c r="G82" s="653">
        <f>FPART!J83</f>
        <v>0.99986875676695242</v>
      </c>
      <c r="H82" s="637">
        <f t="shared" si="12"/>
        <v>18929.322528415636</v>
      </c>
      <c r="I82" s="638">
        <f t="shared" si="9"/>
        <v>129184.29729359111</v>
      </c>
      <c r="M82" s="639"/>
      <c r="N82" s="640"/>
      <c r="O82" s="641"/>
    </row>
    <row r="83" spans="1:15" s="613" customFormat="1" ht="12.75" x14ac:dyDescent="0.2">
      <c r="A83" s="631">
        <v>69</v>
      </c>
      <c r="B83" s="631" t="s">
        <v>84</v>
      </c>
      <c r="C83" s="632">
        <f>'COEFIC 2023'!I76</f>
        <v>2.2424395316251569</v>
      </c>
      <c r="D83" s="633">
        <f t="shared" si="10"/>
        <v>191040.44791673598</v>
      </c>
      <c r="E83" s="634">
        <f>'COEFIC 2023'!P76</f>
        <v>1.9355321382709125</v>
      </c>
      <c r="F83" s="635">
        <f t="shared" si="11"/>
        <v>164894.04572016897</v>
      </c>
      <c r="G83" s="653">
        <f>FPART!J84</f>
        <v>1.12226426101586</v>
      </c>
      <c r="H83" s="637">
        <f t="shared" si="12"/>
        <v>21246.490617002739</v>
      </c>
      <c r="I83" s="638">
        <f t="shared" si="9"/>
        <v>377180.98425390769</v>
      </c>
      <c r="M83" s="639"/>
      <c r="N83" s="640"/>
      <c r="O83" s="641"/>
    </row>
    <row r="84" spans="1:15" s="613" customFormat="1" ht="12.75" x14ac:dyDescent="0.2">
      <c r="A84" s="631">
        <v>70</v>
      </c>
      <c r="B84" s="631" t="s">
        <v>53</v>
      </c>
      <c r="C84" s="632">
        <f>'COEFIC 2023'!I77</f>
        <v>0.32645825954347646</v>
      </c>
      <c r="D84" s="633">
        <f t="shared" si="10"/>
        <v>27812.001728360956</v>
      </c>
      <c r="E84" s="634">
        <f>'COEFIC 2023'!P77</f>
        <v>0.45201662211357152</v>
      </c>
      <c r="F84" s="635">
        <f t="shared" si="11"/>
        <v>38508.711934722269</v>
      </c>
      <c r="G84" s="653">
        <f>FPART!J85</f>
        <v>0.87684522131647236</v>
      </c>
      <c r="H84" s="637">
        <f t="shared" si="12"/>
        <v>16600.264674204784</v>
      </c>
      <c r="I84" s="638">
        <f t="shared" si="9"/>
        <v>82920.978337288005</v>
      </c>
      <c r="M84" s="639"/>
      <c r="N84" s="640"/>
      <c r="O84" s="641"/>
    </row>
    <row r="85" spans="1:15" s="613" customFormat="1" ht="12.75" x14ac:dyDescent="0.2">
      <c r="A85" s="631">
        <v>71</v>
      </c>
      <c r="B85" s="631" t="s">
        <v>143</v>
      </c>
      <c r="C85" s="632">
        <f>'COEFIC 2023'!I78</f>
        <v>1.4584595920777386</v>
      </c>
      <c r="D85" s="633">
        <f t="shared" si="10"/>
        <v>124250.74112792878</v>
      </c>
      <c r="E85" s="634">
        <f>'COEFIC 2023'!P78</f>
        <v>1.0305721617264547</v>
      </c>
      <c r="F85" s="635">
        <f t="shared" si="11"/>
        <v>87797.670621716068</v>
      </c>
      <c r="G85" s="653">
        <f>FPART!J86</f>
        <v>1.2251911375010087</v>
      </c>
      <c r="H85" s="637">
        <f t="shared" si="12"/>
        <v>23195.082398317787</v>
      </c>
      <c r="I85" s="638">
        <f t="shared" si="9"/>
        <v>235243.49414796263</v>
      </c>
      <c r="M85" s="639"/>
      <c r="N85" s="640"/>
      <c r="O85" s="641"/>
    </row>
    <row r="86" spans="1:15" s="613" customFormat="1" ht="12.75" x14ac:dyDescent="0.2">
      <c r="A86" s="631">
        <v>72</v>
      </c>
      <c r="B86" s="631" t="s">
        <v>132</v>
      </c>
      <c r="C86" s="632">
        <f>'COEFIC 2023'!I79</f>
        <v>0.29398721289340612</v>
      </c>
      <c r="D86" s="633">
        <f t="shared" si="10"/>
        <v>25045.691551934939</v>
      </c>
      <c r="E86" s="634">
        <f>'COEFIC 2023'!P79</f>
        <v>0.37946277923825678</v>
      </c>
      <c r="F86" s="635">
        <f t="shared" si="11"/>
        <v>32327.62279251678</v>
      </c>
      <c r="G86" s="653">
        <f>FPART!J87</f>
        <v>0.91277339179785055</v>
      </c>
      <c r="H86" s="637">
        <f t="shared" si="12"/>
        <v>17280.449870806966</v>
      </c>
      <c r="I86" s="638">
        <f t="shared" si="9"/>
        <v>74653.764215258678</v>
      </c>
      <c r="M86" s="639"/>
      <c r="N86" s="640"/>
      <c r="O86" s="641"/>
    </row>
    <row r="87" spans="1:15" s="613" customFormat="1" ht="12.75" x14ac:dyDescent="0.2">
      <c r="A87" s="631">
        <v>73</v>
      </c>
      <c r="B87" s="631" t="s">
        <v>85</v>
      </c>
      <c r="C87" s="632">
        <f>'COEFIC 2023'!I80</f>
        <v>0.5722653461493592</v>
      </c>
      <c r="D87" s="633">
        <f t="shared" si="10"/>
        <v>48753.077402434188</v>
      </c>
      <c r="E87" s="634">
        <f>'COEFIC 2023'!P80</f>
        <v>0.54450577422167679</v>
      </c>
      <c r="F87" s="635">
        <f t="shared" si="11"/>
        <v>46388.152515831818</v>
      </c>
      <c r="G87" s="653">
        <f>FPART!J88</f>
        <v>1.0714530756763703</v>
      </c>
      <c r="H87" s="637">
        <f t="shared" si="12"/>
        <v>20284.54305255205</v>
      </c>
      <c r="I87" s="638">
        <f t="shared" si="9"/>
        <v>115425.77297081806</v>
      </c>
      <c r="M87" s="639"/>
      <c r="N87" s="640"/>
      <c r="O87" s="641"/>
    </row>
    <row r="88" spans="1:15" s="613" customFormat="1" ht="12.75" x14ac:dyDescent="0.2">
      <c r="A88" s="631">
        <v>74</v>
      </c>
      <c r="B88" s="652" t="s">
        <v>133</v>
      </c>
      <c r="C88" s="632">
        <f>'COEFIC 2023'!I81</f>
        <v>0.22222240940220003</v>
      </c>
      <c r="D88" s="633">
        <f t="shared" si="10"/>
        <v>18931.823146448634</v>
      </c>
      <c r="E88" s="634">
        <f>'COEFIC 2023'!P81</f>
        <v>0.30271862627818635</v>
      </c>
      <c r="F88" s="635">
        <f t="shared" si="11"/>
        <v>25789.548008463647</v>
      </c>
      <c r="G88" s="653">
        <f>FPART!J89</f>
        <v>0.88515068741753156</v>
      </c>
      <c r="H88" s="637">
        <f t="shared" si="12"/>
        <v>16757.502157136172</v>
      </c>
      <c r="I88" s="638">
        <f t="shared" si="9"/>
        <v>61478.873312048454</v>
      </c>
      <c r="M88" s="639"/>
      <c r="N88" s="640"/>
      <c r="O88" s="641"/>
    </row>
    <row r="89" spans="1:15" s="613" customFormat="1" ht="12.75" x14ac:dyDescent="0.2">
      <c r="A89" s="631">
        <v>75</v>
      </c>
      <c r="B89" s="631" t="s">
        <v>146</v>
      </c>
      <c r="C89" s="632">
        <f>'COEFIC 2023'!I82</f>
        <v>1.6621932991720516</v>
      </c>
      <c r="D89" s="633">
        <f t="shared" si="10"/>
        <v>141607.4538107574</v>
      </c>
      <c r="E89" s="634">
        <f>'COEFIC 2023'!P82</f>
        <v>1.0263852879652673</v>
      </c>
      <c r="F89" s="635">
        <f t="shared" si="11"/>
        <v>87440.977731037143</v>
      </c>
      <c r="G89" s="653">
        <f>FPART!J90</f>
        <v>1.2927027552766872</v>
      </c>
      <c r="H89" s="637">
        <f t="shared" si="12"/>
        <v>24473.199329807027</v>
      </c>
      <c r="I89" s="638">
        <f t="shared" si="9"/>
        <v>253521.63087160158</v>
      </c>
      <c r="M89" s="639"/>
      <c r="N89" s="640"/>
      <c r="O89" s="641"/>
    </row>
    <row r="90" spans="1:15" s="613" customFormat="1" ht="12.75" x14ac:dyDescent="0.2">
      <c r="A90" s="631">
        <v>76</v>
      </c>
      <c r="B90" s="631" t="s">
        <v>148</v>
      </c>
      <c r="C90" s="632">
        <f>'COEFIC 2023'!I83</f>
        <v>1.6525488508155455</v>
      </c>
      <c r="D90" s="633">
        <f t="shared" si="10"/>
        <v>140785.81304499661</v>
      </c>
      <c r="E90" s="634">
        <f>'COEFIC 2023'!P83</f>
        <v>1.8504233032214761</v>
      </c>
      <c r="F90" s="635">
        <f t="shared" si="11"/>
        <v>157643.35746739255</v>
      </c>
      <c r="G90" s="653">
        <f>FPART!J91</f>
        <v>0.98641008576890343</v>
      </c>
      <c r="H90" s="637">
        <f t="shared" si="12"/>
        <v>18674.525563912346</v>
      </c>
      <c r="I90" s="638">
        <f t="shared" si="9"/>
        <v>317103.69607630151</v>
      </c>
      <c r="M90" s="639"/>
      <c r="N90" s="640"/>
      <c r="O90" s="641"/>
    </row>
    <row r="91" spans="1:15" s="613" customFormat="1" ht="12.75" x14ac:dyDescent="0.2">
      <c r="A91" s="631">
        <v>77</v>
      </c>
      <c r="B91" s="631" t="s">
        <v>45</v>
      </c>
      <c r="C91" s="632">
        <f>'COEFIC 2023'!I84</f>
        <v>0.37223780261562495</v>
      </c>
      <c r="D91" s="633">
        <f t="shared" si="10"/>
        <v>31712.104402518005</v>
      </c>
      <c r="E91" s="634">
        <f>'COEFIC 2023'!P84</f>
        <v>0.62678870776607709</v>
      </c>
      <c r="F91" s="635">
        <f t="shared" si="11"/>
        <v>53398.093367540314</v>
      </c>
      <c r="G91" s="653">
        <f>FPART!J92</f>
        <v>0.77908231415513252</v>
      </c>
      <c r="H91" s="637">
        <f t="shared" si="12"/>
        <v>14749.436164514798</v>
      </c>
      <c r="I91" s="638">
        <f t="shared" si="9"/>
        <v>99859.633934573125</v>
      </c>
      <c r="M91" s="639"/>
      <c r="N91" s="640"/>
      <c r="O91" s="641"/>
    </row>
    <row r="92" spans="1:15" s="613" customFormat="1" ht="12.75" x14ac:dyDescent="0.2">
      <c r="A92" s="631">
        <v>78</v>
      </c>
      <c r="B92" s="631" t="s">
        <v>349</v>
      </c>
      <c r="C92" s="632">
        <f>'COEFIC 2023'!I85</f>
        <v>0.26979186101212799</v>
      </c>
      <c r="D92" s="633">
        <f t="shared" si="10"/>
        <v>22984.413735648621</v>
      </c>
      <c r="E92" s="634">
        <f>'COEFIC 2023'!P85</f>
        <v>0.40979046274032732</v>
      </c>
      <c r="F92" s="635">
        <f t="shared" si="11"/>
        <v>34911.33314849397</v>
      </c>
      <c r="G92" s="653">
        <f>FPART!J93</f>
        <v>0.83009281053141881</v>
      </c>
      <c r="H92" s="637">
        <f t="shared" si="12"/>
        <v>15715.157047086952</v>
      </c>
      <c r="I92" s="638">
        <f t="shared" si="9"/>
        <v>73610.903931229535</v>
      </c>
      <c r="M92" s="639"/>
      <c r="N92" s="640"/>
      <c r="O92" s="641"/>
    </row>
    <row r="93" spans="1:15" s="613" customFormat="1" ht="12.75" x14ac:dyDescent="0.2">
      <c r="A93" s="631">
        <v>79</v>
      </c>
      <c r="B93" s="631" t="s">
        <v>138</v>
      </c>
      <c r="C93" s="632">
        <f>'COEFIC 2023'!I86</f>
        <v>1.0506973694240664</v>
      </c>
      <c r="D93" s="633">
        <f t="shared" si="10"/>
        <v>89512.200105676209</v>
      </c>
      <c r="E93" s="634">
        <f>'COEFIC 2023'!P86</f>
        <v>0.84314994921472297</v>
      </c>
      <c r="F93" s="635">
        <f t="shared" si="11"/>
        <v>71830.585256503167</v>
      </c>
      <c r="G93" s="653">
        <f>FPART!J94</f>
        <v>1.160038930477814</v>
      </c>
      <c r="H93" s="637">
        <f t="shared" si="12"/>
        <v>21961.633376300178</v>
      </c>
      <c r="I93" s="638">
        <f t="shared" si="9"/>
        <v>183304.41873847958</v>
      </c>
      <c r="M93" s="639"/>
      <c r="N93" s="640"/>
      <c r="O93" s="641"/>
    </row>
    <row r="94" spans="1:15" s="613" customFormat="1" ht="12.75" x14ac:dyDescent="0.2">
      <c r="A94" s="631">
        <v>80</v>
      </c>
      <c r="B94" s="631" t="s">
        <v>93</v>
      </c>
      <c r="C94" s="632">
        <f>'COEFIC 2023'!I87</f>
        <v>0.41763830623271425</v>
      </c>
      <c r="D94" s="633">
        <f t="shared" si="10"/>
        <v>35579.915518195368</v>
      </c>
      <c r="E94" s="634">
        <f>'COEFIC 2023'!P87</f>
        <v>0.46314450232260923</v>
      </c>
      <c r="F94" s="635">
        <f t="shared" si="11"/>
        <v>39456.730906702156</v>
      </c>
      <c r="G94" s="653">
        <f>FPART!J95</f>
        <v>0.99145128306937969</v>
      </c>
      <c r="H94" s="637">
        <f t="shared" si="12"/>
        <v>18769.964539262121</v>
      </c>
      <c r="I94" s="638">
        <f t="shared" ref="I94:I125" si="13">D94+F94+H94</f>
        <v>93806.610964159641</v>
      </c>
      <c r="M94" s="639"/>
      <c r="N94" s="640"/>
      <c r="O94" s="641"/>
    </row>
    <row r="95" spans="1:15" s="613" customFormat="1" ht="12.75" x14ac:dyDescent="0.2">
      <c r="A95" s="631">
        <v>81</v>
      </c>
      <c r="B95" s="631" t="s">
        <v>116</v>
      </c>
      <c r="C95" s="632">
        <f>'COEFIC 2023'!I88</f>
        <v>0.19112011633984341</v>
      </c>
      <c r="D95" s="633">
        <f t="shared" si="10"/>
        <v>16282.121375643683</v>
      </c>
      <c r="E95" s="634">
        <f>'COEFIC 2023'!P88</f>
        <v>0.43209989462611942</v>
      </c>
      <c r="F95" s="635">
        <f t="shared" si="11"/>
        <v>36811.943532909041</v>
      </c>
      <c r="G95" s="653">
        <f>FPART!J96</f>
        <v>0.64121680254968882</v>
      </c>
      <c r="H95" s="637">
        <f t="shared" si="12"/>
        <v>12139.392879271178</v>
      </c>
      <c r="I95" s="638">
        <f t="shared" si="13"/>
        <v>65233.457787823907</v>
      </c>
      <c r="M95" s="639"/>
      <c r="N95" s="640"/>
      <c r="O95" s="641"/>
    </row>
    <row r="96" spans="1:15" s="613" customFormat="1" ht="12.75" x14ac:dyDescent="0.2">
      <c r="A96" s="631">
        <v>82</v>
      </c>
      <c r="B96" s="631" t="s">
        <v>152</v>
      </c>
      <c r="C96" s="632">
        <f>'COEFIC 2023'!I89</f>
        <v>1.6749332364115408</v>
      </c>
      <c r="D96" s="633">
        <f t="shared" si="10"/>
        <v>142692.80897076888</v>
      </c>
      <c r="E96" s="634">
        <f>'COEFIC 2023'!P89</f>
        <v>1.3119994634053675</v>
      </c>
      <c r="F96" s="635">
        <f t="shared" si="11"/>
        <v>111773.34399462244</v>
      </c>
      <c r="G96" s="653">
        <f>FPART!J97</f>
        <v>1.1724975552384336</v>
      </c>
      <c r="H96" s="637">
        <f t="shared" si="12"/>
        <v>22197.497658245375</v>
      </c>
      <c r="I96" s="638">
        <f t="shared" si="13"/>
        <v>276663.65062363667</v>
      </c>
      <c r="M96" s="639"/>
      <c r="N96" s="640"/>
      <c r="O96" s="641"/>
    </row>
    <row r="97" spans="1:15" s="613" customFormat="1" ht="12.75" x14ac:dyDescent="0.2">
      <c r="A97" s="631">
        <v>83</v>
      </c>
      <c r="B97" s="631" t="s">
        <v>153</v>
      </c>
      <c r="C97" s="632">
        <f>'COEFIC 2023'!I90</f>
        <v>0.70444482722749913</v>
      </c>
      <c r="D97" s="633">
        <f t="shared" si="10"/>
        <v>60013.861434487466</v>
      </c>
      <c r="E97" s="634">
        <f>'COEFIC 2023'!P90</f>
        <v>0.84846349141285227</v>
      </c>
      <c r="F97" s="635">
        <f t="shared" si="11"/>
        <v>72283.262560501389</v>
      </c>
      <c r="G97" s="653">
        <f>FPART!J98</f>
        <v>0.94850811469966656</v>
      </c>
      <c r="H97" s="637">
        <f t="shared" si="12"/>
        <v>17956.972755129573</v>
      </c>
      <c r="I97" s="638">
        <f t="shared" si="13"/>
        <v>150254.09675011842</v>
      </c>
      <c r="M97" s="639"/>
      <c r="N97" s="640"/>
      <c r="O97" s="641"/>
    </row>
    <row r="98" spans="1:15" s="613" customFormat="1" ht="12.75" x14ac:dyDescent="0.2">
      <c r="A98" s="631">
        <v>84</v>
      </c>
      <c r="B98" s="631" t="s">
        <v>107</v>
      </c>
      <c r="C98" s="632">
        <f>'COEFIC 2023'!I91</f>
        <v>0.66786751981428749</v>
      </c>
      <c r="D98" s="633">
        <f t="shared" si="10"/>
        <v>56897.726041198221</v>
      </c>
      <c r="E98" s="634">
        <f>'COEFIC 2023'!P91</f>
        <v>0.50669760758141813</v>
      </c>
      <c r="F98" s="635">
        <f t="shared" si="11"/>
        <v>43167.156369447002</v>
      </c>
      <c r="G98" s="653">
        <f>FPART!J99</f>
        <v>1.1889212876884179</v>
      </c>
      <c r="H98" s="637">
        <f t="shared" si="12"/>
        <v>22508.428594492863</v>
      </c>
      <c r="I98" s="638">
        <f t="shared" si="13"/>
        <v>122573.31100513809</v>
      </c>
      <c r="M98" s="639"/>
      <c r="N98" s="640"/>
      <c r="O98" s="641"/>
    </row>
    <row r="99" spans="1:15" s="613" customFormat="1" ht="12.75" x14ac:dyDescent="0.2">
      <c r="A99" s="631">
        <v>85</v>
      </c>
      <c r="B99" s="631" t="s">
        <v>124</v>
      </c>
      <c r="C99" s="632">
        <f>'COEFIC 2023'!I92</f>
        <v>0.74241194597592763</v>
      </c>
      <c r="D99" s="633">
        <f t="shared" si="10"/>
        <v>63248.399208868854</v>
      </c>
      <c r="E99" s="634">
        <f>'COEFIC 2023'!P92</f>
        <v>0.66451015921013734</v>
      </c>
      <c r="F99" s="635">
        <f t="shared" si="11"/>
        <v>56611.701974734315</v>
      </c>
      <c r="G99" s="653">
        <f>FPART!J100</f>
        <v>1.1033537639277704</v>
      </c>
      <c r="H99" s="637">
        <f t="shared" si="12"/>
        <v>20888.480732074862</v>
      </c>
      <c r="I99" s="638">
        <f t="shared" si="13"/>
        <v>140748.58191567802</v>
      </c>
      <c r="M99" s="639"/>
      <c r="N99" s="640"/>
      <c r="O99" s="641"/>
    </row>
    <row r="100" spans="1:15" s="613" customFormat="1" ht="12.75" x14ac:dyDescent="0.2">
      <c r="A100" s="631">
        <v>86</v>
      </c>
      <c r="B100" s="631" t="s">
        <v>129</v>
      </c>
      <c r="C100" s="632">
        <f>'COEFIC 2023'!I93</f>
        <v>0.32711104971607841</v>
      </c>
      <c r="D100" s="633">
        <f t="shared" si="10"/>
        <v>27867.614967964852</v>
      </c>
      <c r="E100" s="634">
        <f>'COEFIC 2023'!P93</f>
        <v>0.39136182539384073</v>
      </c>
      <c r="F100" s="635">
        <f t="shared" si="11"/>
        <v>33341.339807083161</v>
      </c>
      <c r="G100" s="653">
        <f>FPART!J101</f>
        <v>0.9519731967183146</v>
      </c>
      <c r="H100" s="637">
        <f t="shared" si="12"/>
        <v>18022.573019838805</v>
      </c>
      <c r="I100" s="638">
        <f t="shared" si="13"/>
        <v>79231.527794886817</v>
      </c>
      <c r="M100" s="639"/>
      <c r="N100" s="640"/>
      <c r="O100" s="641"/>
    </row>
    <row r="101" spans="1:15" s="613" customFormat="1" ht="12.75" x14ac:dyDescent="0.2">
      <c r="A101" s="631">
        <v>87</v>
      </c>
      <c r="B101" s="631" t="s">
        <v>350</v>
      </c>
      <c r="C101" s="632">
        <f>'COEFIC 2023'!I94</f>
        <v>0.32826922582875923</v>
      </c>
      <c r="D101" s="633">
        <f t="shared" si="10"/>
        <v>27966.283618874982</v>
      </c>
      <c r="E101" s="634">
        <f>'COEFIC 2023'!P94</f>
        <v>0.36366268944449609</v>
      </c>
      <c r="F101" s="635">
        <f t="shared" si="11"/>
        <v>30981.563650785039</v>
      </c>
      <c r="G101" s="653">
        <f>FPART!J102</f>
        <v>0.9919886218149192</v>
      </c>
      <c r="H101" s="637">
        <f t="shared" si="12"/>
        <v>18780.137332793765</v>
      </c>
      <c r="I101" s="638">
        <f t="shared" si="13"/>
        <v>77727.984602453784</v>
      </c>
      <c r="M101" s="639"/>
      <c r="N101" s="640"/>
      <c r="O101" s="641"/>
    </row>
    <row r="102" spans="1:15" s="613" customFormat="1" ht="12.75" x14ac:dyDescent="0.2">
      <c r="A102" s="631">
        <v>88</v>
      </c>
      <c r="B102" s="631" t="s">
        <v>99</v>
      </c>
      <c r="C102" s="632">
        <f>'COEFIC 2023'!I95</f>
        <v>2.411385839844038</v>
      </c>
      <c r="D102" s="633">
        <f t="shared" si="10"/>
        <v>205433.51312131833</v>
      </c>
      <c r="E102" s="634">
        <f>'COEFIC 2023'!P95</f>
        <v>1.5072208482992138</v>
      </c>
      <c r="F102" s="635">
        <f t="shared" si="11"/>
        <v>128404.86528519524</v>
      </c>
      <c r="G102" s="653">
        <f>FPART!J103</f>
        <v>1.2866929269784904</v>
      </c>
      <c r="H102" s="637">
        <f t="shared" si="12"/>
        <v>24359.422419160459</v>
      </c>
      <c r="I102" s="638">
        <f t="shared" si="13"/>
        <v>358197.80082567409</v>
      </c>
      <c r="M102" s="639"/>
      <c r="N102" s="640"/>
      <c r="O102" s="641"/>
    </row>
    <row r="103" spans="1:15" s="613" customFormat="1" ht="12.75" x14ac:dyDescent="0.2">
      <c r="A103" s="631">
        <v>89</v>
      </c>
      <c r="B103" s="631" t="s">
        <v>55</v>
      </c>
      <c r="C103" s="632">
        <f>'COEFIC 2023'!I96</f>
        <v>0.50694421339415929</v>
      </c>
      <c r="D103" s="633">
        <f t="shared" si="10"/>
        <v>43188.165491102467</v>
      </c>
      <c r="E103" s="634">
        <f>'COEFIC 2023'!P96</f>
        <v>0.8277868069583757</v>
      </c>
      <c r="F103" s="635">
        <f t="shared" si="11"/>
        <v>70521.751044178134</v>
      </c>
      <c r="G103" s="653">
        <f>FPART!J104</f>
        <v>0.79415687293111992</v>
      </c>
      <c r="H103" s="637">
        <f t="shared" si="12"/>
        <v>15034.824804886861</v>
      </c>
      <c r="I103" s="638">
        <f t="shared" si="13"/>
        <v>128744.74134016746</v>
      </c>
      <c r="M103" s="639"/>
      <c r="N103" s="640"/>
      <c r="O103" s="641"/>
    </row>
    <row r="104" spans="1:15" s="613" customFormat="1" ht="12.75" x14ac:dyDescent="0.2">
      <c r="A104" s="631">
        <v>90</v>
      </c>
      <c r="B104" s="631" t="s">
        <v>147</v>
      </c>
      <c r="C104" s="632">
        <f>'COEFIC 2023'!I97</f>
        <v>0.34376772799117933</v>
      </c>
      <c r="D104" s="633">
        <f t="shared" si="10"/>
        <v>29286.649565599728</v>
      </c>
      <c r="E104" s="634">
        <f>'COEFIC 2023'!P97</f>
        <v>0.35072713773174047</v>
      </c>
      <c r="F104" s="635">
        <f t="shared" si="11"/>
        <v>29879.543481053199</v>
      </c>
      <c r="G104" s="653">
        <f>FPART!J105</f>
        <v>1.0349895076901878</v>
      </c>
      <c r="H104" s="637">
        <f t="shared" si="12"/>
        <v>19594.221813613553</v>
      </c>
      <c r="I104" s="638">
        <f t="shared" si="13"/>
        <v>78760.414860266479</v>
      </c>
      <c r="M104" s="639"/>
      <c r="N104" s="640"/>
      <c r="O104" s="641"/>
    </row>
    <row r="105" spans="1:15" s="613" customFormat="1" ht="12.75" x14ac:dyDescent="0.2">
      <c r="A105" s="631">
        <v>91</v>
      </c>
      <c r="B105" s="631" t="s">
        <v>351</v>
      </c>
      <c r="C105" s="632">
        <f>'COEFIC 2023'!I98</f>
        <v>0.31447640121410547</v>
      </c>
      <c r="D105" s="633">
        <f t="shared" si="10"/>
        <v>26791.229685308808</v>
      </c>
      <c r="E105" s="634">
        <f>'COEFIC 2023'!P98</f>
        <v>0.3913826442102713</v>
      </c>
      <c r="F105" s="635">
        <f t="shared" si="11"/>
        <v>33343.113427267737</v>
      </c>
      <c r="G105" s="653">
        <f>FPART!J106</f>
        <v>0.93155812720200115</v>
      </c>
      <c r="H105" s="637">
        <f t="shared" si="12"/>
        <v>17636.078859781363</v>
      </c>
      <c r="I105" s="638">
        <f t="shared" si="13"/>
        <v>77770.421972357915</v>
      </c>
      <c r="M105" s="639"/>
      <c r="N105" s="640"/>
      <c r="O105" s="641"/>
    </row>
    <row r="106" spans="1:15" s="613" customFormat="1" ht="12.75" x14ac:dyDescent="0.2">
      <c r="A106" s="631">
        <v>92</v>
      </c>
      <c r="B106" s="631" t="s">
        <v>352</v>
      </c>
      <c r="C106" s="632">
        <f>'COEFIC 2023'!I99</f>
        <v>0.27029724695220692</v>
      </c>
      <c r="D106" s="633">
        <f t="shared" si="10"/>
        <v>23027.469146954863</v>
      </c>
      <c r="E106" s="634">
        <f>'COEFIC 2023'!P99</f>
        <v>1.386545035984039</v>
      </c>
      <c r="F106" s="635">
        <f t="shared" si="11"/>
        <v>118124.114829151</v>
      </c>
      <c r="G106" s="653">
        <f>FPART!J107</f>
        <v>0.34111462177289331</v>
      </c>
      <c r="H106" s="637">
        <f t="shared" si="12"/>
        <v>6457.9162525053389</v>
      </c>
      <c r="I106" s="638">
        <f t="shared" si="13"/>
        <v>147609.5002286112</v>
      </c>
      <c r="M106" s="639"/>
      <c r="N106" s="640"/>
      <c r="O106" s="641"/>
    </row>
    <row r="107" spans="1:15" s="613" customFormat="1" ht="12.75" x14ac:dyDescent="0.2">
      <c r="A107" s="631">
        <v>93</v>
      </c>
      <c r="B107" s="631" t="s">
        <v>353</v>
      </c>
      <c r="C107" s="632">
        <f>'COEFIC 2023'!I100</f>
        <v>0.60132503770389689</v>
      </c>
      <c r="D107" s="633">
        <f t="shared" si="10"/>
        <v>51228.763552543081</v>
      </c>
      <c r="E107" s="634">
        <f>'COEFIC 2023'!P100</f>
        <v>0.65567373347769853</v>
      </c>
      <c r="F107" s="635">
        <f t="shared" si="11"/>
        <v>55858.89918736789</v>
      </c>
      <c r="G107" s="653">
        <f>FPART!J108</f>
        <v>1.0002632586827527</v>
      </c>
      <c r="H107" s="637">
        <f t="shared" si="12"/>
        <v>18936.791162625599</v>
      </c>
      <c r="I107" s="638">
        <f t="shared" si="13"/>
        <v>126024.45390253657</v>
      </c>
      <c r="M107" s="639"/>
      <c r="N107" s="640"/>
      <c r="O107" s="641"/>
    </row>
    <row r="108" spans="1:15" s="613" customFormat="1" ht="12.75" x14ac:dyDescent="0.2">
      <c r="A108" s="631">
        <v>94</v>
      </c>
      <c r="B108" s="631" t="s">
        <v>354</v>
      </c>
      <c r="C108" s="632">
        <f>'COEFIC 2023'!I101</f>
        <v>0.13519073897111003</v>
      </c>
      <c r="D108" s="633">
        <f t="shared" si="10"/>
        <v>11517.322524419616</v>
      </c>
      <c r="E108" s="634">
        <f>'COEFIC 2023'!P101</f>
        <v>0.28459801121905781</v>
      </c>
      <c r="F108" s="635">
        <f t="shared" si="11"/>
        <v>24245.796050561879</v>
      </c>
      <c r="G108" s="653">
        <f>FPART!J109</f>
        <v>0.67337351189936723</v>
      </c>
      <c r="H108" s="637">
        <f t="shared" si="12"/>
        <v>12748.177500865726</v>
      </c>
      <c r="I108" s="638">
        <f t="shared" si="13"/>
        <v>48511.296075847225</v>
      </c>
      <c r="M108" s="639"/>
      <c r="N108" s="640"/>
      <c r="O108" s="641"/>
    </row>
    <row r="109" spans="1:15" s="613" customFormat="1" ht="12.75" x14ac:dyDescent="0.2">
      <c r="A109" s="631">
        <v>95</v>
      </c>
      <c r="B109" s="631" t="s">
        <v>100</v>
      </c>
      <c r="C109" s="632">
        <f>'COEFIC 2023'!I102</f>
        <v>0.25953673797802668</v>
      </c>
      <c r="D109" s="633">
        <f t="shared" si="10"/>
        <v>22110.747681226134</v>
      </c>
      <c r="E109" s="634">
        <f>'COEFIC 2023'!P102</f>
        <v>0.50154876438978779</v>
      </c>
      <c r="F109" s="635">
        <f t="shared" si="11"/>
        <v>42728.510289715596</v>
      </c>
      <c r="G109" s="653">
        <f>FPART!J110</f>
        <v>0.7130258503350696</v>
      </c>
      <c r="H109" s="637">
        <f t="shared" si="12"/>
        <v>13498.867927159592</v>
      </c>
      <c r="I109" s="638">
        <f t="shared" si="13"/>
        <v>78338.125898101323</v>
      </c>
      <c r="M109" s="639"/>
      <c r="N109" s="640"/>
      <c r="O109" s="641"/>
    </row>
    <row r="110" spans="1:15" s="613" customFormat="1" ht="12.75" x14ac:dyDescent="0.2">
      <c r="A110" s="631">
        <v>96</v>
      </c>
      <c r="B110" s="631" t="s">
        <v>78</v>
      </c>
      <c r="C110" s="632">
        <f>'COEFIC 2023'!I103</f>
        <v>0.12573581034213366</v>
      </c>
      <c r="D110" s="633">
        <f t="shared" si="10"/>
        <v>10711.827537898684</v>
      </c>
      <c r="E110" s="634">
        <f>'COEFIC 2023'!P103</f>
        <v>1.3013400949509077</v>
      </c>
      <c r="F110" s="635">
        <f t="shared" si="11"/>
        <v>110865.23900658125</v>
      </c>
      <c r="G110" s="653">
        <f>FPART!J111</f>
        <v>0.18422636972178577</v>
      </c>
      <c r="H110" s="637">
        <f t="shared" si="12"/>
        <v>3487.7381127287658</v>
      </c>
      <c r="I110" s="638">
        <f t="shared" si="13"/>
        <v>125064.8046572087</v>
      </c>
      <c r="M110" s="639"/>
      <c r="N110" s="640"/>
      <c r="O110" s="641"/>
    </row>
    <row r="111" spans="1:15" s="613" customFormat="1" ht="12.75" x14ac:dyDescent="0.2">
      <c r="A111" s="631">
        <v>97</v>
      </c>
      <c r="B111" s="631" t="s">
        <v>130</v>
      </c>
      <c r="C111" s="632">
        <f>'COEFIC 2023'!I104</f>
        <v>0.61185391145554102</v>
      </c>
      <c r="D111" s="633">
        <f t="shared" ref="D111:D127" si="14">$F$8*C111%</f>
        <v>52125.751288089785</v>
      </c>
      <c r="E111" s="634">
        <f>'COEFIC 2023'!P104</f>
        <v>1.6393849867608183</v>
      </c>
      <c r="F111" s="635">
        <f t="shared" ref="F111:F127" si="15">$F$9*E111%</f>
        <v>139664.34223168663</v>
      </c>
      <c r="G111" s="653">
        <f>FPART!J112</f>
        <v>0.56828479898068007</v>
      </c>
      <c r="H111" s="637">
        <f t="shared" ref="H111:H127" si="16">$F$10*G111%</f>
        <v>10758.658248992992</v>
      </c>
      <c r="I111" s="638">
        <f t="shared" si="13"/>
        <v>202548.75176876941</v>
      </c>
      <c r="M111" s="639"/>
      <c r="N111" s="640"/>
      <c r="O111" s="641"/>
    </row>
    <row r="112" spans="1:15" s="613" customFormat="1" ht="12.75" x14ac:dyDescent="0.2">
      <c r="A112" s="631">
        <v>98</v>
      </c>
      <c r="B112" s="631" t="s">
        <v>355</v>
      </c>
      <c r="C112" s="632">
        <f>'COEFIC 2023'!I105</f>
        <v>0.54238440244219333</v>
      </c>
      <c r="D112" s="633">
        <f t="shared" si="14"/>
        <v>46207.42620895266</v>
      </c>
      <c r="E112" s="634">
        <f>'COEFIC 2023'!P105</f>
        <v>0.65675616703162876</v>
      </c>
      <c r="F112" s="635">
        <f t="shared" si="15"/>
        <v>55951.115092442065</v>
      </c>
      <c r="G112" s="653">
        <f>FPART!J113</f>
        <v>0.94575136814049388</v>
      </c>
      <c r="H112" s="637">
        <f t="shared" si="16"/>
        <v>17904.782560772052</v>
      </c>
      <c r="I112" s="638">
        <f t="shared" si="13"/>
        <v>120063.32386216678</v>
      </c>
      <c r="M112" s="639"/>
      <c r="N112" s="640"/>
      <c r="O112" s="641"/>
    </row>
    <row r="113" spans="1:15" s="613" customFormat="1" ht="12.75" x14ac:dyDescent="0.2">
      <c r="A113" s="631">
        <v>99</v>
      </c>
      <c r="B113" s="631" t="s">
        <v>139</v>
      </c>
      <c r="C113" s="632">
        <f>'COEFIC 2023'!I106</f>
        <v>0.30173646397461618</v>
      </c>
      <c r="D113" s="633">
        <f t="shared" si="14"/>
        <v>25705.874525297306</v>
      </c>
      <c r="E113" s="634">
        <f>'COEFIC 2023'!P106</f>
        <v>1.0151448119377655</v>
      </c>
      <c r="F113" s="635">
        <f t="shared" si="15"/>
        <v>86483.366368587172</v>
      </c>
      <c r="G113" s="653">
        <f>FPART!J114</f>
        <v>0.47909435811536139</v>
      </c>
      <c r="H113" s="637">
        <f t="shared" si="16"/>
        <v>9070.122018447777</v>
      </c>
      <c r="I113" s="638">
        <f t="shared" si="13"/>
        <v>121259.36291233225</v>
      </c>
      <c r="M113" s="639"/>
      <c r="N113" s="640"/>
      <c r="O113" s="641"/>
    </row>
    <row r="114" spans="1:15" s="613" customFormat="1" ht="12.75" x14ac:dyDescent="0.2">
      <c r="A114" s="631">
        <v>100</v>
      </c>
      <c r="B114" s="631" t="s">
        <v>125</v>
      </c>
      <c r="C114" s="632">
        <f>'COEFIC 2023'!I107</f>
        <v>0.31399207302152987</v>
      </c>
      <c r="D114" s="633">
        <f t="shared" si="14"/>
        <v>26749.968249473663</v>
      </c>
      <c r="E114" s="634">
        <f>'COEFIC 2023'!P107</f>
        <v>0.41005540499195375</v>
      </c>
      <c r="F114" s="635">
        <f t="shared" si="15"/>
        <v>34933.904408815135</v>
      </c>
      <c r="G114" s="653">
        <f>FPART!J115</f>
        <v>0.90675826255322967</v>
      </c>
      <c r="H114" s="637">
        <f t="shared" si="16"/>
        <v>17166.572603664725</v>
      </c>
      <c r="I114" s="638">
        <f t="shared" si="13"/>
        <v>78850.445261953515</v>
      </c>
      <c r="M114" s="639"/>
      <c r="N114" s="640"/>
      <c r="O114" s="641"/>
    </row>
    <row r="115" spans="1:15" s="613" customFormat="1" ht="12.75" x14ac:dyDescent="0.2">
      <c r="A115" s="631">
        <v>101</v>
      </c>
      <c r="B115" s="631" t="s">
        <v>66</v>
      </c>
      <c r="C115" s="632">
        <f>'COEFIC 2023'!I108</f>
        <v>0.18646635414161672</v>
      </c>
      <c r="D115" s="633">
        <f t="shared" si="14"/>
        <v>15885.652796532042</v>
      </c>
      <c r="E115" s="634">
        <f>'COEFIC 2023'!P108</f>
        <v>1.1972559825788365</v>
      </c>
      <c r="F115" s="635">
        <f t="shared" si="15"/>
        <v>101997.98744053092</v>
      </c>
      <c r="G115" s="653">
        <f>FPART!J116</f>
        <v>0.28176783207365719</v>
      </c>
      <c r="H115" s="637">
        <f t="shared" si="16"/>
        <v>5334.3742719804541</v>
      </c>
      <c r="I115" s="638">
        <f t="shared" si="13"/>
        <v>123218.01450904342</v>
      </c>
      <c r="M115" s="639"/>
      <c r="N115" s="640"/>
      <c r="O115" s="641"/>
    </row>
    <row r="116" spans="1:15" s="613" customFormat="1" ht="12.75" x14ac:dyDescent="0.2">
      <c r="A116" s="631">
        <v>102</v>
      </c>
      <c r="B116" s="631" t="s">
        <v>117</v>
      </c>
      <c r="C116" s="632">
        <f>'COEFIC 2023'!I109</f>
        <v>7.5131095007081719</v>
      </c>
      <c r="D116" s="633">
        <f t="shared" si="14"/>
        <v>640065.33242952917</v>
      </c>
      <c r="E116" s="634">
        <f>'COEFIC 2023'!P109</f>
        <v>3.2046435796815618</v>
      </c>
      <c r="F116" s="635">
        <f t="shared" si="15"/>
        <v>273013.62477862125</v>
      </c>
      <c r="G116" s="653">
        <f>FPART!J117</f>
        <v>1.4657363346795347</v>
      </c>
      <c r="H116" s="637">
        <f t="shared" si="16"/>
        <v>27749.037694187624</v>
      </c>
      <c r="I116" s="638">
        <f t="shared" si="13"/>
        <v>940827.99490233802</v>
      </c>
      <c r="M116" s="639"/>
      <c r="N116" s="640"/>
      <c r="O116" s="641"/>
    </row>
    <row r="117" spans="1:15" s="613" customFormat="1" ht="12.75" x14ac:dyDescent="0.2">
      <c r="A117" s="631">
        <v>103</v>
      </c>
      <c r="B117" s="631" t="s">
        <v>356</v>
      </c>
      <c r="C117" s="632">
        <f>'COEFIC 2023'!I110</f>
        <v>0.49420427615467</v>
      </c>
      <c r="D117" s="633">
        <f t="shared" si="14"/>
        <v>42102.810331090965</v>
      </c>
      <c r="E117" s="634">
        <f>'COEFIC 2023'!P110</f>
        <v>0.56434491249142493</v>
      </c>
      <c r="F117" s="635">
        <f t="shared" si="15"/>
        <v>48078.31084914838</v>
      </c>
      <c r="G117" s="653">
        <f>FPART!J118</f>
        <v>0.97619221060691552</v>
      </c>
      <c r="H117" s="637">
        <f t="shared" si="16"/>
        <v>18481.082721351919</v>
      </c>
      <c r="I117" s="638">
        <f t="shared" si="13"/>
        <v>108662.20390159126</v>
      </c>
      <c r="M117" s="639"/>
      <c r="N117" s="640"/>
      <c r="O117" s="641"/>
    </row>
    <row r="118" spans="1:15" s="613" customFormat="1" ht="12.75" x14ac:dyDescent="0.2">
      <c r="A118" s="631">
        <v>104</v>
      </c>
      <c r="B118" s="631" t="s">
        <v>109</v>
      </c>
      <c r="C118" s="632">
        <f>'COEFIC 2023'!I111</f>
        <v>0.33406010639216349</v>
      </c>
      <c r="D118" s="633">
        <f t="shared" si="14"/>
        <v>28459.62687342567</v>
      </c>
      <c r="E118" s="634">
        <f>'COEFIC 2023'!P111</f>
        <v>0.47064902069414494</v>
      </c>
      <c r="F118" s="635">
        <f t="shared" si="15"/>
        <v>40096.064333926624</v>
      </c>
      <c r="G118" s="653">
        <f>FPART!J119</f>
        <v>0.86801168304157472</v>
      </c>
      <c r="H118" s="637">
        <f t="shared" si="16"/>
        <v>16433.029830690601</v>
      </c>
      <c r="I118" s="638">
        <f t="shared" si="13"/>
        <v>84988.721038042902</v>
      </c>
      <c r="M118" s="639"/>
      <c r="N118" s="640"/>
      <c r="O118" s="641"/>
    </row>
    <row r="119" spans="1:15" s="613" customFormat="1" ht="12.75" x14ac:dyDescent="0.2">
      <c r="A119" s="631">
        <v>105</v>
      </c>
      <c r="B119" s="631" t="s">
        <v>150</v>
      </c>
      <c r="C119" s="632">
        <f>'COEFIC 2023'!I112</f>
        <v>0.44183365811399233</v>
      </c>
      <c r="D119" s="633">
        <f t="shared" si="14"/>
        <v>37641.193334481686</v>
      </c>
      <c r="E119" s="634">
        <f>'COEFIC 2023'!P112</f>
        <v>0.4853513770445434</v>
      </c>
      <c r="F119" s="635">
        <f t="shared" si="15"/>
        <v>41348.604125078113</v>
      </c>
      <c r="G119" s="653">
        <f>FPART!J120</f>
        <v>0.99639666628438228</v>
      </c>
      <c r="H119" s="637">
        <f t="shared" si="16"/>
        <v>18863.589580818665</v>
      </c>
      <c r="I119" s="638">
        <f t="shared" si="13"/>
        <v>97853.387040378468</v>
      </c>
      <c r="M119" s="639"/>
      <c r="N119" s="640"/>
      <c r="O119" s="641"/>
    </row>
    <row r="120" spans="1:15" s="613" customFormat="1" ht="12.75" x14ac:dyDescent="0.2">
      <c r="A120" s="631">
        <v>106</v>
      </c>
      <c r="B120" s="631" t="s">
        <v>357</v>
      </c>
      <c r="C120" s="632">
        <f>'COEFIC 2023'!I113</f>
        <v>0.68022841759871766</v>
      </c>
      <c r="D120" s="633">
        <f t="shared" si="14"/>
        <v>57950.789642730044</v>
      </c>
      <c r="E120" s="634">
        <f>'COEFIC 2023'!P113</f>
        <v>0.6649816513046064</v>
      </c>
      <c r="F120" s="635">
        <f t="shared" si="15"/>
        <v>56651.869863163971</v>
      </c>
      <c r="G120" s="653">
        <f>FPART!J121</f>
        <v>1.0573153678859981</v>
      </c>
      <c r="H120" s="637">
        <f t="shared" si="16"/>
        <v>20016.890694414786</v>
      </c>
      <c r="I120" s="638">
        <f t="shared" si="13"/>
        <v>134619.55020030879</v>
      </c>
      <c r="M120" s="639"/>
      <c r="N120" s="640"/>
      <c r="O120" s="641"/>
    </row>
    <row r="121" spans="1:15" s="613" customFormat="1" ht="12.75" x14ac:dyDescent="0.2">
      <c r="A121" s="631">
        <v>107</v>
      </c>
      <c r="B121" s="631" t="s">
        <v>358</v>
      </c>
      <c r="C121" s="632">
        <f>'COEFIC 2023'!I114</f>
        <v>1.6178456829301266</v>
      </c>
      <c r="D121" s="633">
        <f t="shared" si="14"/>
        <v>137829.34146863472</v>
      </c>
      <c r="E121" s="634">
        <f>'COEFIC 2023'!P114</f>
        <v>1.0775803879663932</v>
      </c>
      <c r="F121" s="635">
        <f t="shared" si="15"/>
        <v>91802.448663664312</v>
      </c>
      <c r="G121" s="653">
        <f>FPART!J122</f>
        <v>1.2550168374600785</v>
      </c>
      <c r="H121" s="637">
        <f t="shared" si="16"/>
        <v>23759.736799547944</v>
      </c>
      <c r="I121" s="638">
        <f t="shared" si="13"/>
        <v>253391.52693184698</v>
      </c>
      <c r="M121" s="639"/>
      <c r="N121" s="640"/>
      <c r="O121" s="641"/>
    </row>
    <row r="122" spans="1:15" s="613" customFormat="1" ht="12.75" x14ac:dyDescent="0.2">
      <c r="A122" s="631">
        <v>108</v>
      </c>
      <c r="B122" s="631" t="s">
        <v>149</v>
      </c>
      <c r="C122" s="632">
        <f>'COEFIC 2023'!I115</f>
        <v>4.313890153523614</v>
      </c>
      <c r="D122" s="633">
        <f t="shared" si="14"/>
        <v>367513.8150081936</v>
      </c>
      <c r="E122" s="634">
        <f>'COEFIC 2023'!P115</f>
        <v>2.6970472672578447</v>
      </c>
      <c r="F122" s="635">
        <f t="shared" si="15"/>
        <v>229769.90492855574</v>
      </c>
      <c r="G122" s="653">
        <f>FPART!J123</f>
        <v>1.2865683823402381</v>
      </c>
      <c r="H122" s="637">
        <f t="shared" si="16"/>
        <v>24357.064564081269</v>
      </c>
      <c r="I122" s="638">
        <f t="shared" si="13"/>
        <v>621640.78450083057</v>
      </c>
      <c r="M122" s="639"/>
      <c r="N122" s="640"/>
      <c r="O122" s="641"/>
    </row>
    <row r="123" spans="1:15" s="613" customFormat="1" ht="12.75" x14ac:dyDescent="0.2">
      <c r="A123" s="631">
        <v>109</v>
      </c>
      <c r="B123" s="631" t="s">
        <v>50</v>
      </c>
      <c r="C123" s="632">
        <f>'COEFIC 2023'!I116</f>
        <v>6.8058639930627357E-2</v>
      </c>
      <c r="D123" s="633">
        <f t="shared" si="14"/>
        <v>5798.1287225738633</v>
      </c>
      <c r="E123" s="634">
        <f>'COEFIC 2023'!P116</f>
        <v>0.2211655189413736</v>
      </c>
      <c r="F123" s="635">
        <f t="shared" si="15"/>
        <v>18841.783337487148</v>
      </c>
      <c r="G123" s="653">
        <f>FPART!J124</f>
        <v>0.49202659964457895</v>
      </c>
      <c r="H123" s="637">
        <f t="shared" si="16"/>
        <v>9314.9527217427567</v>
      </c>
      <c r="I123" s="638">
        <f t="shared" si="13"/>
        <v>33954.864781803772</v>
      </c>
      <c r="M123" s="639"/>
      <c r="N123" s="640"/>
      <c r="O123" s="641"/>
    </row>
    <row r="124" spans="1:15" s="613" customFormat="1" ht="12.75" x14ac:dyDescent="0.2">
      <c r="A124" s="631">
        <v>110</v>
      </c>
      <c r="B124" s="631" t="s">
        <v>111</v>
      </c>
      <c r="C124" s="632">
        <f>'COEFIC 2023'!I117</f>
        <v>1.0319349163986367</v>
      </c>
      <c r="D124" s="633">
        <f t="shared" si="14"/>
        <v>87913.767960931989</v>
      </c>
      <c r="E124" s="634">
        <f>'COEFIC 2023'!P117</f>
        <v>0.93707100970791035</v>
      </c>
      <c r="F124" s="635">
        <f t="shared" si="15"/>
        <v>79832.014598247697</v>
      </c>
      <c r="G124" s="653">
        <f>FPART!J125</f>
        <v>1.0958349989493676</v>
      </c>
      <c r="H124" s="637">
        <f t="shared" si="16"/>
        <v>20746.13692312163</v>
      </c>
      <c r="I124" s="638">
        <f t="shared" si="13"/>
        <v>188491.91948230134</v>
      </c>
      <c r="M124" s="639"/>
      <c r="N124" s="640"/>
      <c r="O124" s="641"/>
    </row>
    <row r="125" spans="1:15" s="613" customFormat="1" ht="12.75" x14ac:dyDescent="0.2">
      <c r="A125" s="631">
        <v>111</v>
      </c>
      <c r="B125" s="631" t="s">
        <v>140</v>
      </c>
      <c r="C125" s="632">
        <f>'COEFIC 2023'!I118</f>
        <v>0.38750466955550888</v>
      </c>
      <c r="D125" s="633">
        <f t="shared" si="14"/>
        <v>33012.736619060721</v>
      </c>
      <c r="E125" s="634">
        <f>'COEFIC 2023'!P118</f>
        <v>0.45366995431345297</v>
      </c>
      <c r="F125" s="635">
        <f t="shared" si="15"/>
        <v>38649.564483727947</v>
      </c>
      <c r="G125" s="653">
        <f>FPART!J126</f>
        <v>0.96323146383146219</v>
      </c>
      <c r="H125" s="637">
        <f t="shared" si="16"/>
        <v>18235.712362231014</v>
      </c>
      <c r="I125" s="638">
        <f t="shared" si="13"/>
        <v>89898.013465019685</v>
      </c>
      <c r="M125" s="639"/>
      <c r="N125" s="640"/>
      <c r="O125" s="641"/>
    </row>
    <row r="126" spans="1:15" s="613" customFormat="1" ht="12.75" x14ac:dyDescent="0.2">
      <c r="A126" s="631">
        <v>112</v>
      </c>
      <c r="B126" s="631" t="s">
        <v>142</v>
      </c>
      <c r="C126" s="632">
        <f>'COEFIC 2023'!I119</f>
        <v>3.3072455918764265</v>
      </c>
      <c r="D126" s="633">
        <f t="shared" si="14"/>
        <v>281754.61158804479</v>
      </c>
      <c r="E126" s="634">
        <f>'COEFIC 2023'!P119</f>
        <v>1.8287280295210968</v>
      </c>
      <c r="F126" s="635">
        <f t="shared" si="15"/>
        <v>155795.06914258192</v>
      </c>
      <c r="G126" s="653">
        <f>FPART!J127</f>
        <v>1.3464292708166699</v>
      </c>
      <c r="H126" s="637">
        <f t="shared" si="16"/>
        <v>25490.33936353778</v>
      </c>
      <c r="I126" s="638">
        <f t="shared" ref="I126:I127" si="17">D126+F126+H126</f>
        <v>463040.02009416447</v>
      </c>
      <c r="M126" s="639"/>
      <c r="N126" s="640"/>
      <c r="O126" s="641"/>
    </row>
    <row r="127" spans="1:15" s="613" customFormat="1" ht="12.75" x14ac:dyDescent="0.2">
      <c r="A127" s="631">
        <v>113</v>
      </c>
      <c r="B127" s="631" t="s">
        <v>101</v>
      </c>
      <c r="C127" s="632">
        <f>'COEFIC 2023'!I120</f>
        <v>0.55198673530369269</v>
      </c>
      <c r="D127" s="633">
        <f t="shared" si="14"/>
        <v>47025.479023771251</v>
      </c>
      <c r="E127" s="634">
        <f>'COEFIC 2023'!P120</f>
        <v>0.58979875485710986</v>
      </c>
      <c r="F127" s="635">
        <f t="shared" si="15"/>
        <v>50246.803411896908</v>
      </c>
      <c r="G127" s="653">
        <f>FPART!J128</f>
        <v>1.0108436899472564</v>
      </c>
      <c r="H127" s="637">
        <f t="shared" si="16"/>
        <v>19137.097847418037</v>
      </c>
      <c r="I127" s="638">
        <f t="shared" si="17"/>
        <v>116409.38028308621</v>
      </c>
      <c r="J127" s="643"/>
      <c r="K127" s="643"/>
      <c r="L127" s="643"/>
      <c r="M127" s="639"/>
      <c r="N127" s="640"/>
      <c r="O127" s="641"/>
    </row>
    <row r="128" spans="1:15" s="643" customFormat="1" ht="13.5" thickBot="1" x14ac:dyDescent="0.25">
      <c r="A128" s="644"/>
      <c r="B128" s="645" t="s">
        <v>156</v>
      </c>
      <c r="C128" s="654">
        <f t="shared" ref="C128:I128" si="18">SUM(C15:C127)</f>
        <v>100.00000000000004</v>
      </c>
      <c r="D128" s="647">
        <f t="shared" si="18"/>
        <v>8519313.2399999984</v>
      </c>
      <c r="E128" s="654">
        <f t="shared" si="18"/>
        <v>99.999999999999915</v>
      </c>
      <c r="F128" s="647">
        <f t="shared" si="18"/>
        <v>8519313.2399999928</v>
      </c>
      <c r="G128" s="663">
        <f t="shared" si="18"/>
        <v>100.00000000000006</v>
      </c>
      <c r="H128" s="647">
        <f t="shared" si="18"/>
        <v>1893180.7200000007</v>
      </c>
      <c r="I128" s="647">
        <f t="shared" si="18"/>
        <v>18931807.199999999</v>
      </c>
      <c r="M128" s="656"/>
      <c r="N128" s="657"/>
    </row>
    <row r="129" spans="1:10" s="613" customFormat="1" ht="13.5" thickTop="1" x14ac:dyDescent="0.2">
      <c r="D129" s="620"/>
      <c r="F129" s="620"/>
      <c r="H129" s="620"/>
      <c r="I129" s="620"/>
      <c r="J129" s="658"/>
    </row>
    <row r="130" spans="1:10" s="613" customFormat="1" ht="12.75" x14ac:dyDescent="0.2">
      <c r="D130" s="620"/>
      <c r="E130" s="620"/>
      <c r="F130" s="620"/>
      <c r="G130" s="620"/>
      <c r="H130" s="620"/>
      <c r="I130" s="620"/>
    </row>
    <row r="131" spans="1:10" s="613" customFormat="1" ht="12.75" x14ac:dyDescent="0.2">
      <c r="H131" s="620"/>
    </row>
    <row r="132" spans="1:10" s="613" customFormat="1" ht="12.75" x14ac:dyDescent="0.2">
      <c r="D132" s="620"/>
    </row>
    <row r="133" spans="1:10" s="613" customFormat="1" ht="12.75" x14ac:dyDescent="0.2"/>
    <row r="134" spans="1:10" s="613" customFormat="1" ht="12.75" x14ac:dyDescent="0.2">
      <c r="C134" s="648" t="s">
        <v>7</v>
      </c>
      <c r="D134" s="648"/>
      <c r="I134" s="621"/>
    </row>
    <row r="135" spans="1:10" s="613" customFormat="1" ht="12.75" x14ac:dyDescent="0.2">
      <c r="A135" s="613" t="s">
        <v>7</v>
      </c>
      <c r="B135" s="613" t="s">
        <v>7</v>
      </c>
      <c r="I135" s="621"/>
    </row>
    <row r="136" spans="1:10" s="613" customFormat="1" ht="12.75" x14ac:dyDescent="0.2">
      <c r="A136" s="613" t="s">
        <v>7</v>
      </c>
      <c r="B136" s="613" t="s">
        <v>7</v>
      </c>
      <c r="I136" s="621"/>
    </row>
    <row r="137" spans="1:10" s="613" customFormat="1" ht="12.75" x14ac:dyDescent="0.2">
      <c r="I137" s="621"/>
    </row>
    <row r="138" spans="1:10" s="613" customFormat="1" ht="12.75" x14ac:dyDescent="0.2">
      <c r="I138" s="621"/>
    </row>
    <row r="139" spans="1:10" s="613" customFormat="1" ht="12.75" x14ac:dyDescent="0.2">
      <c r="I139" s="621"/>
    </row>
    <row r="140" spans="1:10" s="613" customFormat="1" ht="12.75" x14ac:dyDescent="0.2">
      <c r="I140" s="621"/>
    </row>
    <row r="141" spans="1:10" s="613" customFormat="1" ht="12.75" x14ac:dyDescent="0.2">
      <c r="I141" s="621"/>
    </row>
    <row r="142" spans="1:10" s="613" customFormat="1" ht="12.75" x14ac:dyDescent="0.2">
      <c r="I142" s="621"/>
    </row>
    <row r="143" spans="1:10" s="613" customFormat="1" ht="12.75" x14ac:dyDescent="0.2">
      <c r="I143" s="621"/>
    </row>
    <row r="144" spans="1:10" s="613" customFormat="1" ht="12.75" x14ac:dyDescent="0.2">
      <c r="I144" s="621"/>
    </row>
    <row r="145" spans="9:9" s="613" customFormat="1" ht="12.75" x14ac:dyDescent="0.2">
      <c r="I145" s="621"/>
    </row>
    <row r="146" spans="9:9" s="613" customFormat="1" ht="12.75" x14ac:dyDescent="0.2">
      <c r="I146" s="621"/>
    </row>
    <row r="147" spans="9:9" s="613" customFormat="1" ht="12.75" x14ac:dyDescent="0.2">
      <c r="I147" s="621"/>
    </row>
    <row r="148" spans="9:9" s="613" customFormat="1" ht="12.75" x14ac:dyDescent="0.2">
      <c r="I148" s="621"/>
    </row>
    <row r="149" spans="9:9" s="613" customFormat="1" ht="12.75" x14ac:dyDescent="0.2">
      <c r="I149" s="621"/>
    </row>
    <row r="150" spans="9:9" s="613" customFormat="1" ht="12.75" x14ac:dyDescent="0.2">
      <c r="I150" s="621"/>
    </row>
    <row r="151" spans="9:9" s="613" customFormat="1" ht="12.75" x14ac:dyDescent="0.2">
      <c r="I151" s="621"/>
    </row>
    <row r="152" spans="9:9" s="613" customFormat="1" ht="12.75" x14ac:dyDescent="0.2">
      <c r="I152" s="621"/>
    </row>
    <row r="153" spans="9:9" s="613" customFormat="1" ht="12.75" x14ac:dyDescent="0.2">
      <c r="I153" s="621"/>
    </row>
    <row r="154" spans="9:9" s="613" customFormat="1" ht="12.75" x14ac:dyDescent="0.2">
      <c r="I154" s="621"/>
    </row>
    <row r="155" spans="9:9" s="613" customFormat="1" ht="12.75" x14ac:dyDescent="0.2">
      <c r="I155" s="621"/>
    </row>
    <row r="156" spans="9:9" s="613" customFormat="1" ht="12.75" x14ac:dyDescent="0.2">
      <c r="I156" s="621"/>
    </row>
    <row r="157" spans="9:9" s="613" customFormat="1" ht="12.75" x14ac:dyDescent="0.2">
      <c r="I157" s="621"/>
    </row>
    <row r="158" spans="9:9" s="613" customFormat="1" ht="12.75" x14ac:dyDescent="0.2">
      <c r="I158" s="621"/>
    </row>
    <row r="159" spans="9:9" s="613" customFormat="1" ht="12.75" x14ac:dyDescent="0.2">
      <c r="I159" s="621"/>
    </row>
    <row r="160" spans="9:9" s="613" customFormat="1" ht="12.75" x14ac:dyDescent="0.2">
      <c r="I160" s="621"/>
    </row>
    <row r="161" spans="9:9" s="613" customFormat="1" ht="12.75" x14ac:dyDescent="0.2">
      <c r="I161" s="621"/>
    </row>
    <row r="162" spans="9:9" s="613" customFormat="1" ht="12.75" x14ac:dyDescent="0.2">
      <c r="I162" s="621"/>
    </row>
    <row r="163" spans="9:9" s="613" customFormat="1" ht="12.75" x14ac:dyDescent="0.2">
      <c r="I163" s="621"/>
    </row>
    <row r="164" spans="9:9" s="613" customFormat="1" ht="12.75" x14ac:dyDescent="0.2">
      <c r="I164" s="621"/>
    </row>
    <row r="165" spans="9:9" s="613" customFormat="1" ht="12.75" x14ac:dyDescent="0.2">
      <c r="I165" s="621"/>
    </row>
    <row r="166" spans="9:9" s="613" customFormat="1" ht="12.75" x14ac:dyDescent="0.2">
      <c r="I166" s="621"/>
    </row>
    <row r="167" spans="9:9" s="613" customFormat="1" ht="12.75" x14ac:dyDescent="0.2">
      <c r="I167" s="621"/>
    </row>
    <row r="168" spans="9:9" s="613" customFormat="1" ht="12.75" x14ac:dyDescent="0.2">
      <c r="I168" s="621"/>
    </row>
    <row r="169" spans="9:9" s="613" customFormat="1" ht="12.75" x14ac:dyDescent="0.2">
      <c r="I169" s="621"/>
    </row>
    <row r="170" spans="9:9" s="613" customFormat="1" ht="12.75" x14ac:dyDescent="0.2">
      <c r="I170" s="621"/>
    </row>
    <row r="171" spans="9:9" s="613" customFormat="1" ht="12.75" x14ac:dyDescent="0.2">
      <c r="I171" s="621"/>
    </row>
    <row r="172" spans="9:9" s="613" customFormat="1" ht="12.75" x14ac:dyDescent="0.2">
      <c r="I172" s="621"/>
    </row>
    <row r="173" spans="9:9" s="613" customFormat="1" ht="12.75" x14ac:dyDescent="0.2">
      <c r="I173" s="621"/>
    </row>
    <row r="174" spans="9:9" s="613" customFormat="1" ht="12.75" x14ac:dyDescent="0.2">
      <c r="I174" s="621"/>
    </row>
    <row r="175" spans="9:9" s="613" customFormat="1" ht="12.75" x14ac:dyDescent="0.2">
      <c r="I175" s="621"/>
    </row>
    <row r="176" spans="9:9" s="613" customFormat="1" ht="12.75" x14ac:dyDescent="0.2">
      <c r="I176" s="621"/>
    </row>
    <row r="177" spans="9:9" s="613" customFormat="1" ht="12.75" x14ac:dyDescent="0.2">
      <c r="I177" s="621"/>
    </row>
    <row r="178" spans="9:9" s="613" customFormat="1" ht="12.75" x14ac:dyDescent="0.2">
      <c r="I178" s="621"/>
    </row>
    <row r="179" spans="9:9" s="613" customFormat="1" ht="12.75" x14ac:dyDescent="0.2">
      <c r="I179" s="621"/>
    </row>
    <row r="180" spans="9:9" s="613" customFormat="1" ht="12.75" x14ac:dyDescent="0.2">
      <c r="I180" s="621"/>
    </row>
    <row r="181" spans="9:9" s="613" customFormat="1" ht="12.75" x14ac:dyDescent="0.2">
      <c r="I181" s="621"/>
    </row>
    <row r="182" spans="9:9" s="613" customFormat="1" ht="12.75" x14ac:dyDescent="0.2">
      <c r="I182" s="621"/>
    </row>
    <row r="183" spans="9:9" s="613" customFormat="1" ht="12.75" x14ac:dyDescent="0.2">
      <c r="I183" s="621"/>
    </row>
    <row r="184" spans="9:9" s="613" customFormat="1" ht="12.75" x14ac:dyDescent="0.2">
      <c r="I184" s="621"/>
    </row>
    <row r="185" spans="9:9" s="613" customFormat="1" ht="12.75" x14ac:dyDescent="0.2">
      <c r="I185" s="621"/>
    </row>
    <row r="186" spans="9:9" s="613" customFormat="1" ht="12.75" x14ac:dyDescent="0.2">
      <c r="I186" s="621"/>
    </row>
    <row r="187" spans="9:9" s="613" customFormat="1" ht="12.75" x14ac:dyDescent="0.2">
      <c r="I187" s="621"/>
    </row>
    <row r="188" spans="9:9" s="613" customFormat="1" ht="12.75" x14ac:dyDescent="0.2">
      <c r="I188" s="621"/>
    </row>
    <row r="189" spans="9:9" s="613" customFormat="1" ht="12.75" x14ac:dyDescent="0.2">
      <c r="I189" s="621"/>
    </row>
    <row r="190" spans="9:9" s="613" customFormat="1" ht="12.75" x14ac:dyDescent="0.2">
      <c r="I190" s="621"/>
    </row>
    <row r="191" spans="9:9" s="613" customFormat="1" ht="12.75" x14ac:dyDescent="0.2">
      <c r="I191" s="621"/>
    </row>
    <row r="192" spans="9:9" s="613" customFormat="1" ht="12.75" x14ac:dyDescent="0.2">
      <c r="I192" s="621"/>
    </row>
    <row r="193" spans="9:9" s="613" customFormat="1" ht="12.75" x14ac:dyDescent="0.2">
      <c r="I193" s="621"/>
    </row>
    <row r="194" spans="9:9" s="613" customFormat="1" ht="12.75" x14ac:dyDescent="0.2">
      <c r="I194" s="621"/>
    </row>
    <row r="195" spans="9:9" s="613" customFormat="1" ht="12.75" x14ac:dyDescent="0.2">
      <c r="I195" s="621"/>
    </row>
    <row r="196" spans="9:9" s="613" customFormat="1" ht="12.75" x14ac:dyDescent="0.2">
      <c r="I196" s="621"/>
    </row>
    <row r="197" spans="9:9" s="613" customFormat="1" ht="12.75" x14ac:dyDescent="0.2">
      <c r="I197" s="621"/>
    </row>
    <row r="198" spans="9:9" s="613" customFormat="1" ht="12.75" x14ac:dyDescent="0.2">
      <c r="I198" s="621"/>
    </row>
    <row r="199" spans="9:9" s="613" customFormat="1" ht="12.75" x14ac:dyDescent="0.2">
      <c r="I199" s="621"/>
    </row>
    <row r="200" spans="9:9" s="613" customFormat="1" ht="12.75" x14ac:dyDescent="0.2">
      <c r="I200" s="621"/>
    </row>
    <row r="201" spans="9:9" s="613" customFormat="1" ht="12.75" x14ac:dyDescent="0.2">
      <c r="I201" s="621"/>
    </row>
    <row r="202" spans="9:9" s="613" customFormat="1" ht="12.75" x14ac:dyDescent="0.2">
      <c r="I202" s="621"/>
    </row>
    <row r="203" spans="9:9" s="613" customFormat="1" ht="12.75" x14ac:dyDescent="0.2">
      <c r="I203" s="621"/>
    </row>
    <row r="204" spans="9:9" s="613" customFormat="1" ht="12.75" x14ac:dyDescent="0.2">
      <c r="I204" s="621"/>
    </row>
    <row r="205" spans="9:9" s="613" customFormat="1" ht="12.75" x14ac:dyDescent="0.2">
      <c r="I205" s="621"/>
    </row>
    <row r="206" spans="9:9" s="613" customFormat="1" ht="12.75" x14ac:dyDescent="0.2">
      <c r="I206" s="621"/>
    </row>
    <row r="207" spans="9:9" s="613" customFormat="1" ht="12.75" x14ac:dyDescent="0.2">
      <c r="I207" s="621"/>
    </row>
    <row r="208" spans="9:9" s="613" customFormat="1" ht="12.75" x14ac:dyDescent="0.2">
      <c r="I208" s="621"/>
    </row>
    <row r="209" spans="9:9" s="613" customFormat="1" ht="12.75" x14ac:dyDescent="0.2">
      <c r="I209" s="621"/>
    </row>
    <row r="210" spans="9:9" s="613" customFormat="1" ht="12.75" x14ac:dyDescent="0.2">
      <c r="I210" s="621"/>
    </row>
    <row r="211" spans="9:9" s="613" customFormat="1" ht="12.75" x14ac:dyDescent="0.2">
      <c r="I211" s="621"/>
    </row>
    <row r="212" spans="9:9" s="613" customFormat="1" ht="12.75" x14ac:dyDescent="0.2">
      <c r="I212" s="621"/>
    </row>
    <row r="213" spans="9:9" s="613" customFormat="1" ht="12.75" x14ac:dyDescent="0.2">
      <c r="I213" s="621"/>
    </row>
    <row r="214" spans="9:9" s="613" customFormat="1" ht="12.75" x14ac:dyDescent="0.2">
      <c r="I214" s="621"/>
    </row>
    <row r="215" spans="9:9" s="613" customFormat="1" ht="12.75" x14ac:dyDescent="0.2">
      <c r="I215" s="621"/>
    </row>
    <row r="216" spans="9:9" s="613" customFormat="1" ht="12.75" x14ac:dyDescent="0.2">
      <c r="I216" s="621"/>
    </row>
    <row r="217" spans="9:9" s="613" customFormat="1" ht="12.75" x14ac:dyDescent="0.2">
      <c r="I217" s="621"/>
    </row>
    <row r="218" spans="9:9" s="613" customFormat="1" ht="12.75" x14ac:dyDescent="0.2">
      <c r="I218" s="621"/>
    </row>
    <row r="219" spans="9:9" s="613" customFormat="1" ht="12.75" x14ac:dyDescent="0.2">
      <c r="I219" s="621"/>
    </row>
    <row r="220" spans="9:9" s="613" customFormat="1" ht="12.75" x14ac:dyDescent="0.2">
      <c r="I220" s="621"/>
    </row>
    <row r="221" spans="9:9" s="613" customFormat="1" ht="12.75" x14ac:dyDescent="0.2">
      <c r="I221" s="621"/>
    </row>
    <row r="222" spans="9:9" s="613" customFormat="1" ht="12.75" x14ac:dyDescent="0.2">
      <c r="I222" s="621"/>
    </row>
    <row r="223" spans="9:9" s="613" customFormat="1" ht="12.75" x14ac:dyDescent="0.2">
      <c r="I223" s="621"/>
    </row>
    <row r="224" spans="9:9" s="613" customFormat="1" ht="12.75" x14ac:dyDescent="0.2">
      <c r="I224" s="621"/>
    </row>
    <row r="225" spans="9:9" s="613" customFormat="1" ht="12.75" x14ac:dyDescent="0.2">
      <c r="I225" s="621"/>
    </row>
    <row r="226" spans="9:9" s="613" customFormat="1" ht="12.75" x14ac:dyDescent="0.2">
      <c r="I226" s="621"/>
    </row>
    <row r="227" spans="9:9" s="613" customFormat="1" ht="12.75" x14ac:dyDescent="0.2">
      <c r="I227" s="621"/>
    </row>
    <row r="228" spans="9:9" s="613" customFormat="1" ht="12.75" x14ac:dyDescent="0.2">
      <c r="I228" s="621"/>
    </row>
    <row r="229" spans="9:9" s="613" customFormat="1" ht="12.75" x14ac:dyDescent="0.2">
      <c r="I229" s="621"/>
    </row>
    <row r="230" spans="9:9" s="613" customFormat="1" ht="12.75" x14ac:dyDescent="0.2">
      <c r="I230" s="621"/>
    </row>
    <row r="231" spans="9:9" s="613" customFormat="1" ht="12.75" x14ac:dyDescent="0.2">
      <c r="I231" s="621"/>
    </row>
    <row r="232" spans="9:9" s="613" customFormat="1" ht="12.75" x14ac:dyDescent="0.2">
      <c r="I232" s="621"/>
    </row>
    <row r="233" spans="9:9" s="613" customFormat="1" ht="12.75" x14ac:dyDescent="0.2">
      <c r="I233" s="621"/>
    </row>
    <row r="234" spans="9:9" s="613" customFormat="1" ht="12.75" x14ac:dyDescent="0.2">
      <c r="I234" s="621"/>
    </row>
    <row r="235" spans="9:9" s="613" customFormat="1" ht="12.75" x14ac:dyDescent="0.2">
      <c r="I235" s="621"/>
    </row>
    <row r="236" spans="9:9" s="613" customFormat="1" ht="12.75" x14ac:dyDescent="0.2">
      <c r="I236" s="621"/>
    </row>
    <row r="237" spans="9:9" s="613" customFormat="1" ht="12.75" x14ac:dyDescent="0.2">
      <c r="I237" s="621"/>
    </row>
    <row r="238" spans="9:9" s="613" customFormat="1" ht="12.75" x14ac:dyDescent="0.2">
      <c r="I238" s="621"/>
    </row>
    <row r="239" spans="9:9" s="613" customFormat="1" ht="12.75" x14ac:dyDescent="0.2">
      <c r="I239" s="621"/>
    </row>
    <row r="240" spans="9:9" s="613" customFormat="1" ht="12.75" x14ac:dyDescent="0.2">
      <c r="I240" s="621"/>
    </row>
    <row r="241" spans="9:9" s="613" customFormat="1" ht="12.75" x14ac:dyDescent="0.2">
      <c r="I241" s="621"/>
    </row>
    <row r="242" spans="9:9" s="613" customFormat="1" ht="12.75" x14ac:dyDescent="0.2">
      <c r="I242" s="621"/>
    </row>
    <row r="243" spans="9:9" s="613" customFormat="1" ht="12.75" x14ac:dyDescent="0.2">
      <c r="I243" s="621"/>
    </row>
    <row r="244" spans="9:9" s="613" customFormat="1" ht="12.75" x14ac:dyDescent="0.2">
      <c r="I244" s="621"/>
    </row>
    <row r="245" spans="9:9" s="613" customFormat="1" ht="12.75" x14ac:dyDescent="0.2">
      <c r="I245" s="621"/>
    </row>
    <row r="246" spans="9:9" s="613" customFormat="1" ht="12.75" x14ac:dyDescent="0.2">
      <c r="I246" s="621"/>
    </row>
    <row r="247" spans="9:9" s="613" customFormat="1" ht="12.75" x14ac:dyDescent="0.2">
      <c r="I247" s="621"/>
    </row>
    <row r="248" spans="9:9" s="613" customFormat="1" ht="12.75" x14ac:dyDescent="0.2">
      <c r="I248" s="621"/>
    </row>
    <row r="249" spans="9:9" s="613" customFormat="1" ht="12.75" x14ac:dyDescent="0.2">
      <c r="I249" s="621"/>
    </row>
    <row r="250" spans="9:9" s="613" customFormat="1" ht="12.75" x14ac:dyDescent="0.2">
      <c r="I250" s="621"/>
    </row>
    <row r="251" spans="9:9" s="613" customFormat="1" ht="12.75" x14ac:dyDescent="0.2">
      <c r="I251" s="621"/>
    </row>
    <row r="252" spans="9:9" s="613" customFormat="1" ht="12.75" x14ac:dyDescent="0.2">
      <c r="I252" s="621"/>
    </row>
    <row r="253" spans="9:9" s="613" customFormat="1" ht="12.75" x14ac:dyDescent="0.2">
      <c r="I253" s="621"/>
    </row>
    <row r="254" spans="9:9" s="613" customFormat="1" ht="12.75" x14ac:dyDescent="0.2">
      <c r="I254" s="621"/>
    </row>
    <row r="255" spans="9:9" s="613" customFormat="1" ht="12.75" x14ac:dyDescent="0.2">
      <c r="I255" s="621"/>
    </row>
    <row r="256" spans="9:9" s="613" customFormat="1" ht="12.75" x14ac:dyDescent="0.2">
      <c r="I256" s="621"/>
    </row>
    <row r="257" spans="9:9" s="613" customFormat="1" ht="12.75" x14ac:dyDescent="0.2">
      <c r="I257" s="621"/>
    </row>
    <row r="258" spans="9:9" s="613" customFormat="1" ht="12.75" x14ac:dyDescent="0.2">
      <c r="I258" s="621"/>
    </row>
    <row r="259" spans="9:9" s="613" customFormat="1" ht="12.75" x14ac:dyDescent="0.2">
      <c r="I259" s="621"/>
    </row>
    <row r="260" spans="9:9" s="613" customFormat="1" ht="12.75" x14ac:dyDescent="0.2">
      <c r="I260" s="621"/>
    </row>
    <row r="261" spans="9:9" s="613" customFormat="1" ht="12.75" x14ac:dyDescent="0.2">
      <c r="I261" s="621"/>
    </row>
    <row r="262" spans="9:9" s="613" customFormat="1" ht="12.75" x14ac:dyDescent="0.2">
      <c r="I262" s="621"/>
    </row>
    <row r="263" spans="9:9" s="613" customFormat="1" ht="12.75" x14ac:dyDescent="0.2">
      <c r="I263" s="621"/>
    </row>
    <row r="264" spans="9:9" s="613" customFormat="1" ht="12.75" x14ac:dyDescent="0.2">
      <c r="I264" s="621"/>
    </row>
    <row r="265" spans="9:9" s="613" customFormat="1" ht="12.75" x14ac:dyDescent="0.2">
      <c r="I265" s="621"/>
    </row>
    <row r="266" spans="9:9" s="613" customFormat="1" ht="12.75" x14ac:dyDescent="0.2">
      <c r="I266" s="621"/>
    </row>
    <row r="267" spans="9:9" s="613" customFormat="1" ht="12.75" x14ac:dyDescent="0.2">
      <c r="I267" s="621"/>
    </row>
    <row r="268" spans="9:9" s="613" customFormat="1" ht="12.75" x14ac:dyDescent="0.2">
      <c r="I268" s="621"/>
    </row>
    <row r="269" spans="9:9" s="613" customFormat="1" ht="12.75" x14ac:dyDescent="0.2">
      <c r="I269" s="621"/>
    </row>
    <row r="270" spans="9:9" s="613" customFormat="1" ht="12.75" x14ac:dyDescent="0.2">
      <c r="I270" s="621"/>
    </row>
    <row r="271" spans="9:9" s="613" customFormat="1" ht="12.75" x14ac:dyDescent="0.2">
      <c r="I271" s="621"/>
    </row>
    <row r="272" spans="9:9" s="613" customFormat="1" ht="12.75" x14ac:dyDescent="0.2">
      <c r="I272" s="621"/>
    </row>
    <row r="273" spans="9:9" s="613" customFormat="1" ht="12.75" x14ac:dyDescent="0.2">
      <c r="I273" s="621"/>
    </row>
    <row r="274" spans="9:9" s="613" customFormat="1" ht="12.75" x14ac:dyDescent="0.2">
      <c r="I274" s="621"/>
    </row>
    <row r="275" spans="9:9" s="613" customFormat="1" ht="12.75" x14ac:dyDescent="0.2">
      <c r="I275" s="621"/>
    </row>
    <row r="276" spans="9:9" s="613" customFormat="1" ht="12.75" x14ac:dyDescent="0.2">
      <c r="I276" s="621"/>
    </row>
    <row r="277" spans="9:9" s="613" customFormat="1" ht="12.75" x14ac:dyDescent="0.2">
      <c r="I277" s="621"/>
    </row>
    <row r="278" spans="9:9" s="613" customFormat="1" ht="12.75" x14ac:dyDescent="0.2">
      <c r="I278" s="621"/>
    </row>
    <row r="279" spans="9:9" s="613" customFormat="1" ht="12.75" x14ac:dyDescent="0.2">
      <c r="I279" s="621"/>
    </row>
    <row r="280" spans="9:9" s="613" customFormat="1" ht="12.75" x14ac:dyDescent="0.2">
      <c r="I280" s="621"/>
    </row>
    <row r="281" spans="9:9" s="613" customFormat="1" ht="12.75" x14ac:dyDescent="0.2">
      <c r="I281" s="621"/>
    </row>
    <row r="282" spans="9:9" s="613" customFormat="1" ht="12.75" x14ac:dyDescent="0.2">
      <c r="I282" s="621"/>
    </row>
    <row r="283" spans="9:9" s="613" customFormat="1" ht="12.75" x14ac:dyDescent="0.2">
      <c r="I283" s="621"/>
    </row>
    <row r="284" spans="9:9" s="613" customFormat="1" ht="12.75" x14ac:dyDescent="0.2">
      <c r="I284" s="621"/>
    </row>
    <row r="285" spans="9:9" s="613" customFormat="1" ht="12.75" x14ac:dyDescent="0.2">
      <c r="I285" s="621"/>
    </row>
    <row r="286" spans="9:9" s="613" customFormat="1" ht="12.75" x14ac:dyDescent="0.2">
      <c r="I286" s="621"/>
    </row>
    <row r="287" spans="9:9" s="613" customFormat="1" ht="12.75" x14ac:dyDescent="0.2">
      <c r="I287" s="621"/>
    </row>
    <row r="288" spans="9:9" s="613" customFormat="1" ht="12.75" x14ac:dyDescent="0.2">
      <c r="I288" s="621"/>
    </row>
    <row r="289" spans="9:9" s="613" customFormat="1" ht="12.75" x14ac:dyDescent="0.2">
      <c r="I289" s="621"/>
    </row>
    <row r="290" spans="9:9" s="613" customFormat="1" ht="12.75" x14ac:dyDescent="0.2">
      <c r="I290" s="621"/>
    </row>
    <row r="291" spans="9:9" s="613" customFormat="1" ht="12.75" x14ac:dyDescent="0.2">
      <c r="I291" s="621"/>
    </row>
    <row r="292" spans="9:9" s="613" customFormat="1" ht="12.75" x14ac:dyDescent="0.2">
      <c r="I292" s="621"/>
    </row>
    <row r="293" spans="9:9" s="613" customFormat="1" ht="12.75" x14ac:dyDescent="0.2">
      <c r="I293" s="621"/>
    </row>
    <row r="294" spans="9:9" s="613" customFormat="1" ht="12.75" x14ac:dyDescent="0.2">
      <c r="I294" s="621"/>
    </row>
    <row r="295" spans="9:9" s="613" customFormat="1" ht="12.75" x14ac:dyDescent="0.2">
      <c r="I295" s="621"/>
    </row>
    <row r="296" spans="9:9" s="613" customFormat="1" ht="12.75" x14ac:dyDescent="0.2">
      <c r="I296" s="621"/>
    </row>
    <row r="297" spans="9:9" s="613" customFormat="1" ht="12.75" x14ac:dyDescent="0.2">
      <c r="I297" s="621"/>
    </row>
    <row r="298" spans="9:9" s="613" customFormat="1" ht="12.75" x14ac:dyDescent="0.2">
      <c r="I298" s="621"/>
    </row>
    <row r="299" spans="9:9" s="613" customFormat="1" ht="12.75" x14ac:dyDescent="0.2">
      <c r="I299" s="621"/>
    </row>
    <row r="300" spans="9:9" s="613" customFormat="1" ht="12.75" x14ac:dyDescent="0.2">
      <c r="I300" s="621"/>
    </row>
    <row r="301" spans="9:9" s="613" customFormat="1" ht="12.75" x14ac:dyDescent="0.2">
      <c r="I301" s="621"/>
    </row>
    <row r="302" spans="9:9" s="613" customFormat="1" ht="12.75" x14ac:dyDescent="0.2">
      <c r="I302" s="621"/>
    </row>
    <row r="303" spans="9:9" s="613" customFormat="1" ht="12.75" x14ac:dyDescent="0.2">
      <c r="I303" s="621"/>
    </row>
    <row r="304" spans="9:9" s="613" customFormat="1" ht="12.75" x14ac:dyDescent="0.2">
      <c r="I304" s="621"/>
    </row>
    <row r="305" spans="9:9" s="613" customFormat="1" ht="12.75" x14ac:dyDescent="0.2">
      <c r="I305" s="621"/>
    </row>
    <row r="306" spans="9:9" s="613" customFormat="1" ht="12.75" x14ac:dyDescent="0.2">
      <c r="I306" s="621"/>
    </row>
    <row r="307" spans="9:9" s="613" customFormat="1" ht="12.75" x14ac:dyDescent="0.2">
      <c r="I307" s="621"/>
    </row>
    <row r="308" spans="9:9" s="613" customFormat="1" ht="12.75" x14ac:dyDescent="0.2">
      <c r="I308" s="621"/>
    </row>
    <row r="309" spans="9:9" s="613" customFormat="1" ht="12.75" x14ac:dyDescent="0.2">
      <c r="I309" s="621"/>
    </row>
    <row r="310" spans="9:9" s="613" customFormat="1" ht="12.75" x14ac:dyDescent="0.2">
      <c r="I310" s="621"/>
    </row>
    <row r="311" spans="9:9" s="613" customFormat="1" ht="12.75" x14ac:dyDescent="0.2">
      <c r="I311" s="621"/>
    </row>
    <row r="312" spans="9:9" s="613" customFormat="1" ht="12.75" x14ac:dyDescent="0.2">
      <c r="I312" s="621"/>
    </row>
    <row r="313" spans="9:9" s="613" customFormat="1" ht="12.75" x14ac:dyDescent="0.2">
      <c r="I313" s="621"/>
    </row>
    <row r="314" spans="9:9" s="613" customFormat="1" ht="12.75" x14ac:dyDescent="0.2">
      <c r="I314" s="621"/>
    </row>
    <row r="315" spans="9:9" s="613" customFormat="1" ht="12.75" x14ac:dyDescent="0.2">
      <c r="I315" s="621"/>
    </row>
    <row r="316" spans="9:9" s="613" customFormat="1" ht="12.75" x14ac:dyDescent="0.2">
      <c r="I316" s="621"/>
    </row>
    <row r="317" spans="9:9" s="613" customFormat="1" ht="12.75" x14ac:dyDescent="0.2">
      <c r="I317" s="621"/>
    </row>
    <row r="318" spans="9:9" s="613" customFormat="1" ht="12.75" x14ac:dyDescent="0.2">
      <c r="I318" s="621"/>
    </row>
    <row r="319" spans="9:9" s="613" customFormat="1" ht="12.75" x14ac:dyDescent="0.2">
      <c r="I319" s="621"/>
    </row>
    <row r="320" spans="9:9" s="613" customFormat="1" ht="12.75" x14ac:dyDescent="0.2">
      <c r="I320" s="621"/>
    </row>
    <row r="321" spans="9:9" s="613" customFormat="1" ht="12.75" x14ac:dyDescent="0.2">
      <c r="I321" s="621"/>
    </row>
    <row r="322" spans="9:9" s="613" customFormat="1" ht="12.75" x14ac:dyDescent="0.2">
      <c r="I322" s="621"/>
    </row>
    <row r="323" spans="9:9" s="613" customFormat="1" ht="12.75" x14ac:dyDescent="0.2">
      <c r="I323" s="621"/>
    </row>
    <row r="324" spans="9:9" s="613" customFormat="1" ht="12.75" x14ac:dyDescent="0.2">
      <c r="I324" s="621"/>
    </row>
    <row r="325" spans="9:9" s="613" customFormat="1" ht="12.75" x14ac:dyDescent="0.2">
      <c r="I325" s="621"/>
    </row>
    <row r="326" spans="9:9" s="613" customFormat="1" ht="12.75" x14ac:dyDescent="0.2">
      <c r="I326" s="621"/>
    </row>
    <row r="327" spans="9:9" s="613" customFormat="1" ht="12.75" x14ac:dyDescent="0.2">
      <c r="I327" s="621"/>
    </row>
    <row r="328" spans="9:9" s="613" customFormat="1" ht="12.75" x14ac:dyDescent="0.2">
      <c r="I328" s="621"/>
    </row>
    <row r="329" spans="9:9" s="613" customFormat="1" ht="12.75" x14ac:dyDescent="0.2">
      <c r="I329" s="621"/>
    </row>
    <row r="330" spans="9:9" s="613" customFormat="1" ht="12.75" x14ac:dyDescent="0.2">
      <c r="I330" s="621"/>
    </row>
    <row r="331" spans="9:9" s="613" customFormat="1" ht="12.75" x14ac:dyDescent="0.2">
      <c r="I331" s="621"/>
    </row>
    <row r="332" spans="9:9" s="613" customFormat="1" ht="12.75" x14ac:dyDescent="0.2">
      <c r="I332" s="621"/>
    </row>
    <row r="333" spans="9:9" s="613" customFormat="1" ht="12.75" x14ac:dyDescent="0.2">
      <c r="I333" s="621"/>
    </row>
    <row r="334" spans="9:9" s="613" customFormat="1" ht="12.75" x14ac:dyDescent="0.2">
      <c r="I334" s="621"/>
    </row>
    <row r="335" spans="9:9" s="613" customFormat="1" ht="12.75" x14ac:dyDescent="0.2">
      <c r="I335" s="621"/>
    </row>
    <row r="336" spans="9:9" s="613" customFormat="1" ht="12.75" x14ac:dyDescent="0.2">
      <c r="I336" s="621"/>
    </row>
    <row r="337" spans="9:9" s="613" customFormat="1" ht="12.75" x14ac:dyDescent="0.2">
      <c r="I337" s="621"/>
    </row>
    <row r="338" spans="9:9" s="613" customFormat="1" ht="12.75" x14ac:dyDescent="0.2">
      <c r="I338" s="621"/>
    </row>
    <row r="339" spans="9:9" s="613" customFormat="1" ht="12.75" x14ac:dyDescent="0.2">
      <c r="I339" s="621"/>
    </row>
    <row r="340" spans="9:9" s="613" customFormat="1" ht="12.75" x14ac:dyDescent="0.2">
      <c r="I340" s="621"/>
    </row>
    <row r="341" spans="9:9" s="613" customFormat="1" ht="12.75" x14ac:dyDescent="0.2">
      <c r="I341" s="621"/>
    </row>
    <row r="342" spans="9:9" s="613" customFormat="1" ht="12.75" x14ac:dyDescent="0.2">
      <c r="I342" s="621"/>
    </row>
    <row r="343" spans="9:9" s="613" customFormat="1" ht="12.75" x14ac:dyDescent="0.2">
      <c r="I343" s="621"/>
    </row>
    <row r="344" spans="9:9" s="613" customFormat="1" ht="12.75" x14ac:dyDescent="0.2">
      <c r="I344" s="621"/>
    </row>
    <row r="345" spans="9:9" s="613" customFormat="1" ht="12.75" x14ac:dyDescent="0.2">
      <c r="I345" s="621"/>
    </row>
    <row r="346" spans="9:9" s="613" customFormat="1" ht="12.75" x14ac:dyDescent="0.2">
      <c r="I346" s="621"/>
    </row>
    <row r="347" spans="9:9" s="613" customFormat="1" ht="12.75" x14ac:dyDescent="0.2">
      <c r="I347" s="621"/>
    </row>
    <row r="348" spans="9:9" s="613" customFormat="1" ht="12.75" x14ac:dyDescent="0.2">
      <c r="I348" s="621"/>
    </row>
    <row r="349" spans="9:9" s="613" customFormat="1" ht="12.75" x14ac:dyDescent="0.2">
      <c r="I349" s="621"/>
    </row>
    <row r="350" spans="9:9" s="613" customFormat="1" ht="12.75" x14ac:dyDescent="0.2">
      <c r="I350" s="621"/>
    </row>
    <row r="351" spans="9:9" s="613" customFormat="1" ht="12.75" x14ac:dyDescent="0.2">
      <c r="I351" s="621"/>
    </row>
    <row r="352" spans="9:9" s="613" customFormat="1" ht="12.75" x14ac:dyDescent="0.2">
      <c r="I352" s="621"/>
    </row>
    <row r="353" spans="9:9" s="613" customFormat="1" ht="12.75" x14ac:dyDescent="0.2">
      <c r="I353" s="621"/>
    </row>
    <row r="354" spans="9:9" s="613" customFormat="1" ht="12.75" x14ac:dyDescent="0.2">
      <c r="I354" s="621"/>
    </row>
    <row r="355" spans="9:9" s="613" customFormat="1" ht="12.75" x14ac:dyDescent="0.2">
      <c r="I355" s="621"/>
    </row>
    <row r="356" spans="9:9" s="613" customFormat="1" ht="12.75" x14ac:dyDescent="0.2">
      <c r="I356" s="621"/>
    </row>
    <row r="357" spans="9:9" s="613" customFormat="1" ht="12.75" x14ac:dyDescent="0.2">
      <c r="I357" s="621"/>
    </row>
    <row r="358" spans="9:9" s="613" customFormat="1" ht="12.75" x14ac:dyDescent="0.2">
      <c r="I358" s="621"/>
    </row>
    <row r="359" spans="9:9" s="613" customFormat="1" ht="12.75" x14ac:dyDescent="0.2">
      <c r="I359" s="621"/>
    </row>
    <row r="360" spans="9:9" s="613" customFormat="1" ht="12.75" x14ac:dyDescent="0.2">
      <c r="I360" s="621"/>
    </row>
    <row r="361" spans="9:9" s="613" customFormat="1" ht="12.75" x14ac:dyDescent="0.2">
      <c r="I361" s="621"/>
    </row>
    <row r="362" spans="9:9" s="613" customFormat="1" ht="12.75" x14ac:dyDescent="0.2">
      <c r="I362" s="621"/>
    </row>
    <row r="363" spans="9:9" s="613" customFormat="1" ht="12.75" x14ac:dyDescent="0.2">
      <c r="I363" s="621"/>
    </row>
    <row r="364" spans="9:9" s="613" customFormat="1" ht="12.75" x14ac:dyDescent="0.2">
      <c r="I364" s="621"/>
    </row>
    <row r="365" spans="9:9" s="613" customFormat="1" ht="12.75" x14ac:dyDescent="0.2">
      <c r="I365" s="621"/>
    </row>
    <row r="366" spans="9:9" s="613" customFormat="1" ht="12.75" x14ac:dyDescent="0.2">
      <c r="I366" s="621"/>
    </row>
    <row r="367" spans="9:9" s="613" customFormat="1" ht="12.75" x14ac:dyDescent="0.2">
      <c r="I367" s="621"/>
    </row>
    <row r="368" spans="9:9" s="613" customFormat="1" ht="12.75" x14ac:dyDescent="0.2">
      <c r="I368" s="621"/>
    </row>
    <row r="369" spans="9:9" s="613" customFormat="1" ht="12.75" x14ac:dyDescent="0.2">
      <c r="I369" s="621"/>
    </row>
    <row r="370" spans="9:9" s="613" customFormat="1" ht="12.75" x14ac:dyDescent="0.2">
      <c r="I370" s="621"/>
    </row>
    <row r="371" spans="9:9" s="613" customFormat="1" ht="12.75" x14ac:dyDescent="0.2">
      <c r="I371" s="621"/>
    </row>
    <row r="372" spans="9:9" s="613" customFormat="1" ht="12.75" x14ac:dyDescent="0.2">
      <c r="I372" s="621"/>
    </row>
    <row r="373" spans="9:9" s="613" customFormat="1" ht="12.75" x14ac:dyDescent="0.2">
      <c r="I373" s="621"/>
    </row>
    <row r="374" spans="9:9" s="613" customFormat="1" ht="12.75" x14ac:dyDescent="0.2">
      <c r="I374" s="621"/>
    </row>
    <row r="375" spans="9:9" s="613" customFormat="1" ht="12.75" x14ac:dyDescent="0.2">
      <c r="I375" s="621"/>
    </row>
    <row r="376" spans="9:9" s="613" customFormat="1" ht="12.75" x14ac:dyDescent="0.2">
      <c r="I376" s="621"/>
    </row>
    <row r="377" spans="9:9" s="613" customFormat="1" ht="12.75" x14ac:dyDescent="0.2">
      <c r="I377" s="621"/>
    </row>
    <row r="378" spans="9:9" s="613" customFormat="1" ht="12.75" x14ac:dyDescent="0.2">
      <c r="I378" s="621"/>
    </row>
    <row r="379" spans="9:9" s="613" customFormat="1" ht="12.75" x14ac:dyDescent="0.2">
      <c r="I379" s="621"/>
    </row>
    <row r="380" spans="9:9" s="613" customFormat="1" ht="12.75" x14ac:dyDescent="0.2">
      <c r="I380" s="621"/>
    </row>
    <row r="381" spans="9:9" s="613" customFormat="1" ht="12.75" x14ac:dyDescent="0.2">
      <c r="I381" s="621"/>
    </row>
    <row r="382" spans="9:9" s="613" customFormat="1" ht="12.75" x14ac:dyDescent="0.2">
      <c r="I382" s="621"/>
    </row>
    <row r="383" spans="9:9" s="613" customFormat="1" ht="12.75" x14ac:dyDescent="0.2">
      <c r="I383" s="621"/>
    </row>
    <row r="384" spans="9:9" s="613" customFormat="1" ht="12.75" x14ac:dyDescent="0.2">
      <c r="I384" s="621"/>
    </row>
    <row r="385" spans="9:9" s="613" customFormat="1" ht="12.75" x14ac:dyDescent="0.2">
      <c r="I385" s="621"/>
    </row>
    <row r="386" spans="9:9" s="613" customFormat="1" ht="12.75" x14ac:dyDescent="0.2">
      <c r="I386" s="621"/>
    </row>
    <row r="387" spans="9:9" s="613" customFormat="1" ht="12.75" x14ac:dyDescent="0.2">
      <c r="I387" s="621"/>
    </row>
    <row r="388" spans="9:9" s="613" customFormat="1" ht="12.75" x14ac:dyDescent="0.2">
      <c r="I388" s="621"/>
    </row>
    <row r="389" spans="9:9" s="613" customFormat="1" ht="12.75" x14ac:dyDescent="0.2">
      <c r="I389" s="621"/>
    </row>
    <row r="390" spans="9:9" s="613" customFormat="1" ht="12.75" x14ac:dyDescent="0.2">
      <c r="I390" s="621"/>
    </row>
    <row r="391" spans="9:9" s="613" customFormat="1" ht="12.75" x14ac:dyDescent="0.2">
      <c r="I391" s="621"/>
    </row>
    <row r="392" spans="9:9" s="613" customFormat="1" ht="12.75" x14ac:dyDescent="0.2">
      <c r="I392" s="621"/>
    </row>
    <row r="393" spans="9:9" s="613" customFormat="1" ht="12.75" x14ac:dyDescent="0.2">
      <c r="I393" s="621"/>
    </row>
    <row r="394" spans="9:9" s="613" customFormat="1" ht="12.75" x14ac:dyDescent="0.2">
      <c r="I394" s="621"/>
    </row>
    <row r="395" spans="9:9" s="613" customFormat="1" ht="12.75" x14ac:dyDescent="0.2">
      <c r="I395" s="621"/>
    </row>
    <row r="396" spans="9:9" s="613" customFormat="1" ht="12.75" x14ac:dyDescent="0.2">
      <c r="I396" s="621"/>
    </row>
    <row r="397" spans="9:9" s="613" customFormat="1" ht="12.75" x14ac:dyDescent="0.2">
      <c r="I397" s="621"/>
    </row>
    <row r="398" spans="9:9" s="613" customFormat="1" ht="12.75" x14ac:dyDescent="0.2">
      <c r="I398" s="621"/>
    </row>
    <row r="399" spans="9:9" s="613" customFormat="1" ht="12.75" x14ac:dyDescent="0.2">
      <c r="I399" s="621"/>
    </row>
    <row r="400" spans="9:9" s="613" customFormat="1" ht="12.75" x14ac:dyDescent="0.2">
      <c r="I400" s="621"/>
    </row>
    <row r="401" spans="9:9" s="613" customFormat="1" ht="12.75" x14ac:dyDescent="0.2">
      <c r="I401" s="621"/>
    </row>
    <row r="402" spans="9:9" s="613" customFormat="1" ht="12.75" x14ac:dyDescent="0.2">
      <c r="I402" s="621"/>
    </row>
    <row r="403" spans="9:9" s="613" customFormat="1" ht="12.75" x14ac:dyDescent="0.2">
      <c r="I403" s="621"/>
    </row>
    <row r="404" spans="9:9" s="613" customFormat="1" ht="12.75" x14ac:dyDescent="0.2">
      <c r="I404" s="621"/>
    </row>
    <row r="405" spans="9:9" s="613" customFormat="1" ht="12.75" x14ac:dyDescent="0.2">
      <c r="I405" s="621"/>
    </row>
    <row r="406" spans="9:9" s="613" customFormat="1" ht="12.75" x14ac:dyDescent="0.2">
      <c r="I406" s="621"/>
    </row>
    <row r="407" spans="9:9" s="613" customFormat="1" ht="12.75" x14ac:dyDescent="0.2">
      <c r="I407" s="621"/>
    </row>
    <row r="408" spans="9:9" s="613" customFormat="1" ht="12.75" x14ac:dyDescent="0.2">
      <c r="I408" s="621"/>
    </row>
    <row r="409" spans="9:9" s="613" customFormat="1" ht="12.75" x14ac:dyDescent="0.2">
      <c r="I409" s="621"/>
    </row>
    <row r="410" spans="9:9" s="613" customFormat="1" ht="12.75" x14ac:dyDescent="0.2">
      <c r="I410" s="621"/>
    </row>
    <row r="411" spans="9:9" s="613" customFormat="1" ht="12.75" x14ac:dyDescent="0.2">
      <c r="I411" s="621"/>
    </row>
    <row r="412" spans="9:9" s="613" customFormat="1" ht="12.75" x14ac:dyDescent="0.2">
      <c r="I412" s="621"/>
    </row>
    <row r="413" spans="9:9" s="613" customFormat="1" ht="12.75" x14ac:dyDescent="0.2">
      <c r="I413" s="621"/>
    </row>
    <row r="414" spans="9:9" s="613" customFormat="1" ht="12.75" x14ac:dyDescent="0.2">
      <c r="I414" s="621"/>
    </row>
    <row r="415" spans="9:9" s="613" customFormat="1" ht="12.75" x14ac:dyDescent="0.2">
      <c r="I415" s="621"/>
    </row>
    <row r="416" spans="9:9" s="613" customFormat="1" ht="12.75" x14ac:dyDescent="0.2">
      <c r="I416" s="621"/>
    </row>
    <row r="417" spans="9:9" s="613" customFormat="1" ht="12.75" x14ac:dyDescent="0.2">
      <c r="I417" s="621"/>
    </row>
    <row r="418" spans="9:9" s="613" customFormat="1" ht="12.75" x14ac:dyDescent="0.2">
      <c r="I418" s="621"/>
    </row>
    <row r="419" spans="9:9" s="613" customFormat="1" ht="12.75" x14ac:dyDescent="0.2">
      <c r="I419" s="621"/>
    </row>
    <row r="420" spans="9:9" s="613" customFormat="1" ht="12.75" x14ac:dyDescent="0.2">
      <c r="I420" s="621"/>
    </row>
    <row r="421" spans="9:9" s="613" customFormat="1" ht="12.75" x14ac:dyDescent="0.2">
      <c r="I421" s="621"/>
    </row>
    <row r="422" spans="9:9" s="613" customFormat="1" ht="12.75" x14ac:dyDescent="0.2">
      <c r="I422" s="621"/>
    </row>
    <row r="423" spans="9:9" s="613" customFormat="1" ht="12.75" x14ac:dyDescent="0.2">
      <c r="I423" s="621"/>
    </row>
    <row r="424" spans="9:9" s="613" customFormat="1" ht="12.75" x14ac:dyDescent="0.2">
      <c r="I424" s="621"/>
    </row>
    <row r="425" spans="9:9" s="613" customFormat="1" ht="12.75" x14ac:dyDescent="0.2">
      <c r="I425" s="621"/>
    </row>
    <row r="426" spans="9:9" s="613" customFormat="1" ht="12.75" x14ac:dyDescent="0.2">
      <c r="I426" s="621"/>
    </row>
    <row r="427" spans="9:9" s="613" customFormat="1" ht="12.75" x14ac:dyDescent="0.2">
      <c r="I427" s="621"/>
    </row>
    <row r="428" spans="9:9" s="613" customFormat="1" ht="12.75" x14ac:dyDescent="0.2">
      <c r="I428" s="621"/>
    </row>
    <row r="429" spans="9:9" s="613" customFormat="1" ht="12.75" x14ac:dyDescent="0.2">
      <c r="I429" s="621"/>
    </row>
    <row r="430" spans="9:9" s="613" customFormat="1" ht="12.75" x14ac:dyDescent="0.2">
      <c r="I430" s="621"/>
    </row>
    <row r="431" spans="9:9" s="613" customFormat="1" ht="12.75" x14ac:dyDescent="0.2">
      <c r="I431" s="621"/>
    </row>
    <row r="432" spans="9:9" s="613" customFormat="1" ht="12.75" x14ac:dyDescent="0.2">
      <c r="I432" s="621"/>
    </row>
    <row r="433" spans="9:9" s="613" customFormat="1" ht="12.75" x14ac:dyDescent="0.2">
      <c r="I433" s="621"/>
    </row>
    <row r="434" spans="9:9" s="613" customFormat="1" ht="12.75" x14ac:dyDescent="0.2">
      <c r="I434" s="621"/>
    </row>
    <row r="435" spans="9:9" s="613" customFormat="1" ht="12.75" x14ac:dyDescent="0.2">
      <c r="I435" s="621"/>
    </row>
    <row r="436" spans="9:9" s="613" customFormat="1" ht="12.75" x14ac:dyDescent="0.2">
      <c r="I436" s="621"/>
    </row>
    <row r="437" spans="9:9" s="613" customFormat="1" ht="12.75" x14ac:dyDescent="0.2">
      <c r="I437" s="621"/>
    </row>
    <row r="438" spans="9:9" s="613" customFormat="1" ht="12.75" x14ac:dyDescent="0.2">
      <c r="I438" s="621"/>
    </row>
    <row r="439" spans="9:9" s="613" customFormat="1" ht="12.75" x14ac:dyDescent="0.2">
      <c r="I439" s="621"/>
    </row>
    <row r="440" spans="9:9" s="613" customFormat="1" ht="12.75" x14ac:dyDescent="0.2">
      <c r="I440" s="621"/>
    </row>
    <row r="441" spans="9:9" s="613" customFormat="1" ht="12.75" x14ac:dyDescent="0.2">
      <c r="I441" s="621"/>
    </row>
    <row r="442" spans="9:9" s="613" customFormat="1" ht="12.75" x14ac:dyDescent="0.2">
      <c r="I442" s="621"/>
    </row>
    <row r="443" spans="9:9" s="613" customFormat="1" ht="12.75" x14ac:dyDescent="0.2">
      <c r="I443" s="621"/>
    </row>
    <row r="444" spans="9:9" s="613" customFormat="1" ht="12.75" x14ac:dyDescent="0.2">
      <c r="I444" s="621"/>
    </row>
    <row r="445" spans="9:9" s="613" customFormat="1" ht="12.75" x14ac:dyDescent="0.2">
      <c r="I445" s="621"/>
    </row>
    <row r="446" spans="9:9" s="613" customFormat="1" ht="12.75" x14ac:dyDescent="0.2">
      <c r="I446" s="621"/>
    </row>
    <row r="447" spans="9:9" s="613" customFormat="1" ht="12.75" x14ac:dyDescent="0.2">
      <c r="I447" s="621"/>
    </row>
    <row r="448" spans="9:9" s="613" customFormat="1" ht="12.75" x14ac:dyDescent="0.2">
      <c r="I448" s="621"/>
    </row>
    <row r="449" spans="9:9" s="613" customFormat="1" ht="12.75" x14ac:dyDescent="0.2">
      <c r="I449" s="621"/>
    </row>
    <row r="450" spans="9:9" s="613" customFormat="1" ht="12.75" x14ac:dyDescent="0.2">
      <c r="I450" s="621"/>
    </row>
    <row r="451" spans="9:9" s="613" customFormat="1" ht="12.75" x14ac:dyDescent="0.2">
      <c r="I451" s="621"/>
    </row>
    <row r="452" spans="9:9" s="613" customFormat="1" ht="12.75" x14ac:dyDescent="0.2">
      <c r="I452" s="621"/>
    </row>
    <row r="453" spans="9:9" s="613" customFormat="1" ht="12.75" x14ac:dyDescent="0.2">
      <c r="I453" s="621"/>
    </row>
    <row r="454" spans="9:9" s="613" customFormat="1" ht="12.75" x14ac:dyDescent="0.2">
      <c r="I454" s="621"/>
    </row>
    <row r="455" spans="9:9" s="613" customFormat="1" ht="12.75" x14ac:dyDescent="0.2">
      <c r="I455" s="621"/>
    </row>
    <row r="456" spans="9:9" s="613" customFormat="1" ht="12.75" x14ac:dyDescent="0.2">
      <c r="I456" s="621"/>
    </row>
    <row r="457" spans="9:9" s="613" customFormat="1" ht="12.75" x14ac:dyDescent="0.2">
      <c r="I457" s="621"/>
    </row>
    <row r="458" spans="9:9" s="613" customFormat="1" ht="12.75" x14ac:dyDescent="0.2">
      <c r="I458" s="621"/>
    </row>
    <row r="459" spans="9:9" s="613" customFormat="1" ht="12.75" x14ac:dyDescent="0.2">
      <c r="I459" s="621"/>
    </row>
    <row r="460" spans="9:9" s="613" customFormat="1" ht="12.75" x14ac:dyDescent="0.2">
      <c r="I460" s="621"/>
    </row>
    <row r="461" spans="9:9" s="613" customFormat="1" ht="12.75" x14ac:dyDescent="0.2">
      <c r="I461" s="621"/>
    </row>
    <row r="462" spans="9:9" s="613" customFormat="1" ht="12.75" x14ac:dyDescent="0.2">
      <c r="I462" s="621"/>
    </row>
    <row r="463" spans="9:9" s="613" customFormat="1" ht="12.75" x14ac:dyDescent="0.2">
      <c r="I463" s="621"/>
    </row>
    <row r="464" spans="9:9" s="613" customFormat="1" ht="12.75" x14ac:dyDescent="0.2">
      <c r="I464" s="621"/>
    </row>
    <row r="465" spans="9:9" s="613" customFormat="1" ht="12.75" x14ac:dyDescent="0.2">
      <c r="I465" s="621"/>
    </row>
    <row r="466" spans="9:9" s="613" customFormat="1" ht="12.75" x14ac:dyDescent="0.2">
      <c r="I466" s="621"/>
    </row>
    <row r="467" spans="9:9" s="613" customFormat="1" ht="12.75" x14ac:dyDescent="0.2">
      <c r="I467" s="621"/>
    </row>
    <row r="468" spans="9:9" s="613" customFormat="1" ht="12.75" x14ac:dyDescent="0.2">
      <c r="I468" s="621"/>
    </row>
    <row r="469" spans="9:9" s="613" customFormat="1" ht="12.75" x14ac:dyDescent="0.2">
      <c r="I469" s="621"/>
    </row>
    <row r="470" spans="9:9" s="613" customFormat="1" ht="12.75" x14ac:dyDescent="0.2">
      <c r="I470" s="621"/>
    </row>
    <row r="471" spans="9:9" s="613" customFormat="1" ht="12.75" x14ac:dyDescent="0.2">
      <c r="I471" s="621"/>
    </row>
    <row r="472" spans="9:9" s="613" customFormat="1" ht="12.75" x14ac:dyDescent="0.2">
      <c r="I472" s="621"/>
    </row>
    <row r="473" spans="9:9" s="613" customFormat="1" ht="12.75" x14ac:dyDescent="0.2">
      <c r="I473" s="621"/>
    </row>
    <row r="474" spans="9:9" s="613" customFormat="1" ht="12.75" x14ac:dyDescent="0.2">
      <c r="I474" s="621"/>
    </row>
    <row r="475" spans="9:9" s="613" customFormat="1" ht="12.75" x14ac:dyDescent="0.2">
      <c r="I475" s="621"/>
    </row>
    <row r="476" spans="9:9" s="613" customFormat="1" ht="12.75" x14ac:dyDescent="0.2">
      <c r="I476" s="621"/>
    </row>
    <row r="477" spans="9:9" s="613" customFormat="1" ht="12.75" x14ac:dyDescent="0.2">
      <c r="I477" s="621"/>
    </row>
    <row r="478" spans="9:9" s="613" customFormat="1" ht="12.75" x14ac:dyDescent="0.2">
      <c r="I478" s="621"/>
    </row>
    <row r="479" spans="9:9" s="613" customFormat="1" ht="12.75" x14ac:dyDescent="0.2">
      <c r="I479" s="621"/>
    </row>
    <row r="480" spans="9:9" s="613" customFormat="1" ht="12.75" x14ac:dyDescent="0.2">
      <c r="I480" s="621"/>
    </row>
    <row r="481" spans="9:9" s="613" customFormat="1" ht="12.75" x14ac:dyDescent="0.2">
      <c r="I481" s="621"/>
    </row>
    <row r="482" spans="9:9" s="613" customFormat="1" ht="12.75" x14ac:dyDescent="0.2">
      <c r="I482" s="621"/>
    </row>
    <row r="483" spans="9:9" s="613" customFormat="1" ht="12.75" x14ac:dyDescent="0.2">
      <c r="I483" s="621"/>
    </row>
    <row r="484" spans="9:9" s="613" customFormat="1" ht="12.75" x14ac:dyDescent="0.2">
      <c r="I484" s="621"/>
    </row>
    <row r="485" spans="9:9" s="613" customFormat="1" ht="12.75" x14ac:dyDescent="0.2">
      <c r="I485" s="621"/>
    </row>
    <row r="486" spans="9:9" s="613" customFormat="1" ht="12.75" x14ac:dyDescent="0.2">
      <c r="I486" s="621"/>
    </row>
    <row r="487" spans="9:9" s="613" customFormat="1" ht="12.75" x14ac:dyDescent="0.2">
      <c r="I487" s="621"/>
    </row>
    <row r="488" spans="9:9" s="613" customFormat="1" ht="12.75" x14ac:dyDescent="0.2">
      <c r="I488" s="621"/>
    </row>
    <row r="489" spans="9:9" s="613" customFormat="1" ht="12.75" x14ac:dyDescent="0.2">
      <c r="I489" s="621"/>
    </row>
    <row r="490" spans="9:9" s="613" customFormat="1" ht="12.75" x14ac:dyDescent="0.2">
      <c r="I490" s="621"/>
    </row>
    <row r="491" spans="9:9" s="613" customFormat="1" ht="12.75" x14ac:dyDescent="0.2">
      <c r="I491" s="621"/>
    </row>
    <row r="492" spans="9:9" s="613" customFormat="1" ht="12.75" x14ac:dyDescent="0.2">
      <c r="I492" s="621"/>
    </row>
    <row r="493" spans="9:9" s="613" customFormat="1" ht="12.75" x14ac:dyDescent="0.2">
      <c r="I493" s="621"/>
    </row>
    <row r="494" spans="9:9" s="613" customFormat="1" ht="12.75" x14ac:dyDescent="0.2">
      <c r="I494" s="621"/>
    </row>
    <row r="495" spans="9:9" s="613" customFormat="1" ht="12.75" x14ac:dyDescent="0.2">
      <c r="I495" s="621"/>
    </row>
    <row r="496" spans="9:9" s="613" customFormat="1" ht="12.75" x14ac:dyDescent="0.2">
      <c r="I496" s="621"/>
    </row>
    <row r="497" spans="9:9" s="613" customFormat="1" ht="12.75" x14ac:dyDescent="0.2">
      <c r="I497" s="621"/>
    </row>
    <row r="498" spans="9:9" s="613" customFormat="1" ht="12.75" x14ac:dyDescent="0.2">
      <c r="I498" s="621"/>
    </row>
    <row r="499" spans="9:9" s="613" customFormat="1" ht="12.75" x14ac:dyDescent="0.2">
      <c r="I499" s="621"/>
    </row>
    <row r="500" spans="9:9" s="613" customFormat="1" ht="12.75" x14ac:dyDescent="0.2">
      <c r="I500" s="621"/>
    </row>
    <row r="501" spans="9:9" s="613" customFormat="1" ht="12.75" x14ac:dyDescent="0.2">
      <c r="I501" s="621"/>
    </row>
    <row r="502" spans="9:9" s="613" customFormat="1" ht="12.75" x14ac:dyDescent="0.2">
      <c r="I502" s="621"/>
    </row>
    <row r="503" spans="9:9" s="613" customFormat="1" ht="12.75" x14ac:dyDescent="0.2">
      <c r="I503" s="621"/>
    </row>
    <row r="504" spans="9:9" s="613" customFormat="1" ht="12.75" x14ac:dyDescent="0.2">
      <c r="I504" s="621"/>
    </row>
    <row r="505" spans="9:9" s="613" customFormat="1" ht="12.75" x14ac:dyDescent="0.2">
      <c r="I505" s="621"/>
    </row>
    <row r="506" spans="9:9" s="613" customFormat="1" ht="12.75" x14ac:dyDescent="0.2">
      <c r="I506" s="621"/>
    </row>
    <row r="507" spans="9:9" s="613" customFormat="1" ht="12.75" x14ac:dyDescent="0.2">
      <c r="I507" s="621"/>
    </row>
    <row r="508" spans="9:9" s="613" customFormat="1" ht="12.75" x14ac:dyDescent="0.2">
      <c r="I508" s="621"/>
    </row>
    <row r="509" spans="9:9" s="613" customFormat="1" ht="12.75" x14ac:dyDescent="0.2">
      <c r="I509" s="621"/>
    </row>
    <row r="510" spans="9:9" s="613" customFormat="1" ht="12.75" x14ac:dyDescent="0.2">
      <c r="I510" s="621"/>
    </row>
    <row r="511" spans="9:9" s="613" customFormat="1" ht="12.75" x14ac:dyDescent="0.2">
      <c r="I511" s="621"/>
    </row>
    <row r="512" spans="9:9" s="613" customFormat="1" ht="12.75" x14ac:dyDescent="0.2">
      <c r="I512" s="621"/>
    </row>
    <row r="513" spans="9:9" s="613" customFormat="1" ht="12.75" x14ac:dyDescent="0.2">
      <c r="I513" s="621"/>
    </row>
    <row r="514" spans="9:9" s="613" customFormat="1" ht="12.75" x14ac:dyDescent="0.2">
      <c r="I514" s="621"/>
    </row>
    <row r="515" spans="9:9" s="613" customFormat="1" ht="12.75" x14ac:dyDescent="0.2">
      <c r="I515" s="621"/>
    </row>
    <row r="516" spans="9:9" s="613" customFormat="1" ht="12.75" x14ac:dyDescent="0.2">
      <c r="I516" s="621"/>
    </row>
    <row r="517" spans="9:9" s="613" customFormat="1" ht="12.75" x14ac:dyDescent="0.2">
      <c r="I517" s="621"/>
    </row>
    <row r="518" spans="9:9" s="613" customFormat="1" ht="12.75" x14ac:dyDescent="0.2">
      <c r="I518" s="621"/>
    </row>
    <row r="519" spans="9:9" s="613" customFormat="1" ht="12.75" x14ac:dyDescent="0.2">
      <c r="I519" s="621"/>
    </row>
    <row r="520" spans="9:9" s="613" customFormat="1" ht="12.75" x14ac:dyDescent="0.2">
      <c r="I520" s="621"/>
    </row>
    <row r="521" spans="9:9" s="613" customFormat="1" ht="12.75" x14ac:dyDescent="0.2">
      <c r="I521" s="621"/>
    </row>
    <row r="522" spans="9:9" s="613" customFormat="1" ht="12.75" x14ac:dyDescent="0.2">
      <c r="I522" s="621"/>
    </row>
    <row r="523" spans="9:9" s="613" customFormat="1" ht="12.75" x14ac:dyDescent="0.2">
      <c r="I523" s="621"/>
    </row>
    <row r="524" spans="9:9" s="613" customFormat="1" ht="12.75" x14ac:dyDescent="0.2">
      <c r="I524" s="621"/>
    </row>
    <row r="525" spans="9:9" s="613" customFormat="1" ht="12.75" x14ac:dyDescent="0.2">
      <c r="I525" s="621"/>
    </row>
    <row r="526" spans="9:9" s="613" customFormat="1" ht="12.75" x14ac:dyDescent="0.2">
      <c r="I526" s="621"/>
    </row>
    <row r="527" spans="9:9" s="613" customFormat="1" ht="12.75" x14ac:dyDescent="0.2">
      <c r="I527" s="621"/>
    </row>
    <row r="528" spans="9:9" s="613" customFormat="1" ht="12.75" x14ac:dyDescent="0.2">
      <c r="I528" s="621"/>
    </row>
    <row r="529" spans="9:9" s="613" customFormat="1" ht="12.75" x14ac:dyDescent="0.2">
      <c r="I529" s="621"/>
    </row>
    <row r="530" spans="9:9" s="613" customFormat="1" ht="12.75" x14ac:dyDescent="0.2">
      <c r="I530" s="621"/>
    </row>
    <row r="531" spans="9:9" s="613" customFormat="1" ht="12.75" x14ac:dyDescent="0.2">
      <c r="I531" s="621"/>
    </row>
    <row r="532" spans="9:9" s="613" customFormat="1" ht="12.75" x14ac:dyDescent="0.2">
      <c r="I532" s="621"/>
    </row>
    <row r="533" spans="9:9" s="613" customFormat="1" ht="12.75" x14ac:dyDescent="0.2">
      <c r="I533" s="621"/>
    </row>
    <row r="534" spans="9:9" s="613" customFormat="1" ht="12.75" x14ac:dyDescent="0.2">
      <c r="I534" s="621"/>
    </row>
    <row r="535" spans="9:9" s="613" customFormat="1" ht="12.75" x14ac:dyDescent="0.2">
      <c r="I535" s="621"/>
    </row>
    <row r="536" spans="9:9" s="613" customFormat="1" ht="12.75" x14ac:dyDescent="0.2">
      <c r="I536" s="621"/>
    </row>
    <row r="537" spans="9:9" s="613" customFormat="1" ht="12.75" x14ac:dyDescent="0.2">
      <c r="I537" s="621"/>
    </row>
    <row r="538" spans="9:9" s="613" customFormat="1" ht="12.75" x14ac:dyDescent="0.2">
      <c r="I538" s="621"/>
    </row>
    <row r="539" spans="9:9" s="613" customFormat="1" ht="12.75" x14ac:dyDescent="0.2">
      <c r="I539" s="621"/>
    </row>
    <row r="540" spans="9:9" s="613" customFormat="1" ht="12.75" x14ac:dyDescent="0.2">
      <c r="I540" s="621"/>
    </row>
    <row r="541" spans="9:9" s="613" customFormat="1" ht="12.75" x14ac:dyDescent="0.2">
      <c r="I541" s="621"/>
    </row>
    <row r="542" spans="9:9" s="613" customFormat="1" ht="12.75" x14ac:dyDescent="0.2">
      <c r="I542" s="621"/>
    </row>
    <row r="543" spans="9:9" s="613" customFormat="1" ht="12.75" x14ac:dyDescent="0.2">
      <c r="I543" s="621"/>
    </row>
    <row r="544" spans="9:9" s="613" customFormat="1" ht="12.75" x14ac:dyDescent="0.2">
      <c r="I544" s="621"/>
    </row>
    <row r="545" spans="9:9" s="613" customFormat="1" ht="12.75" x14ac:dyDescent="0.2">
      <c r="I545" s="621"/>
    </row>
    <row r="546" spans="9:9" s="613" customFormat="1" ht="12.75" x14ac:dyDescent="0.2">
      <c r="I546" s="621"/>
    </row>
    <row r="547" spans="9:9" s="613" customFormat="1" ht="12.75" x14ac:dyDescent="0.2">
      <c r="I547" s="621"/>
    </row>
    <row r="548" spans="9:9" s="613" customFormat="1" ht="12.75" x14ac:dyDescent="0.2">
      <c r="I548" s="621"/>
    </row>
    <row r="549" spans="9:9" s="613" customFormat="1" ht="12.75" x14ac:dyDescent="0.2">
      <c r="I549" s="621"/>
    </row>
    <row r="550" spans="9:9" s="613" customFormat="1" ht="12.75" x14ac:dyDescent="0.2">
      <c r="I550" s="621"/>
    </row>
    <row r="551" spans="9:9" s="613" customFormat="1" ht="12.75" x14ac:dyDescent="0.2">
      <c r="I551" s="621"/>
    </row>
    <row r="552" spans="9:9" s="613" customFormat="1" ht="12.75" x14ac:dyDescent="0.2">
      <c r="I552" s="621"/>
    </row>
    <row r="553" spans="9:9" s="613" customFormat="1" ht="12.75" x14ac:dyDescent="0.2">
      <c r="I553" s="621"/>
    </row>
    <row r="554" spans="9:9" s="613" customFormat="1" ht="12.75" x14ac:dyDescent="0.2">
      <c r="I554" s="621"/>
    </row>
    <row r="555" spans="9:9" s="613" customFormat="1" ht="12.75" x14ac:dyDescent="0.2">
      <c r="I555" s="621"/>
    </row>
    <row r="556" spans="9:9" s="613" customFormat="1" ht="12.75" x14ac:dyDescent="0.2">
      <c r="I556" s="621"/>
    </row>
    <row r="557" spans="9:9" s="613" customFormat="1" ht="12.75" x14ac:dyDescent="0.2">
      <c r="I557" s="621"/>
    </row>
    <row r="558" spans="9:9" s="613" customFormat="1" ht="12.75" x14ac:dyDescent="0.2">
      <c r="I558" s="621"/>
    </row>
    <row r="559" spans="9:9" s="613" customFormat="1" ht="12.75" x14ac:dyDescent="0.2">
      <c r="I559" s="621"/>
    </row>
    <row r="560" spans="9:9" s="613" customFormat="1" ht="12.75" x14ac:dyDescent="0.2">
      <c r="I560" s="621"/>
    </row>
    <row r="561" spans="9:9" s="613" customFormat="1" ht="12.75" x14ac:dyDescent="0.2">
      <c r="I561" s="621"/>
    </row>
    <row r="562" spans="9:9" s="613" customFormat="1" ht="12.75" x14ac:dyDescent="0.2">
      <c r="I562" s="621"/>
    </row>
    <row r="563" spans="9:9" s="613" customFormat="1" ht="12.75" x14ac:dyDescent="0.2">
      <c r="I563" s="621"/>
    </row>
    <row r="564" spans="9:9" s="613" customFormat="1" ht="12.75" x14ac:dyDescent="0.2">
      <c r="I564" s="621"/>
    </row>
    <row r="565" spans="9:9" s="613" customFormat="1" ht="12.75" x14ac:dyDescent="0.2">
      <c r="I565" s="621"/>
    </row>
    <row r="566" spans="9:9" s="613" customFormat="1" ht="12.75" x14ac:dyDescent="0.2">
      <c r="I566" s="621"/>
    </row>
    <row r="567" spans="9:9" s="613" customFormat="1" ht="12.75" x14ac:dyDescent="0.2">
      <c r="I567" s="621"/>
    </row>
    <row r="568" spans="9:9" s="613" customFormat="1" ht="12.75" x14ac:dyDescent="0.2">
      <c r="I568" s="621"/>
    </row>
    <row r="569" spans="9:9" s="613" customFormat="1" ht="12.75" x14ac:dyDescent="0.2">
      <c r="I569" s="621"/>
    </row>
    <row r="570" spans="9:9" s="613" customFormat="1" ht="12.75" x14ac:dyDescent="0.2">
      <c r="I570" s="621"/>
    </row>
    <row r="571" spans="9:9" s="613" customFormat="1" ht="12.75" x14ac:dyDescent="0.2">
      <c r="I571" s="621"/>
    </row>
    <row r="572" spans="9:9" s="613" customFormat="1" ht="12.75" x14ac:dyDescent="0.2">
      <c r="I572" s="621"/>
    </row>
    <row r="573" spans="9:9" s="613" customFormat="1" ht="12.75" x14ac:dyDescent="0.2">
      <c r="I573" s="621"/>
    </row>
    <row r="574" spans="9:9" s="613" customFormat="1" ht="12.75" x14ac:dyDescent="0.2">
      <c r="I574" s="621"/>
    </row>
    <row r="575" spans="9:9" s="613" customFormat="1" ht="12.75" x14ac:dyDescent="0.2">
      <c r="I575" s="621"/>
    </row>
    <row r="576" spans="9:9" s="613" customFormat="1" ht="12.75" x14ac:dyDescent="0.2">
      <c r="I576" s="621"/>
    </row>
    <row r="577" spans="9:9" s="613" customFormat="1" ht="12.75" x14ac:dyDescent="0.2">
      <c r="I577" s="621"/>
    </row>
    <row r="578" spans="9:9" s="613" customFormat="1" ht="12.75" x14ac:dyDescent="0.2">
      <c r="I578" s="621"/>
    </row>
    <row r="579" spans="9:9" s="613" customFormat="1" ht="12.75" x14ac:dyDescent="0.2">
      <c r="I579" s="621"/>
    </row>
    <row r="580" spans="9:9" s="613" customFormat="1" ht="12.75" x14ac:dyDescent="0.2">
      <c r="I580" s="621"/>
    </row>
    <row r="581" spans="9:9" s="613" customFormat="1" ht="12.75" x14ac:dyDescent="0.2">
      <c r="I581" s="621"/>
    </row>
    <row r="582" spans="9:9" s="613" customFormat="1" ht="12.75" x14ac:dyDescent="0.2">
      <c r="I582" s="621"/>
    </row>
    <row r="583" spans="9:9" s="613" customFormat="1" ht="12.75" x14ac:dyDescent="0.2">
      <c r="I583" s="621"/>
    </row>
    <row r="584" spans="9:9" s="613" customFormat="1" ht="12.75" x14ac:dyDescent="0.2">
      <c r="I584" s="621"/>
    </row>
    <row r="585" spans="9:9" s="613" customFormat="1" ht="12.75" x14ac:dyDescent="0.2">
      <c r="I585" s="621"/>
    </row>
    <row r="586" spans="9:9" s="613" customFormat="1" ht="12.75" x14ac:dyDescent="0.2">
      <c r="I586" s="621"/>
    </row>
    <row r="587" spans="9:9" s="613" customFormat="1" ht="12.75" x14ac:dyDescent="0.2">
      <c r="I587" s="621"/>
    </row>
    <row r="588" spans="9:9" s="613" customFormat="1" ht="12.75" x14ac:dyDescent="0.2">
      <c r="I588" s="621"/>
    </row>
    <row r="589" spans="9:9" s="613" customFormat="1" ht="12.75" x14ac:dyDescent="0.2">
      <c r="I589" s="621"/>
    </row>
    <row r="590" spans="9:9" s="613" customFormat="1" ht="12.75" x14ac:dyDescent="0.2">
      <c r="I590" s="621"/>
    </row>
    <row r="591" spans="9:9" s="613" customFormat="1" ht="12.75" x14ac:dyDescent="0.2">
      <c r="I591" s="621"/>
    </row>
    <row r="592" spans="9:9" s="613" customFormat="1" ht="12.75" x14ac:dyDescent="0.2">
      <c r="I592" s="621"/>
    </row>
    <row r="593" spans="9:9" s="613" customFormat="1" ht="12.75" x14ac:dyDescent="0.2">
      <c r="I593" s="621"/>
    </row>
    <row r="594" spans="9:9" s="613" customFormat="1" ht="12.75" x14ac:dyDescent="0.2">
      <c r="I594" s="621"/>
    </row>
    <row r="595" spans="9:9" s="613" customFormat="1" ht="12.75" x14ac:dyDescent="0.2">
      <c r="I595" s="621"/>
    </row>
    <row r="596" spans="9:9" s="613" customFormat="1" ht="12.75" x14ac:dyDescent="0.2">
      <c r="I596" s="621"/>
    </row>
    <row r="597" spans="9:9" s="613" customFormat="1" ht="12.75" x14ac:dyDescent="0.2">
      <c r="I597" s="621"/>
    </row>
    <row r="598" spans="9:9" s="613" customFormat="1" ht="12.75" x14ac:dyDescent="0.2">
      <c r="I598" s="621"/>
    </row>
    <row r="599" spans="9:9" s="613" customFormat="1" ht="12.75" x14ac:dyDescent="0.2">
      <c r="I599" s="621"/>
    </row>
    <row r="600" spans="9:9" s="613" customFormat="1" ht="12.75" x14ac:dyDescent="0.2">
      <c r="I600" s="621"/>
    </row>
    <row r="601" spans="9:9" s="613" customFormat="1" ht="12.75" x14ac:dyDescent="0.2">
      <c r="I601" s="621"/>
    </row>
    <row r="602" spans="9:9" s="613" customFormat="1" ht="12.75" x14ac:dyDescent="0.2">
      <c r="I602" s="621"/>
    </row>
    <row r="603" spans="9:9" s="613" customFormat="1" ht="12.75" x14ac:dyDescent="0.2">
      <c r="I603" s="621"/>
    </row>
    <row r="604" spans="9:9" s="613" customFormat="1" ht="12.75" x14ac:dyDescent="0.2">
      <c r="I604" s="621"/>
    </row>
    <row r="605" spans="9:9" s="613" customFormat="1" ht="12.75" x14ac:dyDescent="0.2">
      <c r="I605" s="621"/>
    </row>
    <row r="606" spans="9:9" s="613" customFormat="1" ht="12.75" x14ac:dyDescent="0.2">
      <c r="I606" s="621"/>
    </row>
    <row r="607" spans="9:9" s="613" customFormat="1" ht="12.75" x14ac:dyDescent="0.2">
      <c r="I607" s="621"/>
    </row>
    <row r="608" spans="9:9" s="613" customFormat="1" ht="12.75" x14ac:dyDescent="0.2">
      <c r="I608" s="621"/>
    </row>
    <row r="609" spans="9:9" s="613" customFormat="1" ht="12.75" x14ac:dyDescent="0.2">
      <c r="I609" s="621"/>
    </row>
    <row r="610" spans="9:9" s="613" customFormat="1" ht="12.75" x14ac:dyDescent="0.2">
      <c r="I610" s="621"/>
    </row>
    <row r="611" spans="9:9" s="613" customFormat="1" ht="12.75" x14ac:dyDescent="0.2">
      <c r="I611" s="621"/>
    </row>
    <row r="612" spans="9:9" s="613" customFormat="1" ht="12.75" x14ac:dyDescent="0.2">
      <c r="I612" s="621"/>
    </row>
    <row r="613" spans="9:9" s="613" customFormat="1" ht="12.75" x14ac:dyDescent="0.2">
      <c r="I613" s="621"/>
    </row>
    <row r="614" spans="9:9" s="613" customFormat="1" ht="12.75" x14ac:dyDescent="0.2">
      <c r="I614" s="621"/>
    </row>
    <row r="615" spans="9:9" s="613" customFormat="1" ht="12.75" x14ac:dyDescent="0.2">
      <c r="I615" s="621"/>
    </row>
    <row r="616" spans="9:9" s="613" customFormat="1" ht="12.75" x14ac:dyDescent="0.2">
      <c r="I616" s="621"/>
    </row>
    <row r="617" spans="9:9" s="613" customFormat="1" ht="12.75" x14ac:dyDescent="0.2">
      <c r="I617" s="621"/>
    </row>
    <row r="618" spans="9:9" s="613" customFormat="1" ht="12.75" x14ac:dyDescent="0.2">
      <c r="I618" s="621"/>
    </row>
    <row r="619" spans="9:9" s="613" customFormat="1" ht="12.75" x14ac:dyDescent="0.2">
      <c r="I619" s="621"/>
    </row>
    <row r="620" spans="9:9" s="613" customFormat="1" ht="12.75" x14ac:dyDescent="0.2">
      <c r="I620" s="621"/>
    </row>
    <row r="621" spans="9:9" s="613" customFormat="1" ht="12.75" x14ac:dyDescent="0.2">
      <c r="I621" s="621"/>
    </row>
    <row r="622" spans="9:9" s="613" customFormat="1" ht="12.75" x14ac:dyDescent="0.2">
      <c r="I622" s="621"/>
    </row>
    <row r="623" spans="9:9" s="613" customFormat="1" ht="12.75" x14ac:dyDescent="0.2">
      <c r="I623" s="621"/>
    </row>
    <row r="624" spans="9:9" s="613" customFormat="1" ht="12.75" x14ac:dyDescent="0.2">
      <c r="I624" s="621"/>
    </row>
    <row r="625" spans="9:9" s="613" customFormat="1" ht="12.75" x14ac:dyDescent="0.2">
      <c r="I625" s="621"/>
    </row>
    <row r="626" spans="9:9" s="613" customFormat="1" ht="12.75" x14ac:dyDescent="0.2">
      <c r="I626" s="621"/>
    </row>
    <row r="627" spans="9:9" s="613" customFormat="1" ht="12.75" x14ac:dyDescent="0.2">
      <c r="I627" s="621"/>
    </row>
    <row r="628" spans="9:9" s="613" customFormat="1" ht="12.75" x14ac:dyDescent="0.2">
      <c r="I628" s="621"/>
    </row>
    <row r="629" spans="9:9" s="613" customFormat="1" ht="12.75" x14ac:dyDescent="0.2">
      <c r="I629" s="621"/>
    </row>
    <row r="630" spans="9:9" s="613" customFormat="1" ht="12.75" x14ac:dyDescent="0.2">
      <c r="I630" s="621"/>
    </row>
    <row r="631" spans="9:9" s="613" customFormat="1" ht="12.75" x14ac:dyDescent="0.2">
      <c r="I631" s="621"/>
    </row>
    <row r="632" spans="9:9" s="613" customFormat="1" ht="12.75" x14ac:dyDescent="0.2">
      <c r="I632" s="621"/>
    </row>
    <row r="633" spans="9:9" s="613" customFormat="1" ht="12.75" x14ac:dyDescent="0.2">
      <c r="I633" s="621"/>
    </row>
    <row r="634" spans="9:9" s="613" customFormat="1" ht="12.75" x14ac:dyDescent="0.2">
      <c r="I634" s="621"/>
    </row>
    <row r="635" spans="9:9" s="613" customFormat="1" ht="12.75" x14ac:dyDescent="0.2">
      <c r="I635" s="621"/>
    </row>
    <row r="636" spans="9:9" s="613" customFormat="1" ht="12.75" x14ac:dyDescent="0.2">
      <c r="I636" s="621"/>
    </row>
    <row r="637" spans="9:9" s="613" customFormat="1" ht="12.75" x14ac:dyDescent="0.2">
      <c r="I637" s="621"/>
    </row>
    <row r="638" spans="9:9" s="613" customFormat="1" ht="12.75" x14ac:dyDescent="0.2">
      <c r="I638" s="621"/>
    </row>
    <row r="639" spans="9:9" s="613" customFormat="1" ht="12.75" x14ac:dyDescent="0.2">
      <c r="I639" s="621"/>
    </row>
    <row r="640" spans="9:9" s="613" customFormat="1" ht="12.75" x14ac:dyDescent="0.2">
      <c r="I640" s="621"/>
    </row>
    <row r="641" spans="9:9" s="613" customFormat="1" ht="12.75" x14ac:dyDescent="0.2">
      <c r="I641" s="621"/>
    </row>
    <row r="642" spans="9:9" s="613" customFormat="1" ht="12.75" x14ac:dyDescent="0.2">
      <c r="I642" s="621"/>
    </row>
    <row r="643" spans="9:9" s="613" customFormat="1" ht="12.75" x14ac:dyDescent="0.2">
      <c r="I643" s="621"/>
    </row>
    <row r="644" spans="9:9" s="613" customFormat="1" ht="12.75" x14ac:dyDescent="0.2">
      <c r="I644" s="621"/>
    </row>
    <row r="645" spans="9:9" s="613" customFormat="1" ht="12.75" x14ac:dyDescent="0.2">
      <c r="I645" s="621"/>
    </row>
    <row r="646" spans="9:9" s="613" customFormat="1" ht="12.75" x14ac:dyDescent="0.2">
      <c r="I646" s="621"/>
    </row>
    <row r="647" spans="9:9" s="613" customFormat="1" ht="12.75" x14ac:dyDescent="0.2">
      <c r="I647" s="621"/>
    </row>
    <row r="648" spans="9:9" s="613" customFormat="1" ht="12.75" x14ac:dyDescent="0.2">
      <c r="I648" s="621"/>
    </row>
    <row r="649" spans="9:9" s="613" customFormat="1" ht="12.75" x14ac:dyDescent="0.2">
      <c r="I649" s="621"/>
    </row>
    <row r="650" spans="9:9" s="613" customFormat="1" ht="12.75" x14ac:dyDescent="0.2">
      <c r="I650" s="621"/>
    </row>
    <row r="651" spans="9:9" s="613" customFormat="1" ht="12.75" x14ac:dyDescent="0.2">
      <c r="I651" s="621"/>
    </row>
    <row r="652" spans="9:9" s="613" customFormat="1" ht="12.75" x14ac:dyDescent="0.2">
      <c r="I652" s="621"/>
    </row>
    <row r="653" spans="9:9" s="613" customFormat="1" ht="12.75" x14ac:dyDescent="0.2">
      <c r="I653" s="621"/>
    </row>
    <row r="654" spans="9:9" s="613" customFormat="1" ht="12.75" x14ac:dyDescent="0.2">
      <c r="I654" s="621"/>
    </row>
    <row r="655" spans="9:9" s="613" customFormat="1" ht="12.75" x14ac:dyDescent="0.2">
      <c r="I655" s="621"/>
    </row>
    <row r="656" spans="9:9" s="613" customFormat="1" ht="12.75" x14ac:dyDescent="0.2">
      <c r="I656" s="621"/>
    </row>
    <row r="657" spans="9:9" s="613" customFormat="1" ht="12.75" x14ac:dyDescent="0.2">
      <c r="I657" s="621"/>
    </row>
    <row r="658" spans="9:9" s="613" customFormat="1" ht="12.75" x14ac:dyDescent="0.2">
      <c r="I658" s="621"/>
    </row>
    <row r="659" spans="9:9" s="613" customFormat="1" ht="12.75" x14ac:dyDescent="0.2">
      <c r="I659" s="621"/>
    </row>
    <row r="660" spans="9:9" s="613" customFormat="1" ht="12.75" x14ac:dyDescent="0.2">
      <c r="I660" s="621"/>
    </row>
    <row r="661" spans="9:9" s="613" customFormat="1" ht="12.75" x14ac:dyDescent="0.2">
      <c r="I661" s="621"/>
    </row>
    <row r="662" spans="9:9" s="613" customFormat="1" ht="12.75" x14ac:dyDescent="0.2">
      <c r="I662" s="621"/>
    </row>
    <row r="663" spans="9:9" s="613" customFormat="1" ht="12.75" x14ac:dyDescent="0.2">
      <c r="I663" s="621"/>
    </row>
    <row r="664" spans="9:9" s="613" customFormat="1" ht="12.75" x14ac:dyDescent="0.2">
      <c r="I664" s="621"/>
    </row>
    <row r="665" spans="9:9" s="613" customFormat="1" ht="12.75" x14ac:dyDescent="0.2">
      <c r="I665" s="621"/>
    </row>
    <row r="666" spans="9:9" s="613" customFormat="1" ht="12.75" x14ac:dyDescent="0.2">
      <c r="I666" s="621"/>
    </row>
    <row r="667" spans="9:9" s="613" customFormat="1" ht="12.75" x14ac:dyDescent="0.2">
      <c r="I667" s="621"/>
    </row>
    <row r="668" spans="9:9" s="613" customFormat="1" ht="12.75" x14ac:dyDescent="0.2">
      <c r="I668" s="621"/>
    </row>
    <row r="669" spans="9:9" s="613" customFormat="1" ht="12.75" x14ac:dyDescent="0.2">
      <c r="I669" s="621"/>
    </row>
    <row r="670" spans="9:9" s="613" customFormat="1" ht="12.75" x14ac:dyDescent="0.2">
      <c r="I670" s="621"/>
    </row>
    <row r="671" spans="9:9" s="613" customFormat="1" ht="12.75" x14ac:dyDescent="0.2">
      <c r="I671" s="621"/>
    </row>
    <row r="672" spans="9:9" s="613" customFormat="1" ht="12.75" x14ac:dyDescent="0.2">
      <c r="I672" s="621"/>
    </row>
    <row r="673" spans="9:9" s="613" customFormat="1" ht="12.75" x14ac:dyDescent="0.2">
      <c r="I673" s="621"/>
    </row>
    <row r="674" spans="9:9" s="613" customFormat="1" ht="12.75" x14ac:dyDescent="0.2">
      <c r="I674" s="621"/>
    </row>
    <row r="675" spans="9:9" s="613" customFormat="1" ht="12.75" x14ac:dyDescent="0.2">
      <c r="I675" s="621"/>
    </row>
    <row r="676" spans="9:9" s="613" customFormat="1" ht="12.75" x14ac:dyDescent="0.2">
      <c r="I676" s="621"/>
    </row>
    <row r="677" spans="9:9" s="613" customFormat="1" ht="12.75" x14ac:dyDescent="0.2">
      <c r="I677" s="621"/>
    </row>
    <row r="678" spans="9:9" s="613" customFormat="1" ht="12.75" x14ac:dyDescent="0.2">
      <c r="I678" s="621"/>
    </row>
    <row r="679" spans="9:9" s="613" customFormat="1" ht="12.75" x14ac:dyDescent="0.2">
      <c r="I679" s="621"/>
    </row>
    <row r="680" spans="9:9" s="613" customFormat="1" ht="12.75" x14ac:dyDescent="0.2">
      <c r="I680" s="621"/>
    </row>
    <row r="681" spans="9:9" s="613" customFormat="1" ht="12.75" x14ac:dyDescent="0.2">
      <c r="I681" s="621"/>
    </row>
    <row r="682" spans="9:9" s="613" customFormat="1" ht="12.75" x14ac:dyDescent="0.2">
      <c r="I682" s="621"/>
    </row>
    <row r="683" spans="9:9" s="613" customFormat="1" ht="12.75" x14ac:dyDescent="0.2">
      <c r="I683" s="621"/>
    </row>
    <row r="684" spans="9:9" s="613" customFormat="1" ht="12.75" x14ac:dyDescent="0.2">
      <c r="I684" s="621"/>
    </row>
    <row r="685" spans="9:9" s="613" customFormat="1" ht="12.75" x14ac:dyDescent="0.2">
      <c r="I685" s="621"/>
    </row>
    <row r="686" spans="9:9" s="613" customFormat="1" ht="12.75" x14ac:dyDescent="0.2">
      <c r="I686" s="621"/>
    </row>
    <row r="687" spans="9:9" s="613" customFormat="1" ht="12.75" x14ac:dyDescent="0.2">
      <c r="I687" s="621"/>
    </row>
    <row r="688" spans="9:9" s="613" customFormat="1" ht="12.75" x14ac:dyDescent="0.2">
      <c r="I688" s="621"/>
    </row>
    <row r="689" spans="9:9" s="613" customFormat="1" ht="12.75" x14ac:dyDescent="0.2">
      <c r="I689" s="621"/>
    </row>
    <row r="690" spans="9:9" s="613" customFormat="1" ht="12.75" x14ac:dyDescent="0.2">
      <c r="I690" s="621"/>
    </row>
    <row r="691" spans="9:9" s="613" customFormat="1" ht="12.75" x14ac:dyDescent="0.2">
      <c r="I691" s="621"/>
    </row>
    <row r="692" spans="9:9" s="613" customFormat="1" ht="12.75" x14ac:dyDescent="0.2">
      <c r="I692" s="621"/>
    </row>
    <row r="693" spans="9:9" s="613" customFormat="1" ht="12.75" x14ac:dyDescent="0.2">
      <c r="I693" s="621"/>
    </row>
    <row r="694" spans="9:9" s="613" customFormat="1" ht="12.75" x14ac:dyDescent="0.2">
      <c r="I694" s="621"/>
    </row>
    <row r="695" spans="9:9" s="613" customFormat="1" ht="12.75" x14ac:dyDescent="0.2">
      <c r="I695" s="621"/>
    </row>
    <row r="696" spans="9:9" s="613" customFormat="1" ht="12.75" x14ac:dyDescent="0.2">
      <c r="I696" s="621"/>
    </row>
    <row r="697" spans="9:9" s="613" customFormat="1" ht="12.75" x14ac:dyDescent="0.2">
      <c r="I697" s="621"/>
    </row>
    <row r="698" spans="9:9" s="613" customFormat="1" ht="12.75" x14ac:dyDescent="0.2">
      <c r="I698" s="621"/>
    </row>
    <row r="699" spans="9:9" s="613" customFormat="1" ht="12.75" x14ac:dyDescent="0.2">
      <c r="I699" s="621"/>
    </row>
    <row r="700" spans="9:9" s="613" customFormat="1" ht="12.75" x14ac:dyDescent="0.2">
      <c r="I700" s="621"/>
    </row>
    <row r="701" spans="9:9" s="613" customFormat="1" ht="12.75" x14ac:dyDescent="0.2">
      <c r="I701" s="621"/>
    </row>
    <row r="702" spans="9:9" s="613" customFormat="1" ht="12.75" x14ac:dyDescent="0.2">
      <c r="I702" s="621"/>
    </row>
    <row r="703" spans="9:9" s="613" customFormat="1" ht="12.75" x14ac:dyDescent="0.2">
      <c r="I703" s="621"/>
    </row>
    <row r="704" spans="9:9" s="613" customFormat="1" ht="12.75" x14ac:dyDescent="0.2">
      <c r="I704" s="621"/>
    </row>
    <row r="705" spans="9:9" s="613" customFormat="1" ht="12.75" x14ac:dyDescent="0.2">
      <c r="I705" s="621"/>
    </row>
    <row r="706" spans="9:9" s="613" customFormat="1" ht="12.75" x14ac:dyDescent="0.2">
      <c r="I706" s="621"/>
    </row>
    <row r="707" spans="9:9" s="613" customFormat="1" ht="12.75" x14ac:dyDescent="0.2">
      <c r="I707" s="621"/>
    </row>
    <row r="708" spans="9:9" s="613" customFormat="1" ht="12.75" x14ac:dyDescent="0.2">
      <c r="I708" s="621"/>
    </row>
    <row r="709" spans="9:9" s="613" customFormat="1" ht="12.75" x14ac:dyDescent="0.2">
      <c r="I709" s="621"/>
    </row>
    <row r="710" spans="9:9" s="613" customFormat="1" ht="12.75" x14ac:dyDescent="0.2">
      <c r="I710" s="621"/>
    </row>
    <row r="711" spans="9:9" s="613" customFormat="1" ht="12.75" x14ac:dyDescent="0.2">
      <c r="I711" s="621"/>
    </row>
    <row r="712" spans="9:9" s="613" customFormat="1" ht="12.75" x14ac:dyDescent="0.2">
      <c r="I712" s="621"/>
    </row>
    <row r="713" spans="9:9" s="613" customFormat="1" ht="12.75" x14ac:dyDescent="0.2">
      <c r="I713" s="621"/>
    </row>
    <row r="714" spans="9:9" s="613" customFormat="1" ht="12.75" x14ac:dyDescent="0.2">
      <c r="I714" s="621"/>
    </row>
    <row r="715" spans="9:9" s="613" customFormat="1" ht="12.75" x14ac:dyDescent="0.2">
      <c r="I715" s="621"/>
    </row>
    <row r="716" spans="9:9" s="613" customFormat="1" ht="12.75" x14ac:dyDescent="0.2">
      <c r="I716" s="621"/>
    </row>
    <row r="717" spans="9:9" s="613" customFormat="1" ht="12.75" x14ac:dyDescent="0.2">
      <c r="I717" s="621"/>
    </row>
    <row r="718" spans="9:9" s="613" customFormat="1" ht="12.75" x14ac:dyDescent="0.2">
      <c r="I718" s="621"/>
    </row>
    <row r="719" spans="9:9" s="613" customFormat="1" ht="12.75" x14ac:dyDescent="0.2">
      <c r="I719" s="621"/>
    </row>
    <row r="720" spans="9:9" s="613" customFormat="1" ht="12.75" x14ac:dyDescent="0.2">
      <c r="I720" s="621"/>
    </row>
    <row r="721" spans="9:9" s="613" customFormat="1" ht="12.75" x14ac:dyDescent="0.2">
      <c r="I721" s="621"/>
    </row>
    <row r="722" spans="9:9" s="613" customFormat="1" ht="12.75" x14ac:dyDescent="0.2">
      <c r="I722" s="621"/>
    </row>
    <row r="723" spans="9:9" s="613" customFormat="1" ht="12.75" x14ac:dyDescent="0.2">
      <c r="I723" s="621"/>
    </row>
    <row r="724" spans="9:9" s="613" customFormat="1" ht="12.75" x14ac:dyDescent="0.2">
      <c r="I724" s="621"/>
    </row>
    <row r="725" spans="9:9" s="613" customFormat="1" ht="12.75" x14ac:dyDescent="0.2">
      <c r="I725" s="621"/>
    </row>
    <row r="726" spans="9:9" s="613" customFormat="1" ht="12.75" x14ac:dyDescent="0.2">
      <c r="I726" s="621"/>
    </row>
    <row r="727" spans="9:9" s="613" customFormat="1" ht="12.75" x14ac:dyDescent="0.2">
      <c r="I727" s="621"/>
    </row>
    <row r="728" spans="9:9" s="613" customFormat="1" ht="12.75" x14ac:dyDescent="0.2">
      <c r="I728" s="621"/>
    </row>
    <row r="729" spans="9:9" s="613" customFormat="1" ht="12.75" x14ac:dyDescent="0.2">
      <c r="I729" s="621"/>
    </row>
    <row r="730" spans="9:9" s="613" customFormat="1" ht="12.75" x14ac:dyDescent="0.2">
      <c r="I730" s="621"/>
    </row>
    <row r="731" spans="9:9" s="613" customFormat="1" ht="12.75" x14ac:dyDescent="0.2">
      <c r="I731" s="621"/>
    </row>
    <row r="732" spans="9:9" s="613" customFormat="1" ht="12.75" x14ac:dyDescent="0.2">
      <c r="I732" s="621"/>
    </row>
    <row r="733" spans="9:9" s="613" customFormat="1" ht="12.75" x14ac:dyDescent="0.2">
      <c r="I733" s="621"/>
    </row>
    <row r="734" spans="9:9" s="613" customFormat="1" ht="12.75" x14ac:dyDescent="0.2">
      <c r="I734" s="621"/>
    </row>
    <row r="735" spans="9:9" s="613" customFormat="1" ht="12.75" x14ac:dyDescent="0.2">
      <c r="I735" s="621"/>
    </row>
    <row r="736" spans="9:9" s="613" customFormat="1" ht="12.75" x14ac:dyDescent="0.2">
      <c r="I736" s="621"/>
    </row>
    <row r="737" spans="9:9" s="613" customFormat="1" ht="12.75" x14ac:dyDescent="0.2">
      <c r="I737" s="621"/>
    </row>
    <row r="738" spans="9:9" s="613" customFormat="1" ht="12.75" x14ac:dyDescent="0.2">
      <c r="I738" s="621"/>
    </row>
    <row r="739" spans="9:9" s="613" customFormat="1" ht="12.75" x14ac:dyDescent="0.2">
      <c r="I739" s="621"/>
    </row>
    <row r="740" spans="9:9" s="613" customFormat="1" ht="12.75" x14ac:dyDescent="0.2">
      <c r="I740" s="621"/>
    </row>
    <row r="741" spans="9:9" s="613" customFormat="1" ht="12.75" x14ac:dyDescent="0.2">
      <c r="I741" s="621"/>
    </row>
    <row r="742" spans="9:9" s="613" customFormat="1" ht="12.75" x14ac:dyDescent="0.2">
      <c r="I742" s="621"/>
    </row>
    <row r="743" spans="9:9" s="613" customFormat="1" ht="12.75" x14ac:dyDescent="0.2">
      <c r="I743" s="621"/>
    </row>
  </sheetData>
  <mergeCells count="3">
    <mergeCell ref="A4:I4"/>
    <mergeCell ref="A5:I5"/>
    <mergeCell ref="B6:D6"/>
  </mergeCells>
  <printOptions horizontalCentered="1"/>
  <pageMargins left="0" right="0" top="1.3775590551181103" bottom="0.59015748031496074" header="0.98385826771653528" footer="0.19645669291338586"/>
  <pageSetup paperSize="0" scale="90" fitToWidth="0" fitToHeight="0" orientation="landscape" horizontalDpi="0" verticalDpi="0" copie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19"/>
  <sheetViews>
    <sheetView showGridLines="0" workbookViewId="0">
      <selection activeCell="H21" sqref="H21"/>
    </sheetView>
  </sheetViews>
  <sheetFormatPr baseColWidth="10" defaultRowHeight="15" x14ac:dyDescent="0.2"/>
  <cols>
    <col min="1" max="1" width="5.125" style="228" customWidth="1"/>
    <col min="2" max="2" width="23.5" style="213" customWidth="1"/>
    <col min="3" max="3" width="13.25" style="213" customWidth="1"/>
    <col min="4" max="15" width="12.875" style="213" customWidth="1"/>
    <col min="16" max="16" width="5" style="213" customWidth="1"/>
    <col min="17" max="1024" width="12.875" style="213" customWidth="1"/>
  </cols>
  <sheetData>
    <row r="1" spans="1:33" x14ac:dyDescent="0.2">
      <c r="A1" s="211" t="s">
        <v>0</v>
      </c>
      <c r="B1" s="212"/>
      <c r="D1" s="214"/>
      <c r="E1" s="212"/>
      <c r="F1" s="212"/>
      <c r="G1" s="212"/>
      <c r="H1" s="212"/>
      <c r="I1" s="212"/>
    </row>
    <row r="2" spans="1:33" x14ac:dyDescent="0.2">
      <c r="A2" s="211" t="s">
        <v>163</v>
      </c>
      <c r="B2" s="212"/>
      <c r="D2" s="214"/>
      <c r="E2" s="212"/>
      <c r="F2" s="212"/>
      <c r="G2" s="212"/>
      <c r="H2" s="212"/>
      <c r="I2" s="212"/>
    </row>
    <row r="3" spans="1:33" x14ac:dyDescent="0.2">
      <c r="A3" s="215"/>
      <c r="B3" s="212"/>
      <c r="C3" s="216" t="s">
        <v>381</v>
      </c>
      <c r="D3" s="216" t="s">
        <v>34</v>
      </c>
      <c r="E3" s="212"/>
      <c r="F3" s="212"/>
      <c r="G3" s="212"/>
      <c r="H3" s="212"/>
      <c r="I3" s="212"/>
    </row>
    <row r="4" spans="1:33" x14ac:dyDescent="0.2">
      <c r="A4" s="217" t="s">
        <v>382</v>
      </c>
      <c r="B4" s="216"/>
      <c r="C4" s="218">
        <f>'FONDOS PART 2024'!E12</f>
        <v>3244440838</v>
      </c>
      <c r="D4" s="218">
        <f>C119</f>
        <v>504130059.43669099</v>
      </c>
      <c r="E4" s="216"/>
      <c r="F4" s="216"/>
      <c r="G4" s="216"/>
      <c r="H4" s="216"/>
      <c r="I4" s="216"/>
      <c r="Q4" s="213" t="s">
        <v>383</v>
      </c>
      <c r="AD4" s="213">
        <v>2023</v>
      </c>
    </row>
    <row r="5" spans="1:33" x14ac:dyDescent="0.2">
      <c r="A5" s="219" t="s">
        <v>21</v>
      </c>
      <c r="B5" s="219" t="s">
        <v>171</v>
      </c>
      <c r="C5" s="219" t="s">
        <v>191</v>
      </c>
      <c r="D5" s="220" t="s">
        <v>268</v>
      </c>
      <c r="E5" s="220" t="s">
        <v>270</v>
      </c>
      <c r="F5" s="220" t="s">
        <v>272</v>
      </c>
      <c r="G5" s="220" t="s">
        <v>274</v>
      </c>
      <c r="H5" s="220" t="s">
        <v>275</v>
      </c>
      <c r="I5" s="220" t="s">
        <v>277</v>
      </c>
      <c r="J5" s="220" t="s">
        <v>279</v>
      </c>
      <c r="K5" s="220" t="s">
        <v>289</v>
      </c>
      <c r="L5" s="220" t="s">
        <v>290</v>
      </c>
      <c r="M5" s="220" t="s">
        <v>291</v>
      </c>
      <c r="N5" s="220" t="s">
        <v>292</v>
      </c>
      <c r="O5" s="220" t="s">
        <v>293</v>
      </c>
      <c r="Q5" s="220" t="s">
        <v>268</v>
      </c>
      <c r="R5" s="220" t="s">
        <v>270</v>
      </c>
      <c r="S5" s="220" t="s">
        <v>272</v>
      </c>
      <c r="T5" s="220" t="s">
        <v>274</v>
      </c>
      <c r="U5" s="220" t="s">
        <v>275</v>
      </c>
      <c r="V5" s="220" t="s">
        <v>277</v>
      </c>
      <c r="W5" s="220" t="s">
        <v>279</v>
      </c>
      <c r="X5" s="220" t="s">
        <v>289</v>
      </c>
      <c r="Y5" s="220" t="s">
        <v>290</v>
      </c>
      <c r="Z5" s="220" t="s">
        <v>291</v>
      </c>
      <c r="AA5" s="220" t="s">
        <v>292</v>
      </c>
      <c r="AB5" s="220" t="s">
        <v>293</v>
      </c>
      <c r="AD5" s="213" t="s">
        <v>265</v>
      </c>
      <c r="AE5" s="213" t="s">
        <v>536</v>
      </c>
      <c r="AG5" s="213" t="s">
        <v>537</v>
      </c>
    </row>
    <row r="6" spans="1:33" x14ac:dyDescent="0.2">
      <c r="A6" s="221">
        <v>1</v>
      </c>
      <c r="B6" s="222" t="s">
        <v>43</v>
      </c>
      <c r="C6" s="223">
        <v>2142099.2400000002</v>
      </c>
      <c r="D6" s="223">
        <f t="shared" ref="D6:O6" si="0">$C$6*Q6</f>
        <v>203331.83072804072</v>
      </c>
      <c r="E6" s="223">
        <f t="shared" si="0"/>
        <v>203917.01603516104</v>
      </c>
      <c r="F6" s="223">
        <f t="shared" si="0"/>
        <v>214350.03408210486</v>
      </c>
      <c r="G6" s="223">
        <f t="shared" si="0"/>
        <v>123811.83532248098</v>
      </c>
      <c r="H6" s="223">
        <f t="shared" si="0"/>
        <v>205167.6406343781</v>
      </c>
      <c r="I6" s="223">
        <f t="shared" si="0"/>
        <v>205440.169791694</v>
      </c>
      <c r="J6" s="223">
        <f t="shared" si="0"/>
        <v>143647.94527583697</v>
      </c>
      <c r="K6" s="223">
        <f t="shared" si="0"/>
        <v>89073.563533803012</v>
      </c>
      <c r="L6" s="223">
        <f t="shared" si="0"/>
        <v>202156.44423973924</v>
      </c>
      <c r="M6" s="223">
        <f t="shared" si="0"/>
        <v>202331.99983187544</v>
      </c>
      <c r="N6" s="223">
        <f t="shared" si="0"/>
        <v>180170.19627222157</v>
      </c>
      <c r="O6" s="223">
        <f t="shared" si="0"/>
        <v>168700.56425266474</v>
      </c>
      <c r="Q6" s="222">
        <v>9.4921760360664104E-2</v>
      </c>
      <c r="R6" s="222">
        <v>9.5194943458903905E-2</v>
      </c>
      <c r="S6" s="222">
        <v>0.10006540783895</v>
      </c>
      <c r="T6" s="222">
        <v>5.7799299402431503E-2</v>
      </c>
      <c r="U6" s="222">
        <v>9.5778774765999206E-2</v>
      </c>
      <c r="V6" s="222">
        <v>9.5906000037465106E-2</v>
      </c>
      <c r="W6" s="222">
        <v>6.7059425909621703E-2</v>
      </c>
      <c r="X6" s="222">
        <v>4.1582370167781303E-2</v>
      </c>
      <c r="Y6" s="222">
        <v>9.4373052594771106E-2</v>
      </c>
      <c r="Z6" s="222">
        <v>9.4455007524243101E-2</v>
      </c>
      <c r="AA6" s="222">
        <v>8.4109173332334294E-2</v>
      </c>
      <c r="AB6" s="222">
        <v>7.8754784606834896E-2</v>
      </c>
      <c r="AD6" s="712">
        <v>2079708</v>
      </c>
      <c r="AE6" s="712">
        <v>1548217</v>
      </c>
      <c r="AF6" s="712">
        <f>AE6-AD6</f>
        <v>-531491</v>
      </c>
      <c r="AG6" s="712">
        <v>2142099.2400000002</v>
      </c>
    </row>
    <row r="7" spans="1:33" x14ac:dyDescent="0.2">
      <c r="A7" s="221">
        <v>2</v>
      </c>
      <c r="B7" s="222" t="s">
        <v>46</v>
      </c>
      <c r="C7" s="223">
        <v>3911981.2</v>
      </c>
      <c r="D7" s="223">
        <f t="shared" ref="D7:O7" si="1">$C$7*Q7</f>
        <v>325998.43333333323</v>
      </c>
      <c r="E7" s="223">
        <f t="shared" si="1"/>
        <v>325998.43333333323</v>
      </c>
      <c r="F7" s="223">
        <f t="shared" si="1"/>
        <v>325998.43333333323</v>
      </c>
      <c r="G7" s="223">
        <f t="shared" si="1"/>
        <v>325998.43333333323</v>
      </c>
      <c r="H7" s="223">
        <f t="shared" si="1"/>
        <v>325998.43333333323</v>
      </c>
      <c r="I7" s="223">
        <f t="shared" si="1"/>
        <v>325998.43333333323</v>
      </c>
      <c r="J7" s="223">
        <f t="shared" si="1"/>
        <v>325998.43333333323</v>
      </c>
      <c r="K7" s="223">
        <f t="shared" si="1"/>
        <v>325998.43333333323</v>
      </c>
      <c r="L7" s="223">
        <f t="shared" si="1"/>
        <v>325998.43333333323</v>
      </c>
      <c r="M7" s="223">
        <f t="shared" si="1"/>
        <v>325998.43333333323</v>
      </c>
      <c r="N7" s="223">
        <f t="shared" si="1"/>
        <v>325998.43333333323</v>
      </c>
      <c r="O7" s="223">
        <f t="shared" si="1"/>
        <v>325998.43333333323</v>
      </c>
      <c r="Q7" s="222">
        <v>8.3333333333333301E-2</v>
      </c>
      <c r="R7" s="222">
        <v>8.3333333333333301E-2</v>
      </c>
      <c r="S7" s="222">
        <v>8.3333333333333301E-2</v>
      </c>
      <c r="T7" s="222">
        <v>8.3333333333333301E-2</v>
      </c>
      <c r="U7" s="222">
        <v>8.3333333333333301E-2</v>
      </c>
      <c r="V7" s="222">
        <v>8.3333333333333301E-2</v>
      </c>
      <c r="W7" s="222">
        <v>8.3333333333333301E-2</v>
      </c>
      <c r="X7" s="222">
        <v>8.3333333333333301E-2</v>
      </c>
      <c r="Y7" s="222">
        <v>8.3333333333333301E-2</v>
      </c>
      <c r="Z7" s="222">
        <v>8.3333333333333301E-2</v>
      </c>
      <c r="AA7" s="222">
        <v>8.3333333333333301E-2</v>
      </c>
      <c r="AB7" s="222">
        <v>8.3333333333333301E-2</v>
      </c>
      <c r="AD7" s="712">
        <v>3798040</v>
      </c>
      <c r="AE7" s="712">
        <v>4146900</v>
      </c>
      <c r="AF7" s="712">
        <f t="shared" ref="AF7:AF70" si="2">AE7-AD7</f>
        <v>348860</v>
      </c>
      <c r="AG7" s="712">
        <v>3911981.2</v>
      </c>
    </row>
    <row r="8" spans="1:33" x14ac:dyDescent="0.2">
      <c r="A8" s="221">
        <v>3</v>
      </c>
      <c r="B8" s="222" t="s">
        <v>49</v>
      </c>
      <c r="C8" s="223">
        <v>2686137</v>
      </c>
      <c r="D8" s="223">
        <f>$C$8*Q8</f>
        <v>231280.09203531628</v>
      </c>
      <c r="E8" s="223">
        <f t="shared" ref="E8:O8" si="3">$C$8*R8</f>
        <v>232304.64167627326</v>
      </c>
      <c r="F8" s="223">
        <f t="shared" si="3"/>
        <v>230001.5848769735</v>
      </c>
      <c r="G8" s="223">
        <f t="shared" si="3"/>
        <v>145415.20249814665</v>
      </c>
      <c r="H8" s="223">
        <f t="shared" si="3"/>
        <v>228111.61777333601</v>
      </c>
      <c r="I8" s="223">
        <f t="shared" si="3"/>
        <v>234151.01092284857</v>
      </c>
      <c r="J8" s="223">
        <f t="shared" si="3"/>
        <v>229605.93432413577</v>
      </c>
      <c r="K8" s="223">
        <f t="shared" si="3"/>
        <v>228849.51150411021</v>
      </c>
      <c r="L8" s="223">
        <f t="shared" si="3"/>
        <v>234056.18558373876</v>
      </c>
      <c r="M8" s="223">
        <f t="shared" si="3"/>
        <v>237053.53825675082</v>
      </c>
      <c r="N8" s="223">
        <f t="shared" si="3"/>
        <v>223016.1182292155</v>
      </c>
      <c r="O8" s="223">
        <f t="shared" si="3"/>
        <v>232291.56231915473</v>
      </c>
      <c r="Q8" s="222">
        <v>8.6101376078478606E-2</v>
      </c>
      <c r="R8" s="222">
        <v>8.6482797294506294E-2</v>
      </c>
      <c r="S8" s="222">
        <v>8.5625411092946302E-2</v>
      </c>
      <c r="T8" s="222">
        <v>5.4135437804604399E-2</v>
      </c>
      <c r="U8" s="222">
        <v>8.4921810679550597E-2</v>
      </c>
      <c r="V8" s="222">
        <v>8.7170167017858194E-2</v>
      </c>
      <c r="W8" s="222">
        <v>8.5478117580799401E-2</v>
      </c>
      <c r="X8" s="222">
        <v>8.5196515108540705E-2</v>
      </c>
      <c r="Y8" s="222">
        <v>8.7134865267013098E-2</v>
      </c>
      <c r="Z8" s="222">
        <v>8.8250725207519504E-2</v>
      </c>
      <c r="AA8" s="222">
        <v>8.3024848780689706E-2</v>
      </c>
      <c r="AB8" s="222">
        <v>8.6477928087493203E-2</v>
      </c>
      <c r="AD8" s="712">
        <v>2607900</v>
      </c>
      <c r="AE8" s="712">
        <v>2603691</v>
      </c>
      <c r="AF8" s="712">
        <f t="shared" si="2"/>
        <v>-4209</v>
      </c>
      <c r="AG8" s="712">
        <v>2686137</v>
      </c>
    </row>
    <row r="9" spans="1:33" x14ac:dyDescent="0.2">
      <c r="A9" s="221">
        <v>4</v>
      </c>
      <c r="B9" s="222" t="s">
        <v>52</v>
      </c>
      <c r="C9" s="223">
        <v>78614.75</v>
      </c>
      <c r="D9" s="223">
        <f t="shared" ref="D9:D40" si="4">$C9*Q9</f>
        <v>6551.2291666666642</v>
      </c>
      <c r="E9" s="223">
        <f t="shared" ref="E9:E40" si="5">$C9*R9</f>
        <v>6551.2291666666642</v>
      </c>
      <c r="F9" s="223">
        <f t="shared" ref="F9:F40" si="6">$C9*S9</f>
        <v>6551.2291666666642</v>
      </c>
      <c r="G9" s="223">
        <f t="shared" ref="G9:G40" si="7">$C9*T9</f>
        <v>6551.2291666666642</v>
      </c>
      <c r="H9" s="223">
        <f t="shared" ref="H9:H40" si="8">$C9*U9</f>
        <v>6551.2291666666642</v>
      </c>
      <c r="I9" s="223">
        <f t="shared" ref="I9:I40" si="9">$C9*V9</f>
        <v>6551.2291666666642</v>
      </c>
      <c r="J9" s="223">
        <f t="shared" ref="J9:J40" si="10">$C9*W9</f>
        <v>6551.2291666666642</v>
      </c>
      <c r="K9" s="223">
        <f t="shared" ref="K9:K40" si="11">$C9*X9</f>
        <v>6551.2291666666642</v>
      </c>
      <c r="L9" s="223">
        <f t="shared" ref="L9:L40" si="12">$C9*Y9</f>
        <v>6551.2291666666642</v>
      </c>
      <c r="M9" s="223">
        <f t="shared" ref="M9:M40" si="13">$C9*Z9</f>
        <v>6551.2291666666642</v>
      </c>
      <c r="N9" s="223">
        <f t="shared" ref="N9:N40" si="14">$C9*AA9</f>
        <v>6551.2291666666642</v>
      </c>
      <c r="O9" s="223">
        <f t="shared" ref="O9:O40" si="15">$C9*AB9</f>
        <v>6551.2291666666642</v>
      </c>
      <c r="Q9" s="222">
        <v>8.3333333333333301E-2</v>
      </c>
      <c r="R9" s="222">
        <v>8.3333333333333301E-2</v>
      </c>
      <c r="S9" s="222">
        <v>8.3333333333333301E-2</v>
      </c>
      <c r="T9" s="222">
        <v>8.3333333333333301E-2</v>
      </c>
      <c r="U9" s="222">
        <v>8.3333333333333301E-2</v>
      </c>
      <c r="V9" s="222">
        <v>8.3333333333333301E-2</v>
      </c>
      <c r="W9" s="222">
        <v>8.3333333333333301E-2</v>
      </c>
      <c r="X9" s="222">
        <v>8.3333333333333301E-2</v>
      </c>
      <c r="Y9" s="222">
        <v>8.3333333333333301E-2</v>
      </c>
      <c r="Z9" s="222">
        <v>8.3333333333333301E-2</v>
      </c>
      <c r="AA9" s="222">
        <v>8.3333333333333301E-2</v>
      </c>
      <c r="AB9" s="222">
        <v>8.3333333333333301E-2</v>
      </c>
      <c r="AD9" s="712">
        <v>76325</v>
      </c>
      <c r="AE9" s="712">
        <v>0</v>
      </c>
      <c r="AF9" s="712">
        <f t="shared" si="2"/>
        <v>-76325</v>
      </c>
      <c r="AG9" s="712">
        <v>78614.75</v>
      </c>
    </row>
    <row r="10" spans="1:33" x14ac:dyDescent="0.2">
      <c r="A10" s="221">
        <v>5</v>
      </c>
      <c r="B10" s="222" t="s">
        <v>54</v>
      </c>
      <c r="C10" s="223">
        <v>1286519.44</v>
      </c>
      <c r="D10" s="223">
        <f t="shared" si="4"/>
        <v>103001.67819321965</v>
      </c>
      <c r="E10" s="223">
        <f t="shared" si="5"/>
        <v>103027.13978286044</v>
      </c>
      <c r="F10" s="223">
        <f t="shared" si="6"/>
        <v>102753.4276942217</v>
      </c>
      <c r="G10" s="223">
        <f t="shared" si="7"/>
        <v>106448.54089084532</v>
      </c>
      <c r="H10" s="223">
        <f t="shared" si="8"/>
        <v>105368.54513024726</v>
      </c>
      <c r="I10" s="223">
        <f t="shared" si="9"/>
        <v>108368.76910959017</v>
      </c>
      <c r="J10" s="223">
        <f t="shared" si="10"/>
        <v>114972.86892267705</v>
      </c>
      <c r="K10" s="223">
        <f t="shared" si="11"/>
        <v>108665.82098873303</v>
      </c>
      <c r="L10" s="223">
        <f t="shared" si="12"/>
        <v>106966.2598802086</v>
      </c>
      <c r="M10" s="223">
        <f t="shared" si="13"/>
        <v>107940.16568396972</v>
      </c>
      <c r="N10" s="223">
        <f t="shared" si="14"/>
        <v>108184.17258469424</v>
      </c>
      <c r="O10" s="223">
        <f t="shared" si="15"/>
        <v>110822.05113873252</v>
      </c>
      <c r="Q10" s="222">
        <v>8.0062278882641405E-2</v>
      </c>
      <c r="R10" s="222">
        <v>8.00820699474704E-2</v>
      </c>
      <c r="S10" s="222">
        <v>7.9869316000558604E-2</v>
      </c>
      <c r="T10" s="222">
        <v>8.2741494283868205E-2</v>
      </c>
      <c r="U10" s="222">
        <v>8.1902023284037798E-2</v>
      </c>
      <c r="V10" s="222">
        <v>8.4234070423055696E-2</v>
      </c>
      <c r="W10" s="222">
        <v>8.9367377863079203E-2</v>
      </c>
      <c r="X10" s="222">
        <v>8.4464966179394099E-2</v>
      </c>
      <c r="Y10" s="222">
        <v>8.3143912602058001E-2</v>
      </c>
      <c r="Z10" s="222">
        <v>8.3900920831767395E-2</v>
      </c>
      <c r="AA10" s="222">
        <v>8.4090585203045395E-2</v>
      </c>
      <c r="AB10" s="222">
        <v>8.6140984499023604E-2</v>
      </c>
      <c r="AD10" s="712">
        <v>1249048</v>
      </c>
      <c r="AE10" s="712">
        <v>1263259</v>
      </c>
      <c r="AF10" s="712">
        <f t="shared" si="2"/>
        <v>14211</v>
      </c>
      <c r="AG10" s="712">
        <v>1286519.44</v>
      </c>
    </row>
    <row r="11" spans="1:33" x14ac:dyDescent="0.2">
      <c r="A11" s="221">
        <v>6</v>
      </c>
      <c r="B11" s="222" t="s">
        <v>57</v>
      </c>
      <c r="C11" s="223">
        <v>2825479.52</v>
      </c>
      <c r="D11" s="223">
        <f>$C11*Q11</f>
        <v>199160.60940649401</v>
      </c>
      <c r="E11" s="223">
        <f t="shared" si="5"/>
        <v>273699.43375289033</v>
      </c>
      <c r="F11" s="223">
        <f t="shared" si="6"/>
        <v>220447.56514959733</v>
      </c>
      <c r="G11" s="223">
        <f t="shared" si="7"/>
        <v>222541.78147837313</v>
      </c>
      <c r="H11" s="223">
        <f t="shared" si="8"/>
        <v>222425.08249348696</v>
      </c>
      <c r="I11" s="223">
        <f t="shared" si="9"/>
        <v>222459.03128909032</v>
      </c>
      <c r="J11" s="223">
        <f t="shared" si="10"/>
        <v>223133.763601705</v>
      </c>
      <c r="K11" s="223">
        <f t="shared" si="11"/>
        <v>224451.40123105637</v>
      </c>
      <c r="L11" s="223">
        <f t="shared" si="12"/>
        <v>294012.48342212482</v>
      </c>
      <c r="M11" s="223">
        <f t="shared" si="13"/>
        <v>227070.76299181976</v>
      </c>
      <c r="N11" s="223">
        <f t="shared" si="14"/>
        <v>246780.58499917941</v>
      </c>
      <c r="O11" s="223">
        <f t="shared" si="15"/>
        <v>249297.02018418256</v>
      </c>
      <c r="Q11" s="222">
        <v>7.0487366125553799E-2</v>
      </c>
      <c r="R11" s="222">
        <v>9.6868312729051498E-2</v>
      </c>
      <c r="S11" s="222">
        <v>7.8021292877605897E-2</v>
      </c>
      <c r="T11" s="222">
        <v>7.8762482581495805E-2</v>
      </c>
      <c r="U11" s="222">
        <v>7.8721180217043996E-2</v>
      </c>
      <c r="V11" s="222">
        <v>7.8733195450339105E-2</v>
      </c>
      <c r="W11" s="222">
        <v>7.8971998212078703E-2</v>
      </c>
      <c r="X11" s="222">
        <v>7.9438339454343795E-2</v>
      </c>
      <c r="Y11" s="222">
        <v>0.104057552475951</v>
      </c>
      <c r="Z11" s="222">
        <v>8.0365389798266795E-2</v>
      </c>
      <c r="AA11" s="222">
        <v>8.7341133868554605E-2</v>
      </c>
      <c r="AB11" s="222">
        <v>8.8231756209715004E-2</v>
      </c>
      <c r="AD11" s="713">
        <v>2743184</v>
      </c>
      <c r="AE11" s="713">
        <v>22078540</v>
      </c>
      <c r="AF11" s="713">
        <f t="shared" si="2"/>
        <v>19335356</v>
      </c>
      <c r="AG11" s="713">
        <v>2825479.52</v>
      </c>
    </row>
    <row r="12" spans="1:33" x14ac:dyDescent="0.2">
      <c r="A12" s="221">
        <v>7</v>
      </c>
      <c r="B12" s="222" t="s">
        <v>44</v>
      </c>
      <c r="C12" s="223">
        <v>945979.81</v>
      </c>
      <c r="D12" s="223">
        <f t="shared" si="4"/>
        <v>83790.96211493024</v>
      </c>
      <c r="E12" s="223">
        <f t="shared" si="5"/>
        <v>85082.077711008606</v>
      </c>
      <c r="F12" s="223">
        <f t="shared" si="6"/>
        <v>10370.416157883876</v>
      </c>
      <c r="G12" s="223">
        <f t="shared" si="7"/>
        <v>88724.556634619075</v>
      </c>
      <c r="H12" s="223">
        <f t="shared" si="8"/>
        <v>83680.628489628492</v>
      </c>
      <c r="I12" s="223">
        <f t="shared" si="9"/>
        <v>81477.138684324571</v>
      </c>
      <c r="J12" s="223">
        <f t="shared" si="10"/>
        <v>85820.464280335291</v>
      </c>
      <c r="K12" s="223">
        <f t="shared" si="11"/>
        <v>84759.564037049859</v>
      </c>
      <c r="L12" s="223">
        <f t="shared" si="12"/>
        <v>86407.142114872171</v>
      </c>
      <c r="M12" s="223">
        <f t="shared" si="13"/>
        <v>84351.117443384908</v>
      </c>
      <c r="N12" s="223">
        <f t="shared" si="14"/>
        <v>85370.642577182269</v>
      </c>
      <c r="O12" s="223">
        <f t="shared" si="15"/>
        <v>86145.09975478072</v>
      </c>
      <c r="Q12" s="222">
        <v>8.8575846153556098E-2</v>
      </c>
      <c r="R12" s="222">
        <v>8.9940690923423203E-2</v>
      </c>
      <c r="S12" s="222">
        <v>1.09626189145452E-2</v>
      </c>
      <c r="T12" s="222">
        <v>9.3791173655830007E-2</v>
      </c>
      <c r="U12" s="222">
        <v>8.8459211925071099E-2</v>
      </c>
      <c r="V12" s="222">
        <v>8.6129891804270706E-2</v>
      </c>
      <c r="W12" s="222">
        <v>9.0721243067899401E-2</v>
      </c>
      <c r="X12" s="222">
        <v>8.9599760101697998E-2</v>
      </c>
      <c r="Y12" s="222">
        <v>9.1341423148208797E-2</v>
      </c>
      <c r="Z12" s="222">
        <v>8.9167989159710401E-2</v>
      </c>
      <c r="AA12" s="222">
        <v>9.0245734290230001E-2</v>
      </c>
      <c r="AB12" s="222">
        <v>9.1064416855557107E-2</v>
      </c>
      <c r="AD12" s="712">
        <v>918427</v>
      </c>
      <c r="AE12" s="712">
        <v>550119</v>
      </c>
      <c r="AF12" s="712">
        <f t="shared" si="2"/>
        <v>-368308</v>
      </c>
      <c r="AG12" s="712">
        <v>945979.81</v>
      </c>
    </row>
    <row r="13" spans="1:33" x14ac:dyDescent="0.2">
      <c r="A13" s="221">
        <v>8</v>
      </c>
      <c r="B13" s="222" t="s">
        <v>59</v>
      </c>
      <c r="C13" s="223">
        <v>259604.29</v>
      </c>
      <c r="D13" s="223">
        <f t="shared" si="4"/>
        <v>21633.690833333327</v>
      </c>
      <c r="E13" s="223">
        <f t="shared" si="5"/>
        <v>21633.690833333327</v>
      </c>
      <c r="F13" s="223">
        <f t="shared" si="6"/>
        <v>21633.690833333327</v>
      </c>
      <c r="G13" s="223">
        <f t="shared" si="7"/>
        <v>21633.690833333327</v>
      </c>
      <c r="H13" s="223">
        <f t="shared" si="8"/>
        <v>21633.690833333327</v>
      </c>
      <c r="I13" s="223">
        <f t="shared" si="9"/>
        <v>21633.690833333327</v>
      </c>
      <c r="J13" s="223">
        <f t="shared" si="10"/>
        <v>21633.690833333327</v>
      </c>
      <c r="K13" s="223">
        <f t="shared" si="11"/>
        <v>21633.690833333327</v>
      </c>
      <c r="L13" s="223">
        <f t="shared" si="12"/>
        <v>21633.690833333327</v>
      </c>
      <c r="M13" s="223">
        <f t="shared" si="13"/>
        <v>21633.690833333327</v>
      </c>
      <c r="N13" s="223">
        <f t="shared" si="14"/>
        <v>21633.690833333327</v>
      </c>
      <c r="O13" s="223">
        <f t="shared" si="15"/>
        <v>21633.690833333327</v>
      </c>
      <c r="Q13" s="222">
        <v>8.3333333333333301E-2</v>
      </c>
      <c r="R13" s="222">
        <v>8.3333333333333301E-2</v>
      </c>
      <c r="S13" s="222">
        <v>8.3333333333333301E-2</v>
      </c>
      <c r="T13" s="222">
        <v>8.3333333333333301E-2</v>
      </c>
      <c r="U13" s="222">
        <v>8.3333333333333301E-2</v>
      </c>
      <c r="V13" s="222">
        <v>8.3333333333333301E-2</v>
      </c>
      <c r="W13" s="222">
        <v>8.3333333333333301E-2</v>
      </c>
      <c r="X13" s="222">
        <v>8.3333333333333301E-2</v>
      </c>
      <c r="Y13" s="222">
        <v>8.3333333333333301E-2</v>
      </c>
      <c r="Z13" s="222">
        <v>8.3333333333333301E-2</v>
      </c>
      <c r="AA13" s="222">
        <v>8.3333333333333301E-2</v>
      </c>
      <c r="AB13" s="222">
        <v>8.3333333333333301E-2</v>
      </c>
      <c r="AD13" s="712">
        <v>252043</v>
      </c>
      <c r="AE13" s="712">
        <v>0</v>
      </c>
      <c r="AF13" s="712">
        <f t="shared" si="2"/>
        <v>-252043</v>
      </c>
      <c r="AG13" s="712">
        <v>259604.29</v>
      </c>
    </row>
    <row r="14" spans="1:33" x14ac:dyDescent="0.2">
      <c r="A14" s="221">
        <v>9</v>
      </c>
      <c r="B14" s="222" t="s">
        <v>342</v>
      </c>
      <c r="C14" s="223">
        <v>5856322.5</v>
      </c>
      <c r="D14" s="223">
        <f t="shared" si="4"/>
        <v>445983.23343555053</v>
      </c>
      <c r="E14" s="223">
        <f t="shared" si="5"/>
        <v>468875.33207695838</v>
      </c>
      <c r="F14" s="223">
        <f t="shared" si="6"/>
        <v>499497.14759209339</v>
      </c>
      <c r="G14" s="223">
        <f t="shared" si="7"/>
        <v>486230.59399533743</v>
      </c>
      <c r="H14" s="223">
        <f t="shared" si="8"/>
        <v>510843.98359929887</v>
      </c>
      <c r="I14" s="223">
        <f t="shared" si="9"/>
        <v>494925.7298033351</v>
      </c>
      <c r="J14" s="223">
        <f t="shared" si="10"/>
        <v>489296.59478659125</v>
      </c>
      <c r="K14" s="223">
        <f t="shared" si="11"/>
        <v>487038.99974029802</v>
      </c>
      <c r="L14" s="223">
        <f t="shared" si="12"/>
        <v>485636.75526076875</v>
      </c>
      <c r="M14" s="223">
        <f t="shared" si="13"/>
        <v>486766.52527551557</v>
      </c>
      <c r="N14" s="223">
        <f t="shared" si="14"/>
        <v>499355.1094954143</v>
      </c>
      <c r="O14" s="223">
        <f t="shared" si="15"/>
        <v>501872.49493883888</v>
      </c>
      <c r="Q14" s="222">
        <v>7.6154145103100201E-2</v>
      </c>
      <c r="R14" s="222">
        <v>8.0063099680210303E-2</v>
      </c>
      <c r="S14" s="222">
        <v>8.5291946881698097E-2</v>
      </c>
      <c r="T14" s="222">
        <v>8.3026608250371697E-2</v>
      </c>
      <c r="U14" s="222">
        <v>8.7229482939045602E-2</v>
      </c>
      <c r="V14" s="222">
        <v>8.4511351586825198E-2</v>
      </c>
      <c r="W14" s="222">
        <v>8.35501451271837E-2</v>
      </c>
      <c r="X14" s="222">
        <v>8.3164648077406603E-2</v>
      </c>
      <c r="Y14" s="222">
        <v>8.2925206946982299E-2</v>
      </c>
      <c r="Z14" s="222">
        <v>8.3118121530280406E-2</v>
      </c>
      <c r="AA14" s="222">
        <v>8.5267693077936593E-2</v>
      </c>
      <c r="AB14" s="222">
        <v>8.5697550798959396E-2</v>
      </c>
      <c r="AD14" s="712">
        <v>5685750</v>
      </c>
      <c r="AE14" s="712">
        <v>9085681</v>
      </c>
      <c r="AF14" s="712">
        <f t="shared" si="2"/>
        <v>3399931</v>
      </c>
      <c r="AG14" s="712">
        <v>5856322.5</v>
      </c>
    </row>
    <row r="15" spans="1:33" x14ac:dyDescent="0.2">
      <c r="A15" s="221">
        <v>10</v>
      </c>
      <c r="B15" s="222" t="s">
        <v>64</v>
      </c>
      <c r="C15" s="223">
        <v>3627485.93</v>
      </c>
      <c r="D15" s="223">
        <f t="shared" si="4"/>
        <v>300551.86874653131</v>
      </c>
      <c r="E15" s="223">
        <f t="shared" si="5"/>
        <v>307798.87567351497</v>
      </c>
      <c r="F15" s="223">
        <f t="shared" si="6"/>
        <v>297553.76574907027</v>
      </c>
      <c r="G15" s="223">
        <f t="shared" si="7"/>
        <v>327840.33488265687</v>
      </c>
      <c r="H15" s="223">
        <f t="shared" si="8"/>
        <v>314559.99046573677</v>
      </c>
      <c r="I15" s="223">
        <f t="shared" si="9"/>
        <v>275317.30473463942</v>
      </c>
      <c r="J15" s="223">
        <f t="shared" si="10"/>
        <v>308145.78992693679</v>
      </c>
      <c r="K15" s="223">
        <f t="shared" si="11"/>
        <v>300941.82522274484</v>
      </c>
      <c r="L15" s="223">
        <f t="shared" si="12"/>
        <v>300042.71259346395</v>
      </c>
      <c r="M15" s="223">
        <f t="shared" si="13"/>
        <v>299143.59996418306</v>
      </c>
      <c r="N15" s="223">
        <f t="shared" si="14"/>
        <v>298244.48733490176</v>
      </c>
      <c r="O15" s="223">
        <f t="shared" si="15"/>
        <v>297345.37470562092</v>
      </c>
      <c r="Q15" s="222">
        <v>8.2854041213753601E-2</v>
      </c>
      <c r="R15" s="222">
        <v>8.4851845496617798E-2</v>
      </c>
      <c r="S15" s="222">
        <v>8.2027545107272198E-2</v>
      </c>
      <c r="T15" s="222">
        <v>9.0376735074657294E-2</v>
      </c>
      <c r="U15" s="222">
        <v>8.6715702427476199E-2</v>
      </c>
      <c r="V15" s="222">
        <v>7.5897552753468406E-2</v>
      </c>
      <c r="W15" s="222">
        <v>8.4947480396412395E-2</v>
      </c>
      <c r="X15" s="222">
        <v>8.2961541693076901E-2</v>
      </c>
      <c r="Y15" s="222">
        <v>8.2713680599572695E-2</v>
      </c>
      <c r="Z15" s="222">
        <v>8.2465819506068502E-2</v>
      </c>
      <c r="AA15" s="222">
        <v>8.2217958412564199E-2</v>
      </c>
      <c r="AB15" s="222">
        <v>8.1970097319060006E-2</v>
      </c>
      <c r="AD15" s="712">
        <v>3521831</v>
      </c>
      <c r="AE15" s="712">
        <v>3802314</v>
      </c>
      <c r="AF15" s="712">
        <f t="shared" si="2"/>
        <v>280483</v>
      </c>
      <c r="AG15" s="712">
        <v>3627485.93</v>
      </c>
    </row>
    <row r="16" spans="1:33" x14ac:dyDescent="0.2">
      <c r="A16" s="221">
        <v>11</v>
      </c>
      <c r="B16" s="222" t="s">
        <v>343</v>
      </c>
      <c r="C16" s="223">
        <v>1165009.31</v>
      </c>
      <c r="D16" s="223">
        <f t="shared" si="4"/>
        <v>94369.267671391965</v>
      </c>
      <c r="E16" s="223">
        <f t="shared" si="5"/>
        <v>97578.848942539204</v>
      </c>
      <c r="F16" s="223">
        <f t="shared" si="6"/>
        <v>97569.127332996184</v>
      </c>
      <c r="G16" s="223">
        <f t="shared" si="7"/>
        <v>96638.457681860469</v>
      </c>
      <c r="H16" s="223">
        <f t="shared" si="8"/>
        <v>96648.02603220848</v>
      </c>
      <c r="I16" s="223">
        <f t="shared" si="9"/>
        <v>97221.523012276084</v>
      </c>
      <c r="J16" s="223">
        <f t="shared" si="10"/>
        <v>96946.695321057181</v>
      </c>
      <c r="K16" s="223">
        <f t="shared" si="11"/>
        <v>97732.768025362137</v>
      </c>
      <c r="L16" s="223">
        <f t="shared" si="12"/>
        <v>97457.940334143466</v>
      </c>
      <c r="M16" s="223">
        <f t="shared" si="13"/>
        <v>98244.013038448422</v>
      </c>
      <c r="N16" s="223">
        <f t="shared" si="14"/>
        <v>97969.185347229621</v>
      </c>
      <c r="O16" s="223">
        <f t="shared" si="15"/>
        <v>96633.457260487092</v>
      </c>
      <c r="Q16" s="222">
        <v>8.1003015908423903E-2</v>
      </c>
      <c r="R16" s="222">
        <v>8.3757999275163905E-2</v>
      </c>
      <c r="S16" s="222">
        <v>8.3749654612628094E-2</v>
      </c>
      <c r="T16" s="222">
        <v>8.2950802926940098E-2</v>
      </c>
      <c r="U16" s="222">
        <v>8.2959016037570096E-2</v>
      </c>
      <c r="V16" s="222">
        <v>8.3451284189545297E-2</v>
      </c>
      <c r="W16" s="222">
        <v>8.3215382477121305E-2</v>
      </c>
      <c r="X16" s="222">
        <v>8.3890117603748704E-2</v>
      </c>
      <c r="Y16" s="222">
        <v>8.3654215891324907E-2</v>
      </c>
      <c r="Z16" s="222">
        <v>8.4328951017952306E-2</v>
      </c>
      <c r="AA16" s="222">
        <v>8.4093049305528397E-2</v>
      </c>
      <c r="AB16" s="222">
        <v>8.2946510754053196E-2</v>
      </c>
      <c r="AD16" s="712">
        <v>1131077</v>
      </c>
      <c r="AE16" s="712">
        <v>1401336</v>
      </c>
      <c r="AF16" s="712">
        <f t="shared" si="2"/>
        <v>270259</v>
      </c>
      <c r="AG16" s="712">
        <v>1165009.31</v>
      </c>
    </row>
    <row r="17" spans="1:33" x14ac:dyDescent="0.2">
      <c r="A17" s="221">
        <v>12</v>
      </c>
      <c r="B17" s="222" t="s">
        <v>384</v>
      </c>
      <c r="C17" s="223">
        <v>302573.83</v>
      </c>
      <c r="D17" s="223">
        <f t="shared" si="4"/>
        <v>25214.485833333325</v>
      </c>
      <c r="E17" s="223">
        <f t="shared" si="5"/>
        <v>25214.485833333325</v>
      </c>
      <c r="F17" s="223">
        <f t="shared" si="6"/>
        <v>25214.485833333325</v>
      </c>
      <c r="G17" s="223">
        <f t="shared" si="7"/>
        <v>25214.485833333325</v>
      </c>
      <c r="H17" s="223">
        <f t="shared" si="8"/>
        <v>25214.485833333325</v>
      </c>
      <c r="I17" s="223">
        <f t="shared" si="9"/>
        <v>25214.485833333325</v>
      </c>
      <c r="J17" s="223">
        <f t="shared" si="10"/>
        <v>25214.485833333325</v>
      </c>
      <c r="K17" s="223">
        <f t="shared" si="11"/>
        <v>25214.485833333325</v>
      </c>
      <c r="L17" s="223">
        <f t="shared" si="12"/>
        <v>25214.485833333325</v>
      </c>
      <c r="M17" s="223">
        <f t="shared" si="13"/>
        <v>25214.485833333325</v>
      </c>
      <c r="N17" s="223">
        <f t="shared" si="14"/>
        <v>25214.485833333325</v>
      </c>
      <c r="O17" s="223">
        <f t="shared" si="15"/>
        <v>25214.485833333325</v>
      </c>
      <c r="Q17" s="222">
        <v>8.3333333333333301E-2</v>
      </c>
      <c r="R17" s="222">
        <v>8.3333333333333301E-2</v>
      </c>
      <c r="S17" s="222">
        <v>8.3333333333333301E-2</v>
      </c>
      <c r="T17" s="222">
        <v>8.3333333333333301E-2</v>
      </c>
      <c r="U17" s="222">
        <v>8.3333333333333301E-2</v>
      </c>
      <c r="V17" s="222">
        <v>8.3333333333333301E-2</v>
      </c>
      <c r="W17" s="222">
        <v>8.3333333333333301E-2</v>
      </c>
      <c r="X17" s="222">
        <v>8.3333333333333301E-2</v>
      </c>
      <c r="Y17" s="222">
        <v>8.3333333333333301E-2</v>
      </c>
      <c r="Z17" s="222">
        <v>8.3333333333333301E-2</v>
      </c>
      <c r="AA17" s="222">
        <v>8.3333333333333301E-2</v>
      </c>
      <c r="AB17" s="222">
        <v>8.3333333333333301E-2</v>
      </c>
      <c r="AD17" s="712">
        <v>293761</v>
      </c>
      <c r="AE17" s="712">
        <v>0</v>
      </c>
      <c r="AF17" s="712">
        <f t="shared" si="2"/>
        <v>-293761</v>
      </c>
      <c r="AG17" s="712">
        <v>302573.83</v>
      </c>
    </row>
    <row r="18" spans="1:33" x14ac:dyDescent="0.2">
      <c r="A18" s="221">
        <v>13</v>
      </c>
      <c r="B18" s="222" t="s">
        <v>73</v>
      </c>
      <c r="C18" s="223">
        <v>171949.23</v>
      </c>
      <c r="D18" s="223">
        <f t="shared" si="4"/>
        <v>14329.102499999995</v>
      </c>
      <c r="E18" s="223">
        <f t="shared" si="5"/>
        <v>14329.102499999995</v>
      </c>
      <c r="F18" s="223">
        <f t="shared" si="6"/>
        <v>14329.102499999995</v>
      </c>
      <c r="G18" s="223">
        <f t="shared" si="7"/>
        <v>14329.102499999995</v>
      </c>
      <c r="H18" s="223">
        <f t="shared" si="8"/>
        <v>14329.102499999995</v>
      </c>
      <c r="I18" s="223">
        <f t="shared" si="9"/>
        <v>14329.102499999995</v>
      </c>
      <c r="J18" s="223">
        <f t="shared" si="10"/>
        <v>14329.102499999995</v>
      </c>
      <c r="K18" s="223">
        <f t="shared" si="11"/>
        <v>14329.102499999995</v>
      </c>
      <c r="L18" s="223">
        <f t="shared" si="12"/>
        <v>14329.102499999995</v>
      </c>
      <c r="M18" s="223">
        <f t="shared" si="13"/>
        <v>14329.102499999995</v>
      </c>
      <c r="N18" s="223">
        <f t="shared" si="14"/>
        <v>14329.102499999995</v>
      </c>
      <c r="O18" s="223">
        <f t="shared" si="15"/>
        <v>14329.102499999995</v>
      </c>
      <c r="Q18" s="222">
        <v>8.3333333333333301E-2</v>
      </c>
      <c r="R18" s="222">
        <v>8.3333333333333301E-2</v>
      </c>
      <c r="S18" s="222">
        <v>8.3333333333333301E-2</v>
      </c>
      <c r="T18" s="222">
        <v>8.3333333333333301E-2</v>
      </c>
      <c r="U18" s="222">
        <v>8.3333333333333301E-2</v>
      </c>
      <c r="V18" s="222">
        <v>8.3333333333333301E-2</v>
      </c>
      <c r="W18" s="222">
        <v>8.3333333333333301E-2</v>
      </c>
      <c r="X18" s="222">
        <v>8.3333333333333301E-2</v>
      </c>
      <c r="Y18" s="222">
        <v>8.3333333333333301E-2</v>
      </c>
      <c r="Z18" s="222">
        <v>8.3333333333333301E-2</v>
      </c>
      <c r="AA18" s="222">
        <v>8.3333333333333301E-2</v>
      </c>
      <c r="AB18" s="222">
        <v>8.3333333333333301E-2</v>
      </c>
      <c r="AD18" s="712">
        <v>166941</v>
      </c>
      <c r="AE18" s="712">
        <v>0</v>
      </c>
      <c r="AF18" s="712">
        <f t="shared" si="2"/>
        <v>-166941</v>
      </c>
      <c r="AG18" s="712">
        <v>171949.23</v>
      </c>
    </row>
    <row r="19" spans="1:33" x14ac:dyDescent="0.2">
      <c r="A19" s="221">
        <v>14</v>
      </c>
      <c r="B19" s="222" t="s">
        <v>75</v>
      </c>
      <c r="C19" s="223">
        <v>2677402.6</v>
      </c>
      <c r="D19" s="223">
        <f t="shared" si="4"/>
        <v>275704.53375948715</v>
      </c>
      <c r="E19" s="223">
        <f t="shared" si="5"/>
        <v>241124.50283000994</v>
      </c>
      <c r="F19" s="223">
        <f t="shared" si="6"/>
        <v>239570.28453543442</v>
      </c>
      <c r="G19" s="223">
        <f t="shared" si="7"/>
        <v>244856.74853671028</v>
      </c>
      <c r="H19" s="223">
        <f t="shared" si="8"/>
        <v>72288.655545439062</v>
      </c>
      <c r="I19" s="223">
        <f t="shared" si="9"/>
        <v>245990.8504868132</v>
      </c>
      <c r="J19" s="223">
        <f t="shared" si="10"/>
        <v>242238.44768277713</v>
      </c>
      <c r="K19" s="223">
        <f t="shared" si="11"/>
        <v>247059.17664561016</v>
      </c>
      <c r="L19" s="223">
        <f t="shared" si="12"/>
        <v>239274.67236736321</v>
      </c>
      <c r="M19" s="223">
        <f t="shared" si="13"/>
        <v>235128.78938319118</v>
      </c>
      <c r="N19" s="223">
        <f t="shared" si="14"/>
        <v>199155.910605668</v>
      </c>
      <c r="O19" s="223">
        <f t="shared" si="15"/>
        <v>195010.02762149705</v>
      </c>
      <c r="Q19" s="222">
        <v>0.102974626886329</v>
      </c>
      <c r="R19" s="222">
        <v>9.0059112824500104E-2</v>
      </c>
      <c r="S19" s="222">
        <v>8.94786180215984E-2</v>
      </c>
      <c r="T19" s="222">
        <v>9.1453092835836594E-2</v>
      </c>
      <c r="U19" s="222">
        <v>2.6999546330999699E-2</v>
      </c>
      <c r="V19" s="222">
        <v>9.1876675732970897E-2</v>
      </c>
      <c r="W19" s="222">
        <v>9.0475167120095096E-2</v>
      </c>
      <c r="X19" s="222">
        <v>9.2275691614555899E-2</v>
      </c>
      <c r="Y19" s="222">
        <v>8.9368207966692495E-2</v>
      </c>
      <c r="Z19" s="222">
        <v>8.7819735957226294E-2</v>
      </c>
      <c r="AA19" s="222">
        <v>7.4383998359330794E-2</v>
      </c>
      <c r="AB19" s="222">
        <v>7.2835526349864996E-2</v>
      </c>
      <c r="AD19" s="712">
        <v>2599420</v>
      </c>
      <c r="AE19" s="712">
        <v>2493433</v>
      </c>
      <c r="AF19" s="712">
        <f t="shared" si="2"/>
        <v>-105987</v>
      </c>
      <c r="AG19" s="712">
        <v>2677402.6</v>
      </c>
    </row>
    <row r="20" spans="1:33" x14ac:dyDescent="0.2">
      <c r="A20" s="221">
        <v>15</v>
      </c>
      <c r="B20" s="224" t="s">
        <v>77</v>
      </c>
      <c r="C20" s="223">
        <v>404290.45</v>
      </c>
      <c r="D20" s="223">
        <f t="shared" si="4"/>
        <v>33690.87083333332</v>
      </c>
      <c r="E20" s="223">
        <f t="shared" si="5"/>
        <v>33690.87083333332</v>
      </c>
      <c r="F20" s="223">
        <f t="shared" si="6"/>
        <v>33690.87083333332</v>
      </c>
      <c r="G20" s="223">
        <f t="shared" si="7"/>
        <v>33690.87083333332</v>
      </c>
      <c r="H20" s="223">
        <f t="shared" si="8"/>
        <v>33690.87083333332</v>
      </c>
      <c r="I20" s="223">
        <f t="shared" si="9"/>
        <v>33690.87083333332</v>
      </c>
      <c r="J20" s="223">
        <f t="shared" si="10"/>
        <v>33690.87083333332</v>
      </c>
      <c r="K20" s="223">
        <f t="shared" si="11"/>
        <v>33690.87083333332</v>
      </c>
      <c r="L20" s="223">
        <f t="shared" si="12"/>
        <v>33690.87083333332</v>
      </c>
      <c r="M20" s="223">
        <f t="shared" si="13"/>
        <v>33690.87083333332</v>
      </c>
      <c r="N20" s="223">
        <f t="shared" si="14"/>
        <v>33690.87083333332</v>
      </c>
      <c r="O20" s="223">
        <f t="shared" si="15"/>
        <v>33690.87083333332</v>
      </c>
      <c r="Q20" s="222">
        <v>8.3333333333333301E-2</v>
      </c>
      <c r="R20" s="222">
        <v>8.3333333333333301E-2</v>
      </c>
      <c r="S20" s="222">
        <v>8.3333333333333301E-2</v>
      </c>
      <c r="T20" s="222">
        <v>8.3333333333333301E-2</v>
      </c>
      <c r="U20" s="222">
        <v>8.3333333333333301E-2</v>
      </c>
      <c r="V20" s="222">
        <v>8.3333333333333301E-2</v>
      </c>
      <c r="W20" s="222">
        <v>8.3333333333333301E-2</v>
      </c>
      <c r="X20" s="222">
        <v>8.3333333333333301E-2</v>
      </c>
      <c r="Y20" s="222">
        <v>8.3333333333333301E-2</v>
      </c>
      <c r="Z20" s="222">
        <v>8.3333333333333301E-2</v>
      </c>
      <c r="AA20" s="222">
        <v>8.3333333333333301E-2</v>
      </c>
      <c r="AB20" s="222">
        <v>8.3333333333333301E-2</v>
      </c>
      <c r="AD20" s="712">
        <v>392515</v>
      </c>
      <c r="AE20" s="712">
        <v>0</v>
      </c>
      <c r="AF20" s="712">
        <f t="shared" si="2"/>
        <v>-392515</v>
      </c>
      <c r="AG20" s="712">
        <v>404290.45</v>
      </c>
    </row>
    <row r="21" spans="1:33" x14ac:dyDescent="0.2">
      <c r="A21" s="221">
        <v>16</v>
      </c>
      <c r="B21" s="222" t="s">
        <v>79</v>
      </c>
      <c r="C21" s="223">
        <v>1684327.07</v>
      </c>
      <c r="D21" s="223">
        <f t="shared" si="4"/>
        <v>155174.64132151488</v>
      </c>
      <c r="E21" s="223">
        <f t="shared" si="5"/>
        <v>153405.06033794186</v>
      </c>
      <c r="F21" s="223">
        <f t="shared" si="6"/>
        <v>153233.1945589617</v>
      </c>
      <c r="G21" s="223">
        <f t="shared" si="7"/>
        <v>152402.50996055783</v>
      </c>
      <c r="H21" s="223">
        <f t="shared" si="8"/>
        <v>149601.73430310396</v>
      </c>
      <c r="I21" s="223">
        <f t="shared" si="9"/>
        <v>148950.34178277184</v>
      </c>
      <c r="J21" s="223">
        <f t="shared" si="10"/>
        <v>54774.260300886897</v>
      </c>
      <c r="K21" s="223">
        <f t="shared" si="11"/>
        <v>107929.58739977585</v>
      </c>
      <c r="L21" s="223">
        <f t="shared" si="12"/>
        <v>153375.35514157498</v>
      </c>
      <c r="M21" s="223">
        <f t="shared" si="13"/>
        <v>152127.73689416368</v>
      </c>
      <c r="N21" s="223">
        <f t="shared" si="14"/>
        <v>153553.58631977654</v>
      </c>
      <c r="O21" s="223">
        <f t="shared" si="15"/>
        <v>149799.06167897003</v>
      </c>
      <c r="Q21" s="222">
        <v>9.2128568189262003E-2</v>
      </c>
      <c r="R21" s="222">
        <v>9.1077952180595098E-2</v>
      </c>
      <c r="S21" s="222">
        <v>9.0975913935149005E-2</v>
      </c>
      <c r="T21" s="222">
        <v>9.0482729082159694E-2</v>
      </c>
      <c r="U21" s="222">
        <v>8.8819883600816302E-2</v>
      </c>
      <c r="V21" s="222">
        <v>8.8433146053261399E-2</v>
      </c>
      <c r="W21" s="222">
        <v>3.2519966743090399E-2</v>
      </c>
      <c r="X21" s="222">
        <v>6.4078758408707304E-2</v>
      </c>
      <c r="Y21" s="222">
        <v>9.1060315940641498E-2</v>
      </c>
      <c r="Z21" s="222">
        <v>9.0319593862588504E-2</v>
      </c>
      <c r="AA21" s="222">
        <v>9.1166133380363307E-2</v>
      </c>
      <c r="AB21" s="222">
        <v>8.8937038623365494E-2</v>
      </c>
      <c r="AD21" s="712">
        <v>1635269</v>
      </c>
      <c r="AE21" s="712">
        <v>1794078</v>
      </c>
      <c r="AF21" s="712">
        <f t="shared" si="2"/>
        <v>158809</v>
      </c>
      <c r="AG21" s="712">
        <v>1684327.07</v>
      </c>
    </row>
    <row r="22" spans="1:33" x14ac:dyDescent="0.2">
      <c r="A22" s="221">
        <v>17</v>
      </c>
      <c r="B22" s="222" t="s">
        <v>81</v>
      </c>
      <c r="C22" s="223">
        <v>3362656.45</v>
      </c>
      <c r="D22" s="223">
        <f t="shared" si="4"/>
        <v>295901.65188277786</v>
      </c>
      <c r="E22" s="223">
        <f t="shared" si="5"/>
        <v>310040.4314937265</v>
      </c>
      <c r="F22" s="223">
        <f t="shared" si="6"/>
        <v>271511.26234119409</v>
      </c>
      <c r="G22" s="223">
        <f t="shared" si="7"/>
        <v>289343.90456780413</v>
      </c>
      <c r="H22" s="223">
        <f t="shared" si="8"/>
        <v>278546.26250348199</v>
      </c>
      <c r="I22" s="223">
        <f t="shared" si="9"/>
        <v>274205.37909702287</v>
      </c>
      <c r="J22" s="223">
        <f t="shared" si="10"/>
        <v>265181.5539293742</v>
      </c>
      <c r="K22" s="223">
        <f t="shared" si="11"/>
        <v>278917.6401457609</v>
      </c>
      <c r="L22" s="223">
        <f t="shared" si="12"/>
        <v>264764.56850646477</v>
      </c>
      <c r="M22" s="223">
        <f t="shared" si="13"/>
        <v>276747.01164739073</v>
      </c>
      <c r="N22" s="223">
        <f t="shared" si="14"/>
        <v>272651.76748333179</v>
      </c>
      <c r="O22" s="223">
        <f t="shared" si="15"/>
        <v>284845.01640167006</v>
      </c>
      <c r="Q22" s="222">
        <v>8.7996396980362906E-2</v>
      </c>
      <c r="R22" s="222">
        <v>9.2201042867083999E-2</v>
      </c>
      <c r="S22" s="222">
        <v>8.0743087014194997E-2</v>
      </c>
      <c r="T22" s="222">
        <v>8.6046228293052099E-2</v>
      </c>
      <c r="U22" s="222">
        <v>8.2835183030214699E-2</v>
      </c>
      <c r="V22" s="222">
        <v>8.1544274050661003E-2</v>
      </c>
      <c r="W22" s="222">
        <v>7.8860733432752003E-2</v>
      </c>
      <c r="X22" s="222">
        <v>8.2945624774056495E-2</v>
      </c>
      <c r="Y22" s="222">
        <v>7.8736728667736705E-2</v>
      </c>
      <c r="Z22" s="222">
        <v>8.2300114734406099E-2</v>
      </c>
      <c r="AA22" s="222">
        <v>8.1082254918825203E-2</v>
      </c>
      <c r="AB22" s="222">
        <v>8.4708331236653694E-2</v>
      </c>
      <c r="AD22" s="712">
        <v>3264715</v>
      </c>
      <c r="AE22" s="712">
        <v>2444571</v>
      </c>
      <c r="AF22" s="712">
        <f t="shared" si="2"/>
        <v>-820144</v>
      </c>
      <c r="AG22" s="712">
        <v>3362656.45</v>
      </c>
    </row>
    <row r="23" spans="1:33" x14ac:dyDescent="0.2">
      <c r="A23" s="221">
        <v>18</v>
      </c>
      <c r="B23" s="222" t="s">
        <v>82</v>
      </c>
      <c r="C23" s="223">
        <v>2060067.98</v>
      </c>
      <c r="D23" s="223">
        <f t="shared" si="4"/>
        <v>165069.64488844443</v>
      </c>
      <c r="E23" s="223">
        <f t="shared" si="5"/>
        <v>169536.03308452116</v>
      </c>
      <c r="F23" s="223">
        <f t="shared" si="6"/>
        <v>168833.71741093363</v>
      </c>
      <c r="G23" s="223">
        <f t="shared" si="7"/>
        <v>168863.42260558694</v>
      </c>
      <c r="H23" s="223">
        <f t="shared" si="8"/>
        <v>170745.45886683167</v>
      </c>
      <c r="I23" s="223">
        <f t="shared" si="9"/>
        <v>168075.17404746686</v>
      </c>
      <c r="J23" s="223">
        <f t="shared" si="10"/>
        <v>168519.69106745656</v>
      </c>
      <c r="K23" s="223">
        <f t="shared" si="11"/>
        <v>173949.16411018372</v>
      </c>
      <c r="L23" s="223">
        <f t="shared" si="12"/>
        <v>175017.06585796777</v>
      </c>
      <c r="M23" s="223">
        <f t="shared" si="13"/>
        <v>176084.96760575165</v>
      </c>
      <c r="N23" s="223">
        <f t="shared" si="14"/>
        <v>177152.86935353576</v>
      </c>
      <c r="O23" s="223">
        <f t="shared" si="15"/>
        <v>178220.77110131981</v>
      </c>
      <c r="Q23" s="222">
        <v>8.0128251344620399E-2</v>
      </c>
      <c r="R23" s="222">
        <v>8.2296329407790303E-2</v>
      </c>
      <c r="S23" s="222">
        <v>8.1955410719472294E-2</v>
      </c>
      <c r="T23" s="222">
        <v>8.1969830241032604E-2</v>
      </c>
      <c r="U23" s="222">
        <v>8.2883409928458607E-2</v>
      </c>
      <c r="V23" s="222">
        <v>8.1587197936772396E-2</v>
      </c>
      <c r="W23" s="222">
        <v>8.1802975777263698E-2</v>
      </c>
      <c r="X23" s="222">
        <v>8.4438555328734205E-2</v>
      </c>
      <c r="Y23" s="222">
        <v>8.4956937128826099E-2</v>
      </c>
      <c r="Z23" s="222">
        <v>8.5475318928917896E-2</v>
      </c>
      <c r="AA23" s="222">
        <v>8.5993700729009803E-2</v>
      </c>
      <c r="AB23" s="222">
        <v>8.6512082529101697E-2</v>
      </c>
      <c r="AD23" s="712">
        <v>2000066</v>
      </c>
      <c r="AE23" s="712">
        <v>2011833</v>
      </c>
      <c r="AF23" s="712">
        <f t="shared" si="2"/>
        <v>11767</v>
      </c>
      <c r="AG23" s="712">
        <v>2060067.98</v>
      </c>
    </row>
    <row r="24" spans="1:33" x14ac:dyDescent="0.2">
      <c r="A24" s="221">
        <v>19</v>
      </c>
      <c r="B24" s="222" t="s">
        <v>344</v>
      </c>
      <c r="C24" s="223">
        <v>2380007.61</v>
      </c>
      <c r="D24" s="223">
        <f t="shared" si="4"/>
        <v>278658.09027033235</v>
      </c>
      <c r="E24" s="223">
        <f t="shared" si="5"/>
        <v>189530.82853585589</v>
      </c>
      <c r="F24" s="223">
        <f t="shared" si="6"/>
        <v>192928.89092453744</v>
      </c>
      <c r="G24" s="223">
        <f t="shared" si="7"/>
        <v>190264.97126859624</v>
      </c>
      <c r="H24" s="223">
        <f t="shared" si="8"/>
        <v>189647.52752516442</v>
      </c>
      <c r="I24" s="223">
        <f t="shared" si="9"/>
        <v>189199.827766181</v>
      </c>
      <c r="J24" s="223">
        <f t="shared" si="10"/>
        <v>187434.49032791494</v>
      </c>
      <c r="K24" s="223">
        <f t="shared" si="11"/>
        <v>193329.9110877974</v>
      </c>
      <c r="L24" s="223">
        <f t="shared" si="12"/>
        <v>184878.78246205993</v>
      </c>
      <c r="M24" s="223">
        <f t="shared" si="13"/>
        <v>188792.4422035043</v>
      </c>
      <c r="N24" s="223">
        <f t="shared" si="14"/>
        <v>198465.72751727197</v>
      </c>
      <c r="O24" s="223">
        <f t="shared" si="15"/>
        <v>196876.1201107846</v>
      </c>
      <c r="Q24" s="222">
        <v>0.11708285683604699</v>
      </c>
      <c r="R24" s="222">
        <v>7.9634547276029893E-2</v>
      </c>
      <c r="S24" s="222">
        <v>8.1062300016989206E-2</v>
      </c>
      <c r="T24" s="222">
        <v>7.99430096228122E-2</v>
      </c>
      <c r="U24" s="222">
        <v>7.9683580308032895E-2</v>
      </c>
      <c r="V24" s="222">
        <v>7.9495471767075998E-2</v>
      </c>
      <c r="W24" s="222">
        <v>7.8753735719321899E-2</v>
      </c>
      <c r="X24" s="222">
        <v>8.1230795345144893E-2</v>
      </c>
      <c r="Y24" s="222">
        <v>7.7679912318456806E-2</v>
      </c>
      <c r="Z24" s="222">
        <v>7.9324301909902001E-2</v>
      </c>
      <c r="AA24" s="222">
        <v>8.3388694508112093E-2</v>
      </c>
      <c r="AB24" s="222">
        <v>8.2720794372075399E-2</v>
      </c>
      <c r="AD24" s="712">
        <v>2310687</v>
      </c>
      <c r="AE24" s="712">
        <v>2572893</v>
      </c>
      <c r="AF24" s="712">
        <f t="shared" si="2"/>
        <v>262206</v>
      </c>
      <c r="AG24" s="712">
        <v>2380007.61</v>
      </c>
    </row>
    <row r="25" spans="1:33" x14ac:dyDescent="0.2">
      <c r="A25" s="221">
        <v>20</v>
      </c>
      <c r="B25" s="222" t="s">
        <v>87</v>
      </c>
      <c r="C25" s="223">
        <v>2245628.66</v>
      </c>
      <c r="D25" s="223">
        <f t="shared" si="4"/>
        <v>187867.36409896635</v>
      </c>
      <c r="E25" s="223">
        <f t="shared" si="5"/>
        <v>190455.96022847318</v>
      </c>
      <c r="F25" s="223">
        <f t="shared" si="6"/>
        <v>183563.29258363435</v>
      </c>
      <c r="G25" s="223">
        <f t="shared" si="7"/>
        <v>178658.93555537704</v>
      </c>
      <c r="H25" s="223">
        <f t="shared" si="8"/>
        <v>185260.73266855706</v>
      </c>
      <c r="I25" s="223">
        <f t="shared" si="9"/>
        <v>184759.98784350482</v>
      </c>
      <c r="J25" s="223">
        <f t="shared" si="10"/>
        <v>194573.31333446348</v>
      </c>
      <c r="K25" s="223">
        <f t="shared" si="11"/>
        <v>190458.08202857946</v>
      </c>
      <c r="L25" s="223">
        <f t="shared" si="12"/>
        <v>191907.27150108194</v>
      </c>
      <c r="M25" s="223">
        <f t="shared" si="13"/>
        <v>187104.57696080414</v>
      </c>
      <c r="N25" s="223">
        <f t="shared" si="14"/>
        <v>185133.91974887936</v>
      </c>
      <c r="O25" s="223">
        <f t="shared" si="15"/>
        <v>185885.22344767893</v>
      </c>
      <c r="Q25" s="222">
        <v>8.3659140732095197E-2</v>
      </c>
      <c r="R25" s="222">
        <v>8.4811867438703406E-2</v>
      </c>
      <c r="S25" s="222">
        <v>8.1742496367869802E-2</v>
      </c>
      <c r="T25" s="222">
        <v>7.9558539102086906E-2</v>
      </c>
      <c r="U25" s="222">
        <v>8.2498382732858894E-2</v>
      </c>
      <c r="V25" s="222">
        <v>8.2275396255187094E-2</v>
      </c>
      <c r="W25" s="222">
        <v>8.6645364302779901E-2</v>
      </c>
      <c r="X25" s="222">
        <v>8.4812812296659698E-2</v>
      </c>
      <c r="Y25" s="222">
        <v>8.5458150280769002E-2</v>
      </c>
      <c r="Z25" s="222">
        <v>8.3319464296828197E-2</v>
      </c>
      <c r="AA25" s="222">
        <v>8.2441911722341193E-2</v>
      </c>
      <c r="AB25" s="222">
        <v>8.2776474471820696E-2</v>
      </c>
      <c r="AD25" s="712">
        <v>2180222</v>
      </c>
      <c r="AE25" s="712">
        <v>2466100</v>
      </c>
      <c r="AF25" s="712">
        <f t="shared" si="2"/>
        <v>285878</v>
      </c>
      <c r="AG25" s="712">
        <v>2245628.66</v>
      </c>
    </row>
    <row r="26" spans="1:33" x14ac:dyDescent="0.2">
      <c r="A26" s="221">
        <v>21</v>
      </c>
      <c r="B26" s="222" t="s">
        <v>88</v>
      </c>
      <c r="C26" s="223">
        <v>1186597.08</v>
      </c>
      <c r="D26" s="223">
        <f t="shared" si="4"/>
        <v>98883.089999999967</v>
      </c>
      <c r="E26" s="223">
        <f t="shared" si="5"/>
        <v>98883.089999999967</v>
      </c>
      <c r="F26" s="223">
        <f t="shared" si="6"/>
        <v>98883.089999999967</v>
      </c>
      <c r="G26" s="223">
        <f t="shared" si="7"/>
        <v>98883.089999999967</v>
      </c>
      <c r="H26" s="223">
        <f t="shared" si="8"/>
        <v>98883.089999999967</v>
      </c>
      <c r="I26" s="223">
        <f t="shared" si="9"/>
        <v>98883.089999999967</v>
      </c>
      <c r="J26" s="223">
        <f t="shared" si="10"/>
        <v>98883.089999999967</v>
      </c>
      <c r="K26" s="223">
        <f t="shared" si="11"/>
        <v>98883.089999999967</v>
      </c>
      <c r="L26" s="223">
        <f t="shared" si="12"/>
        <v>98883.089999999967</v>
      </c>
      <c r="M26" s="223">
        <f t="shared" si="13"/>
        <v>98883.089999999967</v>
      </c>
      <c r="N26" s="223">
        <f t="shared" si="14"/>
        <v>98883.089999999967</v>
      </c>
      <c r="O26" s="223">
        <f t="shared" si="15"/>
        <v>98883.089999999967</v>
      </c>
      <c r="Q26" s="222">
        <v>8.3333333333333301E-2</v>
      </c>
      <c r="R26" s="222">
        <v>8.3333333333333301E-2</v>
      </c>
      <c r="S26" s="222">
        <v>8.3333333333333301E-2</v>
      </c>
      <c r="T26" s="222">
        <v>8.3333333333333301E-2</v>
      </c>
      <c r="U26" s="222">
        <v>8.3333333333333301E-2</v>
      </c>
      <c r="V26" s="222">
        <v>8.3333333333333301E-2</v>
      </c>
      <c r="W26" s="222">
        <v>8.3333333333333301E-2</v>
      </c>
      <c r="X26" s="222">
        <v>8.3333333333333301E-2</v>
      </c>
      <c r="Y26" s="222">
        <v>8.3333333333333301E-2</v>
      </c>
      <c r="Z26" s="222">
        <v>8.3333333333333301E-2</v>
      </c>
      <c r="AA26" s="222">
        <v>8.3333333333333301E-2</v>
      </c>
      <c r="AB26" s="222">
        <v>8.3333333333333301E-2</v>
      </c>
      <c r="AD26" s="712">
        <v>1152036</v>
      </c>
      <c r="AE26" s="712">
        <v>2231356</v>
      </c>
      <c r="AF26" s="712">
        <f t="shared" si="2"/>
        <v>1079320</v>
      </c>
      <c r="AG26" s="712">
        <v>1186597.08</v>
      </c>
    </row>
    <row r="27" spans="1:33" x14ac:dyDescent="0.2">
      <c r="A27" s="221">
        <v>22</v>
      </c>
      <c r="B27" s="222" t="s">
        <v>91</v>
      </c>
      <c r="C27" s="223">
        <v>3309872.04</v>
      </c>
      <c r="D27" s="223">
        <f t="shared" si="4"/>
        <v>275822.66999999987</v>
      </c>
      <c r="E27" s="223">
        <f t="shared" si="5"/>
        <v>275822.66999999987</v>
      </c>
      <c r="F27" s="223">
        <f t="shared" si="6"/>
        <v>275822.66999999987</v>
      </c>
      <c r="G27" s="223">
        <f t="shared" si="7"/>
        <v>275822.66999999987</v>
      </c>
      <c r="H27" s="223">
        <f t="shared" si="8"/>
        <v>275822.66999999987</v>
      </c>
      <c r="I27" s="223">
        <f t="shared" si="9"/>
        <v>275822.66999999987</v>
      </c>
      <c r="J27" s="223">
        <f t="shared" si="10"/>
        <v>275822.66999999987</v>
      </c>
      <c r="K27" s="223">
        <f t="shared" si="11"/>
        <v>275822.66999999987</v>
      </c>
      <c r="L27" s="223">
        <f t="shared" si="12"/>
        <v>275822.66999999987</v>
      </c>
      <c r="M27" s="223">
        <f t="shared" si="13"/>
        <v>275822.66999999987</v>
      </c>
      <c r="N27" s="223">
        <f t="shared" si="14"/>
        <v>275822.66999999987</v>
      </c>
      <c r="O27" s="223">
        <f t="shared" si="15"/>
        <v>275822.66999999987</v>
      </c>
      <c r="Q27" s="222">
        <v>8.3333333333333301E-2</v>
      </c>
      <c r="R27" s="222">
        <v>8.3333333333333301E-2</v>
      </c>
      <c r="S27" s="222">
        <v>8.3333333333333301E-2</v>
      </c>
      <c r="T27" s="222">
        <v>8.3333333333333301E-2</v>
      </c>
      <c r="U27" s="222">
        <v>8.3333333333333301E-2</v>
      </c>
      <c r="V27" s="222">
        <v>8.3333333333333301E-2</v>
      </c>
      <c r="W27" s="222">
        <v>8.3333333333333301E-2</v>
      </c>
      <c r="X27" s="222">
        <v>8.3333333333333301E-2</v>
      </c>
      <c r="Y27" s="222">
        <v>8.3333333333333301E-2</v>
      </c>
      <c r="Z27" s="222">
        <v>8.3333333333333301E-2</v>
      </c>
      <c r="AA27" s="222">
        <v>8.3333333333333301E-2</v>
      </c>
      <c r="AB27" s="222">
        <v>8.3333333333333301E-2</v>
      </c>
      <c r="AD27" s="712">
        <v>3213468</v>
      </c>
      <c r="AE27" s="712">
        <v>2108724</v>
      </c>
      <c r="AF27" s="712">
        <f t="shared" si="2"/>
        <v>-1104744</v>
      </c>
      <c r="AG27" s="712">
        <v>3309872.04</v>
      </c>
    </row>
    <row r="28" spans="1:33" x14ac:dyDescent="0.2">
      <c r="A28" s="221">
        <v>23</v>
      </c>
      <c r="B28" s="222" t="s">
        <v>60</v>
      </c>
      <c r="C28" s="223">
        <v>3170302.92</v>
      </c>
      <c r="D28" s="223">
        <f t="shared" si="4"/>
        <v>264191.90999999992</v>
      </c>
      <c r="E28" s="223">
        <f t="shared" si="5"/>
        <v>264191.90999999992</v>
      </c>
      <c r="F28" s="223">
        <f t="shared" si="6"/>
        <v>264191.90999999992</v>
      </c>
      <c r="G28" s="223">
        <f t="shared" si="7"/>
        <v>264191.90999999992</v>
      </c>
      <c r="H28" s="223">
        <f t="shared" si="8"/>
        <v>264191.90999999992</v>
      </c>
      <c r="I28" s="223">
        <f t="shared" si="9"/>
        <v>264191.90999999992</v>
      </c>
      <c r="J28" s="223">
        <f t="shared" si="10"/>
        <v>264191.90999999992</v>
      </c>
      <c r="K28" s="223">
        <f t="shared" si="11"/>
        <v>264191.90999999992</v>
      </c>
      <c r="L28" s="223">
        <f t="shared" si="12"/>
        <v>264191.90999999992</v>
      </c>
      <c r="M28" s="223">
        <f t="shared" si="13"/>
        <v>264191.90999999992</v>
      </c>
      <c r="N28" s="223">
        <f t="shared" si="14"/>
        <v>264191.90999999992</v>
      </c>
      <c r="O28" s="223">
        <f t="shared" si="15"/>
        <v>264191.90999999992</v>
      </c>
      <c r="Q28" s="222">
        <v>8.3333333333333301E-2</v>
      </c>
      <c r="R28" s="222">
        <v>8.3333333333333301E-2</v>
      </c>
      <c r="S28" s="222">
        <v>8.3333333333333301E-2</v>
      </c>
      <c r="T28" s="222">
        <v>8.3333333333333301E-2</v>
      </c>
      <c r="U28" s="222">
        <v>8.3333333333333301E-2</v>
      </c>
      <c r="V28" s="222">
        <v>8.3333333333333301E-2</v>
      </c>
      <c r="W28" s="222">
        <v>8.3333333333333301E-2</v>
      </c>
      <c r="X28" s="222">
        <v>8.3333333333333301E-2</v>
      </c>
      <c r="Y28" s="222">
        <v>8.3333333333333301E-2</v>
      </c>
      <c r="Z28" s="222">
        <v>8.3333333333333301E-2</v>
      </c>
      <c r="AA28" s="222">
        <v>8.3333333333333301E-2</v>
      </c>
      <c r="AB28" s="222">
        <v>8.3333333333333301E-2</v>
      </c>
      <c r="AD28" s="712">
        <v>3077964</v>
      </c>
      <c r="AE28" s="712">
        <v>3178113</v>
      </c>
      <c r="AF28" s="712">
        <f t="shared" si="2"/>
        <v>100149</v>
      </c>
      <c r="AG28" s="712">
        <v>3170302.92</v>
      </c>
    </row>
    <row r="29" spans="1:33" x14ac:dyDescent="0.2">
      <c r="A29" s="221">
        <v>24</v>
      </c>
      <c r="B29" s="222" t="s">
        <v>95</v>
      </c>
      <c r="C29" s="223">
        <v>1069988.72</v>
      </c>
      <c r="D29" s="223">
        <f t="shared" si="4"/>
        <v>89165.726666666626</v>
      </c>
      <c r="E29" s="223">
        <f t="shared" si="5"/>
        <v>89165.726666666626</v>
      </c>
      <c r="F29" s="223">
        <f t="shared" si="6"/>
        <v>89165.726666666626</v>
      </c>
      <c r="G29" s="223">
        <f t="shared" si="7"/>
        <v>89165.726666666626</v>
      </c>
      <c r="H29" s="223">
        <f t="shared" si="8"/>
        <v>89165.726666666626</v>
      </c>
      <c r="I29" s="223">
        <f t="shared" si="9"/>
        <v>89165.726666666626</v>
      </c>
      <c r="J29" s="223">
        <f t="shared" si="10"/>
        <v>89165.726666666626</v>
      </c>
      <c r="K29" s="223">
        <f t="shared" si="11"/>
        <v>89165.726666666626</v>
      </c>
      <c r="L29" s="223">
        <f t="shared" si="12"/>
        <v>89165.726666666626</v>
      </c>
      <c r="M29" s="223">
        <f t="shared" si="13"/>
        <v>89165.726666666626</v>
      </c>
      <c r="N29" s="223">
        <f t="shared" si="14"/>
        <v>89165.726666666626</v>
      </c>
      <c r="O29" s="223">
        <f t="shared" si="15"/>
        <v>89165.726666666626</v>
      </c>
      <c r="Q29" s="222">
        <v>8.3333333333333301E-2</v>
      </c>
      <c r="R29" s="222">
        <v>8.3333333333333301E-2</v>
      </c>
      <c r="S29" s="222">
        <v>8.3333333333333301E-2</v>
      </c>
      <c r="T29" s="222">
        <v>8.3333333333333301E-2</v>
      </c>
      <c r="U29" s="222">
        <v>8.3333333333333301E-2</v>
      </c>
      <c r="V29" s="222">
        <v>8.3333333333333301E-2</v>
      </c>
      <c r="W29" s="222">
        <v>8.3333333333333301E-2</v>
      </c>
      <c r="X29" s="222">
        <v>8.3333333333333301E-2</v>
      </c>
      <c r="Y29" s="222">
        <v>8.3333333333333301E-2</v>
      </c>
      <c r="Z29" s="222">
        <v>8.3333333333333301E-2</v>
      </c>
      <c r="AA29" s="222">
        <v>8.3333333333333301E-2</v>
      </c>
      <c r="AB29" s="222">
        <v>8.3333333333333301E-2</v>
      </c>
      <c r="AD29" s="712">
        <v>1038824</v>
      </c>
      <c r="AE29" s="712">
        <v>0</v>
      </c>
      <c r="AF29" s="712">
        <f t="shared" si="2"/>
        <v>-1038824</v>
      </c>
      <c r="AG29" s="712">
        <v>1069988.72</v>
      </c>
    </row>
    <row r="30" spans="1:33" x14ac:dyDescent="0.2">
      <c r="A30" s="221">
        <v>25</v>
      </c>
      <c r="B30" s="222" t="s">
        <v>97</v>
      </c>
      <c r="C30" s="223">
        <v>3931194.82</v>
      </c>
      <c r="D30" s="223">
        <f t="shared" si="4"/>
        <v>305233.22282251413</v>
      </c>
      <c r="E30" s="223">
        <f t="shared" si="5"/>
        <v>299451.83409491566</v>
      </c>
      <c r="F30" s="223">
        <f t="shared" si="6"/>
        <v>325677.68832297862</v>
      </c>
      <c r="G30" s="223">
        <f t="shared" si="7"/>
        <v>328479.2877063863</v>
      </c>
      <c r="H30" s="223">
        <f t="shared" si="8"/>
        <v>308415.92212204752</v>
      </c>
      <c r="I30" s="223">
        <f t="shared" si="9"/>
        <v>312306.23126584548</v>
      </c>
      <c r="J30" s="223">
        <f t="shared" si="10"/>
        <v>296176.43481578404</v>
      </c>
      <c r="K30" s="223">
        <f t="shared" si="11"/>
        <v>312306.23126584548</v>
      </c>
      <c r="L30" s="223">
        <f t="shared" si="12"/>
        <v>273318.67984645045</v>
      </c>
      <c r="M30" s="223">
        <f t="shared" si="13"/>
        <v>303851.99312650319</v>
      </c>
      <c r="N30" s="223">
        <f t="shared" si="14"/>
        <v>293154.41548088769</v>
      </c>
      <c r="O30" s="223">
        <f t="shared" si="15"/>
        <v>572822.87912984192</v>
      </c>
      <c r="Q30" s="222">
        <v>7.7643881007788407E-2</v>
      </c>
      <c r="R30" s="222">
        <v>7.6173236841748704E-2</v>
      </c>
      <c r="S30" s="222">
        <v>8.2844453972641993E-2</v>
      </c>
      <c r="T30" s="222">
        <v>8.3557112467498196E-2</v>
      </c>
      <c r="U30" s="222">
        <v>7.8453482018489104E-2</v>
      </c>
      <c r="V30" s="222">
        <v>7.9443081700500795E-2</v>
      </c>
      <c r="W30" s="222">
        <v>7.5340055219085794E-2</v>
      </c>
      <c r="X30" s="222">
        <v>7.9443081700500795E-2</v>
      </c>
      <c r="Y30" s="222">
        <v>6.9525600322817502E-2</v>
      </c>
      <c r="Z30" s="222">
        <v>7.7292529889552306E-2</v>
      </c>
      <c r="AA30" s="222">
        <v>7.4571327269119594E-2</v>
      </c>
      <c r="AB30" s="222">
        <v>0.14571215759025699</v>
      </c>
      <c r="AD30" s="712">
        <v>3816694</v>
      </c>
      <c r="AE30" s="712">
        <v>2412973</v>
      </c>
      <c r="AF30" s="712">
        <f t="shared" si="2"/>
        <v>-1403721</v>
      </c>
      <c r="AG30" s="712">
        <v>3931194.82</v>
      </c>
    </row>
    <row r="31" spans="1:33" x14ac:dyDescent="0.2">
      <c r="A31" s="221">
        <v>26</v>
      </c>
      <c r="B31" s="222" t="s">
        <v>345</v>
      </c>
      <c r="C31" s="223">
        <v>961641.99</v>
      </c>
      <c r="D31" s="223">
        <f t="shared" si="4"/>
        <v>82334.309562596478</v>
      </c>
      <c r="E31" s="223">
        <f t="shared" si="5"/>
        <v>79334.085005295463</v>
      </c>
      <c r="F31" s="223">
        <f t="shared" si="6"/>
        <v>77394.76022073171</v>
      </c>
      <c r="G31" s="223">
        <f t="shared" si="7"/>
        <v>79355.303000750195</v>
      </c>
      <c r="H31" s="223">
        <f t="shared" si="8"/>
        <v>79567.482955297615</v>
      </c>
      <c r="I31" s="223">
        <f t="shared" si="9"/>
        <v>78506.583182560367</v>
      </c>
      <c r="J31" s="223">
        <f t="shared" si="10"/>
        <v>80097.932841666276</v>
      </c>
      <c r="K31" s="223">
        <f t="shared" si="11"/>
        <v>82750.182273509505</v>
      </c>
      <c r="L31" s="223">
        <f t="shared" si="12"/>
        <v>83386.722137151926</v>
      </c>
      <c r="M31" s="223">
        <f t="shared" si="13"/>
        <v>79673.572932571362</v>
      </c>
      <c r="N31" s="223">
        <f t="shared" si="14"/>
        <v>80204.022818940037</v>
      </c>
      <c r="O31" s="223">
        <f t="shared" si="15"/>
        <v>79037.033068929042</v>
      </c>
      <c r="Q31" s="222">
        <v>8.5618463439389197E-2</v>
      </c>
      <c r="R31" s="222">
        <v>8.2498565817925099E-2</v>
      </c>
      <c r="S31" s="222">
        <v>8.0481885177176707E-2</v>
      </c>
      <c r="T31" s="222">
        <v>8.2520630157539396E-2</v>
      </c>
      <c r="U31" s="222">
        <v>8.2741273553682507E-2</v>
      </c>
      <c r="V31" s="222">
        <v>8.16380565729668E-2</v>
      </c>
      <c r="W31" s="222">
        <v>8.3292882044040395E-2</v>
      </c>
      <c r="X31" s="222">
        <v>8.6050924495829795E-2</v>
      </c>
      <c r="Y31" s="222">
        <v>8.6712854684259294E-2</v>
      </c>
      <c r="Z31" s="222">
        <v>8.2851595251754104E-2</v>
      </c>
      <c r="AA31" s="222">
        <v>8.3403203742112006E-2</v>
      </c>
      <c r="AB31" s="222">
        <v>8.2189665063324702E-2</v>
      </c>
      <c r="AD31" s="712">
        <v>933633</v>
      </c>
      <c r="AE31" s="712">
        <v>279495</v>
      </c>
      <c r="AF31" s="712">
        <f t="shared" si="2"/>
        <v>-654138</v>
      </c>
      <c r="AG31" s="712">
        <v>961641.99</v>
      </c>
    </row>
    <row r="32" spans="1:33" x14ac:dyDescent="0.2">
      <c r="A32" s="221">
        <v>27</v>
      </c>
      <c r="B32" s="222" t="s">
        <v>71</v>
      </c>
      <c r="C32" s="223">
        <v>623888.51</v>
      </c>
      <c r="D32" s="223">
        <f t="shared" si="4"/>
        <v>49824.14249169916</v>
      </c>
      <c r="E32" s="223">
        <f t="shared" si="5"/>
        <v>44499.481662854982</v>
      </c>
      <c r="F32" s="223">
        <f t="shared" si="6"/>
        <v>47635.504259002329</v>
      </c>
      <c r="G32" s="223">
        <f t="shared" si="7"/>
        <v>51743.311935687889</v>
      </c>
      <c r="H32" s="223">
        <f t="shared" si="8"/>
        <v>49889.91833776181</v>
      </c>
      <c r="I32" s="223">
        <f t="shared" si="9"/>
        <v>45308.948929722494</v>
      </c>
      <c r="J32" s="223">
        <f t="shared" si="10"/>
        <v>54725.503924108045</v>
      </c>
      <c r="K32" s="223">
        <f t="shared" si="11"/>
        <v>56014.498326787041</v>
      </c>
      <c r="L32" s="223">
        <f t="shared" si="12"/>
        <v>54476.192249515865</v>
      </c>
      <c r="M32" s="223">
        <f t="shared" si="13"/>
        <v>56276.540810294588</v>
      </c>
      <c r="N32" s="223">
        <f t="shared" si="14"/>
        <v>55927.504465865473</v>
      </c>
      <c r="O32" s="223">
        <f t="shared" si="15"/>
        <v>57566.962606700465</v>
      </c>
      <c r="Q32" s="222">
        <v>7.9860650890491894E-2</v>
      </c>
      <c r="R32" s="222">
        <v>7.1326015705682699E-2</v>
      </c>
      <c r="S32" s="222">
        <v>7.6352591040668993E-2</v>
      </c>
      <c r="T32" s="222">
        <v>8.2936792562004202E-2</v>
      </c>
      <c r="U32" s="222">
        <v>7.9966079737166199E-2</v>
      </c>
      <c r="V32" s="222">
        <v>7.2623470705883805E-2</v>
      </c>
      <c r="W32" s="222">
        <v>8.7716800432994096E-2</v>
      </c>
      <c r="X32" s="222">
        <v>8.9782865734756107E-2</v>
      </c>
      <c r="Y32" s="222">
        <v>8.7317191094793301E-2</v>
      </c>
      <c r="Z32" s="222">
        <v>9.0202880656184203E-2</v>
      </c>
      <c r="AA32" s="222">
        <v>8.9643427582702995E-2</v>
      </c>
      <c r="AB32" s="222">
        <v>9.22712338566717E-2</v>
      </c>
      <c r="AD32" s="712">
        <v>605717</v>
      </c>
      <c r="AE32" s="712">
        <v>587988</v>
      </c>
      <c r="AF32" s="712">
        <f t="shared" si="2"/>
        <v>-17729</v>
      </c>
      <c r="AG32" s="712">
        <v>623888.51</v>
      </c>
    </row>
    <row r="33" spans="1:33" x14ac:dyDescent="0.2">
      <c r="A33" s="221">
        <v>28</v>
      </c>
      <c r="B33" s="222" t="s">
        <v>72</v>
      </c>
      <c r="C33" s="223">
        <v>993115.7</v>
      </c>
      <c r="D33" s="223">
        <f t="shared" si="4"/>
        <v>82759.641666666634</v>
      </c>
      <c r="E33" s="223">
        <f t="shared" si="5"/>
        <v>82759.641666666634</v>
      </c>
      <c r="F33" s="223">
        <f t="shared" si="6"/>
        <v>82759.641666666634</v>
      </c>
      <c r="G33" s="223">
        <f t="shared" si="7"/>
        <v>82759.641666666634</v>
      </c>
      <c r="H33" s="223">
        <f t="shared" si="8"/>
        <v>82759.641666666634</v>
      </c>
      <c r="I33" s="223">
        <f t="shared" si="9"/>
        <v>82759.641666666634</v>
      </c>
      <c r="J33" s="223">
        <f t="shared" si="10"/>
        <v>82759.641666666634</v>
      </c>
      <c r="K33" s="223">
        <f t="shared" si="11"/>
        <v>82759.641666666634</v>
      </c>
      <c r="L33" s="223">
        <f t="shared" si="12"/>
        <v>82759.641666666634</v>
      </c>
      <c r="M33" s="223">
        <f t="shared" si="13"/>
        <v>82759.641666666634</v>
      </c>
      <c r="N33" s="223">
        <f t="shared" si="14"/>
        <v>82759.641666666634</v>
      </c>
      <c r="O33" s="223">
        <f t="shared" si="15"/>
        <v>82759.641666666634</v>
      </c>
      <c r="Q33" s="222">
        <v>8.3333333333333301E-2</v>
      </c>
      <c r="R33" s="222">
        <v>8.3333333333333301E-2</v>
      </c>
      <c r="S33" s="222">
        <v>8.3333333333333301E-2</v>
      </c>
      <c r="T33" s="222">
        <v>8.3333333333333301E-2</v>
      </c>
      <c r="U33" s="222">
        <v>8.3333333333333301E-2</v>
      </c>
      <c r="V33" s="222">
        <v>8.3333333333333301E-2</v>
      </c>
      <c r="W33" s="222">
        <v>8.3333333333333301E-2</v>
      </c>
      <c r="X33" s="222">
        <v>8.3333333333333301E-2</v>
      </c>
      <c r="Y33" s="222">
        <v>8.3333333333333301E-2</v>
      </c>
      <c r="Z33" s="222">
        <v>8.3333333333333301E-2</v>
      </c>
      <c r="AA33" s="222">
        <v>8.3333333333333301E-2</v>
      </c>
      <c r="AB33" s="222">
        <v>8.3333333333333301E-2</v>
      </c>
      <c r="AD33" s="712">
        <v>964190</v>
      </c>
      <c r="AE33" s="712">
        <v>783673</v>
      </c>
      <c r="AF33" s="712">
        <f t="shared" si="2"/>
        <v>-180517</v>
      </c>
      <c r="AG33" s="712">
        <v>993115.7</v>
      </c>
    </row>
    <row r="34" spans="1:33" x14ac:dyDescent="0.2">
      <c r="A34" s="221">
        <v>29</v>
      </c>
      <c r="B34" s="222" t="s">
        <v>61</v>
      </c>
      <c r="C34" s="223">
        <v>162280.62</v>
      </c>
      <c r="D34" s="223">
        <f t="shared" si="4"/>
        <v>13523.384999999995</v>
      </c>
      <c r="E34" s="223">
        <f t="shared" si="5"/>
        <v>13523.384999999995</v>
      </c>
      <c r="F34" s="223">
        <f t="shared" si="6"/>
        <v>13523.384999999995</v>
      </c>
      <c r="G34" s="223">
        <f t="shared" si="7"/>
        <v>13523.384999999995</v>
      </c>
      <c r="H34" s="223">
        <f t="shared" si="8"/>
        <v>13523.384999999995</v>
      </c>
      <c r="I34" s="223">
        <f t="shared" si="9"/>
        <v>13523.384999999995</v>
      </c>
      <c r="J34" s="223">
        <f t="shared" si="10"/>
        <v>13523.384999999995</v>
      </c>
      <c r="K34" s="223">
        <f t="shared" si="11"/>
        <v>13523.384999999995</v>
      </c>
      <c r="L34" s="223">
        <f t="shared" si="12"/>
        <v>13523.384999999995</v>
      </c>
      <c r="M34" s="223">
        <f t="shared" si="13"/>
        <v>13523.384999999995</v>
      </c>
      <c r="N34" s="223">
        <f t="shared" si="14"/>
        <v>13523.384999999995</v>
      </c>
      <c r="O34" s="223">
        <f t="shared" si="15"/>
        <v>13523.384999999995</v>
      </c>
      <c r="Q34" s="222">
        <v>8.3333333333333301E-2</v>
      </c>
      <c r="R34" s="222">
        <v>8.3333333333333301E-2</v>
      </c>
      <c r="S34" s="222">
        <v>8.3333333333333301E-2</v>
      </c>
      <c r="T34" s="222">
        <v>8.3333333333333301E-2</v>
      </c>
      <c r="U34" s="222">
        <v>8.3333333333333301E-2</v>
      </c>
      <c r="V34" s="222">
        <v>8.3333333333333301E-2</v>
      </c>
      <c r="W34" s="222">
        <v>8.3333333333333301E-2</v>
      </c>
      <c r="X34" s="222">
        <v>8.3333333333333301E-2</v>
      </c>
      <c r="Y34" s="222">
        <v>8.3333333333333301E-2</v>
      </c>
      <c r="Z34" s="222">
        <v>8.3333333333333301E-2</v>
      </c>
      <c r="AA34" s="222">
        <v>8.3333333333333301E-2</v>
      </c>
      <c r="AB34" s="222">
        <v>8.3333333333333301E-2</v>
      </c>
      <c r="AD34" s="712">
        <v>157554</v>
      </c>
      <c r="AE34" s="712">
        <v>0</v>
      </c>
      <c r="AF34" s="712">
        <f t="shared" si="2"/>
        <v>-157554</v>
      </c>
      <c r="AG34" s="712">
        <v>162280.62</v>
      </c>
    </row>
    <row r="35" spans="1:33" x14ac:dyDescent="0.2">
      <c r="A35" s="221">
        <v>30</v>
      </c>
      <c r="B35" s="222" t="s">
        <v>104</v>
      </c>
      <c r="C35" s="223">
        <v>1209153.05</v>
      </c>
      <c r="D35" s="223">
        <f t="shared" si="4"/>
        <v>88615.952168703225</v>
      </c>
      <c r="E35" s="223">
        <f t="shared" si="5"/>
        <v>93996.839158846298</v>
      </c>
      <c r="F35" s="223">
        <f t="shared" si="6"/>
        <v>105018.53374492607</v>
      </c>
      <c r="G35" s="223">
        <f t="shared" si="7"/>
        <v>99439.258374034471</v>
      </c>
      <c r="H35" s="223">
        <f t="shared" si="8"/>
        <v>100314.50123027817</v>
      </c>
      <c r="I35" s="223">
        <f t="shared" si="9"/>
        <v>101128.21186147678</v>
      </c>
      <c r="J35" s="223">
        <f t="shared" si="10"/>
        <v>110858.79062204315</v>
      </c>
      <c r="K35" s="223">
        <f t="shared" si="11"/>
        <v>101173.83058004467</v>
      </c>
      <c r="L35" s="223">
        <f t="shared" si="12"/>
        <v>99311.950322217235</v>
      </c>
      <c r="M35" s="223">
        <f t="shared" si="13"/>
        <v>98928.965266333544</v>
      </c>
      <c r="N35" s="223">
        <f t="shared" si="14"/>
        <v>104741.07291865999</v>
      </c>
      <c r="O35" s="223">
        <f t="shared" si="15"/>
        <v>105625.1437524362</v>
      </c>
      <c r="Q35" s="222">
        <v>7.3287622413641701E-2</v>
      </c>
      <c r="R35" s="222">
        <v>7.7737751361456095E-2</v>
      </c>
      <c r="S35" s="222">
        <v>8.6852970138830698E-2</v>
      </c>
      <c r="T35" s="222">
        <v>8.2238769007806301E-2</v>
      </c>
      <c r="U35" s="222">
        <v>8.2962616874909398E-2</v>
      </c>
      <c r="V35" s="222">
        <v>8.3635576043476698E-2</v>
      </c>
      <c r="W35" s="222">
        <v>9.1683009542954996E-2</v>
      </c>
      <c r="X35" s="222">
        <v>8.3673303871701493E-2</v>
      </c>
      <c r="Y35" s="222">
        <v>8.2133482045318604E-2</v>
      </c>
      <c r="Z35" s="222">
        <v>8.1816743766501304E-2</v>
      </c>
      <c r="AA35" s="222">
        <v>8.6623503053364498E-2</v>
      </c>
      <c r="AB35" s="222">
        <v>8.7354651880038006E-2</v>
      </c>
      <c r="AD35" s="712">
        <v>1173935</v>
      </c>
      <c r="AE35" s="712">
        <v>1592401</v>
      </c>
      <c r="AF35" s="712">
        <f t="shared" si="2"/>
        <v>418466</v>
      </c>
      <c r="AG35" s="712">
        <v>1209153.05</v>
      </c>
    </row>
    <row r="36" spans="1:33" x14ac:dyDescent="0.2">
      <c r="A36" s="221">
        <v>31</v>
      </c>
      <c r="B36" s="222" t="s">
        <v>48</v>
      </c>
      <c r="C36" s="223">
        <v>3187561.2366909115</v>
      </c>
      <c r="D36" s="223">
        <f t="shared" si="4"/>
        <v>313390.92090000038</v>
      </c>
      <c r="E36" s="223">
        <f t="shared" si="5"/>
        <v>237976.84440000012</v>
      </c>
      <c r="F36" s="223">
        <f t="shared" si="6"/>
        <v>252207.75700000022</v>
      </c>
      <c r="G36" s="223">
        <f t="shared" si="7"/>
        <v>256263.57770000008</v>
      </c>
      <c r="H36" s="223">
        <f t="shared" si="8"/>
        <v>254299.85180000035</v>
      </c>
      <c r="I36" s="223">
        <f t="shared" si="9"/>
        <v>256329.35350000023</v>
      </c>
      <c r="J36" s="223">
        <f t="shared" si="10"/>
        <v>256849.1945000003</v>
      </c>
      <c r="K36" s="223">
        <f t="shared" si="11"/>
        <v>273467.13210000028</v>
      </c>
      <c r="L36" s="223">
        <f t="shared" si="12"/>
        <v>287227.0051000003</v>
      </c>
      <c r="M36" s="223">
        <f t="shared" si="13"/>
        <v>266352.73670000018</v>
      </c>
      <c r="N36" s="223">
        <f t="shared" si="14"/>
        <v>266510.88152666728</v>
      </c>
      <c r="O36" s="223">
        <f t="shared" si="15"/>
        <v>266685.98146424245</v>
      </c>
      <c r="Q36" s="222">
        <v>9.8316831467476204E-2</v>
      </c>
      <c r="R36" s="222">
        <v>7.46579678723443E-2</v>
      </c>
      <c r="S36" s="222">
        <v>7.9122482133652597E-2</v>
      </c>
      <c r="T36" s="222">
        <v>8.03948720263752E-2</v>
      </c>
      <c r="U36" s="222">
        <v>7.9778812991211895E-2</v>
      </c>
      <c r="V36" s="222">
        <v>8.0415507175040896E-2</v>
      </c>
      <c r="W36" s="222">
        <v>8.0578591414495304E-2</v>
      </c>
      <c r="X36" s="222">
        <v>8.5791961877379794E-2</v>
      </c>
      <c r="Y36" s="222">
        <v>9.0108701848243697E-2</v>
      </c>
      <c r="Z36" s="222">
        <v>8.3560037571704104E-2</v>
      </c>
      <c r="AA36" s="222">
        <v>8.3609650681829406E-2</v>
      </c>
      <c r="AB36" s="222">
        <v>8.3664582940246798E-2</v>
      </c>
      <c r="AD36" s="712">
        <v>3094719.6472727298</v>
      </c>
      <c r="AE36" s="712">
        <v>2898038</v>
      </c>
      <c r="AF36" s="712">
        <f t="shared" si="2"/>
        <v>-196681.64727272978</v>
      </c>
      <c r="AG36" s="712">
        <v>3187561.2366909115</v>
      </c>
    </row>
    <row r="37" spans="1:33" x14ac:dyDescent="0.2">
      <c r="A37" s="221">
        <v>32</v>
      </c>
      <c r="B37" s="222" t="s">
        <v>83</v>
      </c>
      <c r="C37" s="223">
        <v>613380.44999999995</v>
      </c>
      <c r="D37" s="223">
        <f t="shared" si="4"/>
        <v>52146.445020371211</v>
      </c>
      <c r="E37" s="223">
        <f t="shared" si="5"/>
        <v>49634.232504182153</v>
      </c>
      <c r="F37" s="223">
        <f t="shared" si="6"/>
        <v>51868.489074745536</v>
      </c>
      <c r="G37" s="223">
        <f t="shared" si="7"/>
        <v>51299.846376824389</v>
      </c>
      <c r="H37" s="223">
        <f t="shared" si="8"/>
        <v>51160.86840401157</v>
      </c>
      <c r="I37" s="223">
        <f t="shared" si="9"/>
        <v>51130.314468003846</v>
      </c>
      <c r="J37" s="223">
        <f t="shared" si="10"/>
        <v>51099.760531996166</v>
      </c>
      <c r="K37" s="223">
        <f t="shared" si="11"/>
        <v>51069.206595988442</v>
      </c>
      <c r="L37" s="223">
        <f t="shared" si="12"/>
        <v>51038.652659980762</v>
      </c>
      <c r="M37" s="223">
        <f t="shared" si="13"/>
        <v>51008.098723973024</v>
      </c>
      <c r="N37" s="223">
        <f t="shared" si="14"/>
        <v>50977.5447879653</v>
      </c>
      <c r="O37" s="223">
        <f t="shared" si="15"/>
        <v>50946.99085195762</v>
      </c>
      <c r="Q37" s="222">
        <v>8.5014846854625403E-2</v>
      </c>
      <c r="R37" s="222">
        <v>8.0919162820044493E-2</v>
      </c>
      <c r="S37" s="222">
        <v>8.4561692624447904E-2</v>
      </c>
      <c r="T37" s="222">
        <v>8.3634629008512401E-2</v>
      </c>
      <c r="U37" s="222">
        <v>8.3408051893423693E-2</v>
      </c>
      <c r="V37" s="222">
        <v>8.3358239520030103E-2</v>
      </c>
      <c r="W37" s="222">
        <v>8.3308427146636596E-2</v>
      </c>
      <c r="X37" s="222">
        <v>8.3258614773243006E-2</v>
      </c>
      <c r="Y37" s="222">
        <v>8.3208802399849499E-2</v>
      </c>
      <c r="Z37" s="222">
        <v>8.3158990026455895E-2</v>
      </c>
      <c r="AA37" s="222">
        <v>8.3109177653062305E-2</v>
      </c>
      <c r="AB37" s="222">
        <v>8.3059365279668798E-2</v>
      </c>
      <c r="AD37" s="712">
        <v>595515</v>
      </c>
      <c r="AE37" s="712">
        <v>19941</v>
      </c>
      <c r="AF37" s="712">
        <f t="shared" si="2"/>
        <v>-575574</v>
      </c>
      <c r="AG37" s="712">
        <v>613380.44999999995</v>
      </c>
    </row>
    <row r="38" spans="1:33" x14ac:dyDescent="0.2">
      <c r="A38" s="221">
        <v>33</v>
      </c>
      <c r="B38" s="222" t="s">
        <v>108</v>
      </c>
      <c r="C38" s="223">
        <v>3015762.75</v>
      </c>
      <c r="D38" s="223">
        <f t="shared" si="4"/>
        <v>251313.56249999991</v>
      </c>
      <c r="E38" s="223">
        <f t="shared" si="5"/>
        <v>251313.56249999991</v>
      </c>
      <c r="F38" s="223">
        <f t="shared" si="6"/>
        <v>251313.56249999991</v>
      </c>
      <c r="G38" s="223">
        <f t="shared" si="7"/>
        <v>251313.56249999991</v>
      </c>
      <c r="H38" s="223">
        <f t="shared" si="8"/>
        <v>251313.56249999991</v>
      </c>
      <c r="I38" s="223">
        <f t="shared" si="9"/>
        <v>251313.56249999991</v>
      </c>
      <c r="J38" s="223">
        <f t="shared" si="10"/>
        <v>251313.56249999991</v>
      </c>
      <c r="K38" s="223">
        <f t="shared" si="11"/>
        <v>251313.56249999991</v>
      </c>
      <c r="L38" s="223">
        <f t="shared" si="12"/>
        <v>251313.56249999991</v>
      </c>
      <c r="M38" s="223">
        <f t="shared" si="13"/>
        <v>251313.56249999991</v>
      </c>
      <c r="N38" s="223">
        <f t="shared" si="14"/>
        <v>251313.56249999991</v>
      </c>
      <c r="O38" s="223">
        <f t="shared" si="15"/>
        <v>251313.56249999991</v>
      </c>
      <c r="Q38" s="222">
        <v>8.3333333333333301E-2</v>
      </c>
      <c r="R38" s="222">
        <v>8.3333333333333301E-2</v>
      </c>
      <c r="S38" s="222">
        <v>8.3333333333333301E-2</v>
      </c>
      <c r="T38" s="222">
        <v>8.3333333333333301E-2</v>
      </c>
      <c r="U38" s="222">
        <v>8.3333333333333301E-2</v>
      </c>
      <c r="V38" s="222">
        <v>8.3333333333333301E-2</v>
      </c>
      <c r="W38" s="222">
        <v>8.3333333333333301E-2</v>
      </c>
      <c r="X38" s="222">
        <v>8.3333333333333301E-2</v>
      </c>
      <c r="Y38" s="222">
        <v>8.3333333333333301E-2</v>
      </c>
      <c r="Z38" s="222">
        <v>8.3333333333333301E-2</v>
      </c>
      <c r="AA38" s="222">
        <v>8.3333333333333301E-2</v>
      </c>
      <c r="AB38" s="222">
        <v>8.3333333333333301E-2</v>
      </c>
      <c r="AD38" s="712">
        <v>2927925</v>
      </c>
      <c r="AE38" s="712">
        <v>0</v>
      </c>
      <c r="AF38" s="712">
        <f t="shared" si="2"/>
        <v>-2927925</v>
      </c>
      <c r="AG38" s="712">
        <v>3015762.75</v>
      </c>
    </row>
    <row r="39" spans="1:33" x14ac:dyDescent="0.2">
      <c r="A39" s="221">
        <v>34</v>
      </c>
      <c r="B39" s="222" t="s">
        <v>110</v>
      </c>
      <c r="C39" s="223">
        <v>18300852.539999999</v>
      </c>
      <c r="D39" s="223">
        <f t="shared" si="4"/>
        <v>1850049.7286945616</v>
      </c>
      <c r="E39" s="223">
        <f t="shared" si="5"/>
        <v>1466515.1884384516</v>
      </c>
      <c r="F39" s="223">
        <f t="shared" si="6"/>
        <v>1856267.7490686376</v>
      </c>
      <c r="G39" s="223">
        <f t="shared" si="7"/>
        <v>1501460.9660538351</v>
      </c>
      <c r="H39" s="223">
        <f t="shared" si="8"/>
        <v>1855009.9663522982</v>
      </c>
      <c r="I39" s="223">
        <f t="shared" si="9"/>
        <v>2804677.0809904379</v>
      </c>
      <c r="J39" s="223">
        <f t="shared" si="10"/>
        <v>108347.69006358742</v>
      </c>
      <c r="K39" s="223">
        <f t="shared" si="11"/>
        <v>914812.81212939962</v>
      </c>
      <c r="L39" s="223">
        <f t="shared" si="12"/>
        <v>305585.98831093585</v>
      </c>
      <c r="M39" s="223">
        <f t="shared" si="13"/>
        <v>1969973.5935038512</v>
      </c>
      <c r="N39" s="223">
        <f t="shared" si="14"/>
        <v>1888960.9521829409</v>
      </c>
      <c r="O39" s="223">
        <f t="shared" si="15"/>
        <v>1779190.8242110475</v>
      </c>
      <c r="Q39" s="222">
        <v>0.101090904079519</v>
      </c>
      <c r="R39" s="222">
        <v>8.0133708811275503E-2</v>
      </c>
      <c r="S39" s="222">
        <v>0.101430670784949</v>
      </c>
      <c r="T39" s="222">
        <v>8.2043225187029195E-2</v>
      </c>
      <c r="U39" s="222">
        <v>0.101361942690802</v>
      </c>
      <c r="V39" s="222">
        <v>0.15325390305507799</v>
      </c>
      <c r="W39" s="222">
        <v>5.9203629900177E-3</v>
      </c>
      <c r="X39" s="222">
        <v>4.9987442395369397E-2</v>
      </c>
      <c r="Y39" s="222">
        <v>1.66979099822273E-2</v>
      </c>
      <c r="Z39" s="222">
        <v>0.10764381545603401</v>
      </c>
      <c r="AA39" s="222">
        <v>0.103217101392094</v>
      </c>
      <c r="AB39" s="222">
        <v>9.7219013175604094E-2</v>
      </c>
      <c r="AD39" s="712">
        <v>17767818</v>
      </c>
      <c r="AE39" s="712">
        <v>9517769</v>
      </c>
      <c r="AF39" s="712">
        <f t="shared" si="2"/>
        <v>-8250049</v>
      </c>
      <c r="AG39" s="712">
        <v>18300852.539999999</v>
      </c>
    </row>
    <row r="40" spans="1:33" x14ac:dyDescent="0.2">
      <c r="A40" s="221">
        <v>35</v>
      </c>
      <c r="B40" s="222" t="s">
        <v>112</v>
      </c>
      <c r="C40" s="223">
        <v>3528930.38</v>
      </c>
      <c r="D40" s="223">
        <f t="shared" si="4"/>
        <v>257906.28799347233</v>
      </c>
      <c r="E40" s="223">
        <f t="shared" si="5"/>
        <v>318459.40946472163</v>
      </c>
      <c r="F40" s="223">
        <f t="shared" si="6"/>
        <v>286666.24183187372</v>
      </c>
      <c r="G40" s="223">
        <f t="shared" si="7"/>
        <v>291736.28522615728</v>
      </c>
      <c r="H40" s="223">
        <f t="shared" si="8"/>
        <v>290191.13868114847</v>
      </c>
      <c r="I40" s="223">
        <f t="shared" si="9"/>
        <v>286187.57686200034</v>
      </c>
      <c r="J40" s="223">
        <f t="shared" si="10"/>
        <v>329766.11694346077</v>
      </c>
      <c r="K40" s="223">
        <f t="shared" si="11"/>
        <v>298865.18882558524</v>
      </c>
      <c r="L40" s="223">
        <f t="shared" si="12"/>
        <v>290193.14146344893</v>
      </c>
      <c r="M40" s="223">
        <f t="shared" si="13"/>
        <v>280243.31899345061</v>
      </c>
      <c r="N40" s="223">
        <f t="shared" si="14"/>
        <v>298829.80633827287</v>
      </c>
      <c r="O40" s="223">
        <f t="shared" si="15"/>
        <v>299885.86737640772</v>
      </c>
      <c r="Q40" s="222">
        <v>7.3083416282491903E-2</v>
      </c>
      <c r="R40" s="222">
        <v>9.0242474396653199E-2</v>
      </c>
      <c r="S40" s="222">
        <v>8.1233181435524299E-2</v>
      </c>
      <c r="T40" s="222">
        <v>8.2669889686561998E-2</v>
      </c>
      <c r="U40" s="222">
        <v>8.2232038445923805E-2</v>
      </c>
      <c r="V40" s="222">
        <v>8.1097541193771105E-2</v>
      </c>
      <c r="W40" s="222">
        <v>9.3446478517227302E-2</v>
      </c>
      <c r="X40" s="222">
        <v>8.4690021236855706E-2</v>
      </c>
      <c r="Y40" s="222">
        <v>8.2232605978315998E-2</v>
      </c>
      <c r="Z40" s="222">
        <v>7.9413105053506503E-2</v>
      </c>
      <c r="AA40" s="222">
        <v>8.4679994831259001E-2</v>
      </c>
      <c r="AB40" s="222">
        <v>8.4979252941909195E-2</v>
      </c>
      <c r="AD40" s="712">
        <v>3426146</v>
      </c>
      <c r="AE40" s="712">
        <v>2901996</v>
      </c>
      <c r="AF40" s="712">
        <f t="shared" si="2"/>
        <v>-524150</v>
      </c>
      <c r="AG40" s="712">
        <v>3528930.38</v>
      </c>
    </row>
    <row r="41" spans="1:33" x14ac:dyDescent="0.2">
      <c r="A41" s="221">
        <v>36</v>
      </c>
      <c r="B41" s="222" t="s">
        <v>114</v>
      </c>
      <c r="C41" s="223">
        <v>1101482</v>
      </c>
      <c r="D41" s="223">
        <f t="shared" ref="D41:D72" si="16">$C41*Q41</f>
        <v>113742.37520357607</v>
      </c>
      <c r="E41" s="223">
        <f t="shared" ref="E41:E72" si="17">$C41*R41</f>
        <v>90632.769474238637</v>
      </c>
      <c r="F41" s="223">
        <f t="shared" ref="F41:F72" si="18">$C41*S41</f>
        <v>102706.88336147155</v>
      </c>
      <c r="G41" s="223">
        <f t="shared" ref="G41:G72" si="19">$C41*T41</f>
        <v>80921.282036954522</v>
      </c>
      <c r="H41" s="223">
        <f t="shared" ref="H41:H72" si="20">$C41*U41</f>
        <v>93561.917039711727</v>
      </c>
      <c r="I41" s="223">
        <f t="shared" ref="I41:I72" si="21">$C41*V41</f>
        <v>90274.983537717315</v>
      </c>
      <c r="J41" s="223">
        <f t="shared" ref="J41:J72" si="22">$C41*W41</f>
        <v>91939.658010151048</v>
      </c>
      <c r="K41" s="223">
        <f t="shared" ref="K41:K72" si="23">$C41*X41</f>
        <v>83781.510177879711</v>
      </c>
      <c r="L41" s="223">
        <f t="shared" ref="L41:L72" si="24">$C41*Y41</f>
        <v>93715.747679694919</v>
      </c>
      <c r="M41" s="223">
        <f t="shared" ref="M41:M72" si="25">$C41*Z41</f>
        <v>91150.489145354455</v>
      </c>
      <c r="N41" s="223">
        <f t="shared" ref="N41:N72" si="26">$C41*AA41</f>
        <v>85212.884810957141</v>
      </c>
      <c r="O41" s="223">
        <f t="shared" ref="O41:O72" si="27">$C41*AB41</f>
        <v>83841.49952229255</v>
      </c>
      <c r="Q41" s="222">
        <v>0.10326303580410399</v>
      </c>
      <c r="R41" s="222">
        <v>8.2282569732631705E-2</v>
      </c>
      <c r="S41" s="222">
        <v>9.3244268505042804E-2</v>
      </c>
      <c r="T41" s="222">
        <v>7.3465823351588605E-2</v>
      </c>
      <c r="U41" s="222">
        <v>8.4941848382190294E-2</v>
      </c>
      <c r="V41" s="222">
        <v>8.1957747414589902E-2</v>
      </c>
      <c r="W41" s="222">
        <v>8.3469051705022002E-2</v>
      </c>
      <c r="X41" s="222">
        <v>7.6062532277313397E-2</v>
      </c>
      <c r="Y41" s="222">
        <v>8.5081506261286993E-2</v>
      </c>
      <c r="Z41" s="222">
        <v>8.27525907326261E-2</v>
      </c>
      <c r="AA41" s="222">
        <v>7.7362031164337805E-2</v>
      </c>
      <c r="AB41" s="222">
        <v>7.6116994669266094E-2</v>
      </c>
      <c r="AD41" s="712">
        <v>1069400</v>
      </c>
      <c r="AE41" s="712">
        <v>940995</v>
      </c>
      <c r="AF41" s="712">
        <f t="shared" si="2"/>
        <v>-128405</v>
      </c>
      <c r="AG41" s="712">
        <v>1101482</v>
      </c>
    </row>
    <row r="42" spans="1:33" x14ac:dyDescent="0.2">
      <c r="A42" s="221">
        <v>37</v>
      </c>
      <c r="B42" s="222" t="s">
        <v>92</v>
      </c>
      <c r="C42" s="223">
        <v>1041014.82</v>
      </c>
      <c r="D42" s="223">
        <f t="shared" si="16"/>
        <v>81178.977649320412</v>
      </c>
      <c r="E42" s="223">
        <f t="shared" si="17"/>
        <v>81178.977649320412</v>
      </c>
      <c r="F42" s="223">
        <f t="shared" si="18"/>
        <v>86494.084721068575</v>
      </c>
      <c r="G42" s="223">
        <f t="shared" si="19"/>
        <v>81178.977649320412</v>
      </c>
      <c r="H42" s="223">
        <f t="shared" si="20"/>
        <v>105379.15876980928</v>
      </c>
      <c r="I42" s="223">
        <f t="shared" si="21"/>
        <v>82950.680006569761</v>
      </c>
      <c r="J42" s="223">
        <f t="shared" si="22"/>
        <v>83836.531185194486</v>
      </c>
      <c r="K42" s="223">
        <f t="shared" si="23"/>
        <v>85402.419017110718</v>
      </c>
      <c r="L42" s="223">
        <f t="shared" si="24"/>
        <v>86514.949080165883</v>
      </c>
      <c r="M42" s="223">
        <f t="shared" si="25"/>
        <v>87740.818585436413</v>
      </c>
      <c r="N42" s="223">
        <f t="shared" si="26"/>
        <v>88966.688090706841</v>
      </c>
      <c r="O42" s="223">
        <f t="shared" si="27"/>
        <v>90192.557595977269</v>
      </c>
      <c r="Q42" s="222">
        <v>7.7980616692200799E-2</v>
      </c>
      <c r="R42" s="222">
        <v>7.7980616692200799E-2</v>
      </c>
      <c r="S42" s="222">
        <v>8.3086314487884602E-2</v>
      </c>
      <c r="T42" s="222">
        <v>7.7980616692200799E-2</v>
      </c>
      <c r="U42" s="222">
        <v>0.101227337733587</v>
      </c>
      <c r="V42" s="222">
        <v>7.9682515957428701E-2</v>
      </c>
      <c r="W42" s="222">
        <v>8.0533465590042694E-2</v>
      </c>
      <c r="X42" s="222">
        <v>8.2037659192124399E-2</v>
      </c>
      <c r="Y42" s="222">
        <v>8.3106356814560897E-2</v>
      </c>
      <c r="Z42" s="222">
        <v>8.4283928431908794E-2</v>
      </c>
      <c r="AA42" s="222">
        <v>8.5461500049256595E-2</v>
      </c>
      <c r="AB42" s="222">
        <v>8.6639071666604395E-2</v>
      </c>
      <c r="AD42" s="712">
        <v>1010694</v>
      </c>
      <c r="AE42" s="712">
        <v>651079</v>
      </c>
      <c r="AF42" s="712">
        <f t="shared" si="2"/>
        <v>-359615</v>
      </c>
      <c r="AG42" s="712">
        <v>1041014.82</v>
      </c>
    </row>
    <row r="43" spans="1:33" x14ac:dyDescent="0.2">
      <c r="A43" s="221">
        <v>38</v>
      </c>
      <c r="B43" s="222" t="s">
        <v>51</v>
      </c>
      <c r="C43" s="223">
        <v>6107298.4800000004</v>
      </c>
      <c r="D43" s="223">
        <f t="shared" si="16"/>
        <v>0</v>
      </c>
      <c r="E43" s="223">
        <f t="shared" si="17"/>
        <v>0</v>
      </c>
      <c r="F43" s="223">
        <f t="shared" si="18"/>
        <v>1907630.0400000014</v>
      </c>
      <c r="G43" s="223">
        <f t="shared" si="19"/>
        <v>489752.64000000036</v>
      </c>
      <c r="H43" s="223">
        <f t="shared" si="20"/>
        <v>471558.7200000002</v>
      </c>
      <c r="I43" s="223">
        <f t="shared" si="21"/>
        <v>434335.54999999981</v>
      </c>
      <c r="J43" s="223">
        <f t="shared" si="22"/>
        <v>512478.56000000035</v>
      </c>
      <c r="K43" s="223">
        <f t="shared" si="23"/>
        <v>477051.70999999979</v>
      </c>
      <c r="L43" s="223">
        <f t="shared" si="24"/>
        <v>444519.16000000009</v>
      </c>
      <c r="M43" s="223">
        <f t="shared" si="25"/>
        <v>426906.15999999986</v>
      </c>
      <c r="N43" s="223">
        <f t="shared" si="26"/>
        <v>459154.42999999976</v>
      </c>
      <c r="O43" s="223">
        <f t="shared" si="27"/>
        <v>483911.51000000013</v>
      </c>
      <c r="Q43" s="222">
        <v>0</v>
      </c>
      <c r="R43" s="222">
        <v>0</v>
      </c>
      <c r="S43" s="222">
        <v>0.31235251498629901</v>
      </c>
      <c r="T43" s="222">
        <v>8.01913712918777E-2</v>
      </c>
      <c r="U43" s="222">
        <v>7.7212325800719697E-2</v>
      </c>
      <c r="V43" s="222">
        <v>7.1117459122449794E-2</v>
      </c>
      <c r="W43" s="222">
        <v>8.3912479745054197E-2</v>
      </c>
      <c r="X43" s="222">
        <v>7.8111739840820704E-2</v>
      </c>
      <c r="Y43" s="222">
        <v>7.2784908328240097E-2</v>
      </c>
      <c r="Z43" s="222">
        <v>6.9900981816758995E-2</v>
      </c>
      <c r="AA43" s="222">
        <v>7.5181265743540296E-2</v>
      </c>
      <c r="AB43" s="222">
        <v>7.9234953324239701E-2</v>
      </c>
      <c r="AD43" s="712">
        <v>5929416</v>
      </c>
      <c r="AE43" s="712">
        <v>6592428</v>
      </c>
      <c r="AF43" s="712">
        <f t="shared" si="2"/>
        <v>663012</v>
      </c>
      <c r="AG43" s="712">
        <v>6107298.4800000004</v>
      </c>
    </row>
    <row r="44" spans="1:33" x14ac:dyDescent="0.2">
      <c r="A44" s="221">
        <v>39</v>
      </c>
      <c r="B44" s="222" t="s">
        <v>105</v>
      </c>
      <c r="C44" s="223">
        <v>94082.26</v>
      </c>
      <c r="D44" s="223">
        <f t="shared" si="16"/>
        <v>7840.1883333333299</v>
      </c>
      <c r="E44" s="223">
        <f t="shared" si="17"/>
        <v>7840.1883333333299</v>
      </c>
      <c r="F44" s="223">
        <f t="shared" si="18"/>
        <v>7840.1883333333299</v>
      </c>
      <c r="G44" s="223">
        <f t="shared" si="19"/>
        <v>7840.1883333333299</v>
      </c>
      <c r="H44" s="223">
        <f t="shared" si="20"/>
        <v>7840.1883333333299</v>
      </c>
      <c r="I44" s="223">
        <f t="shared" si="21"/>
        <v>7840.1883333333299</v>
      </c>
      <c r="J44" s="223">
        <f t="shared" si="22"/>
        <v>7840.1883333333299</v>
      </c>
      <c r="K44" s="223">
        <f t="shared" si="23"/>
        <v>7840.1883333333299</v>
      </c>
      <c r="L44" s="223">
        <f t="shared" si="24"/>
        <v>7840.1883333333299</v>
      </c>
      <c r="M44" s="223">
        <f t="shared" si="25"/>
        <v>7840.1883333333299</v>
      </c>
      <c r="N44" s="223">
        <f t="shared" si="26"/>
        <v>7840.1883333333299</v>
      </c>
      <c r="O44" s="223">
        <f t="shared" si="27"/>
        <v>7840.1883333333299</v>
      </c>
      <c r="Q44" s="222">
        <v>8.3333333333333301E-2</v>
      </c>
      <c r="R44" s="222">
        <v>8.3333333333333301E-2</v>
      </c>
      <c r="S44" s="222">
        <v>8.3333333333333301E-2</v>
      </c>
      <c r="T44" s="222">
        <v>8.3333333333333301E-2</v>
      </c>
      <c r="U44" s="222">
        <v>8.3333333333333301E-2</v>
      </c>
      <c r="V44" s="222">
        <v>8.3333333333333301E-2</v>
      </c>
      <c r="W44" s="222">
        <v>8.3333333333333301E-2</v>
      </c>
      <c r="X44" s="222">
        <v>8.3333333333333301E-2</v>
      </c>
      <c r="Y44" s="222">
        <v>8.3333333333333301E-2</v>
      </c>
      <c r="Z44" s="222">
        <v>8.3333333333333301E-2</v>
      </c>
      <c r="AA44" s="222">
        <v>8.3333333333333301E-2</v>
      </c>
      <c r="AB44" s="222">
        <v>8.3333333333333301E-2</v>
      </c>
      <c r="AD44" s="712">
        <v>91342</v>
      </c>
      <c r="AE44" s="712">
        <v>515182</v>
      </c>
      <c r="AF44" s="712">
        <f t="shared" si="2"/>
        <v>423840</v>
      </c>
      <c r="AG44" s="712">
        <v>94082.26</v>
      </c>
    </row>
    <row r="45" spans="1:33" x14ac:dyDescent="0.2">
      <c r="A45" s="221">
        <v>40</v>
      </c>
      <c r="B45" s="222" t="s">
        <v>96</v>
      </c>
      <c r="C45" s="223">
        <v>2821895.12</v>
      </c>
      <c r="D45" s="223">
        <f t="shared" si="16"/>
        <v>221084.16662411892</v>
      </c>
      <c r="E45" s="223">
        <f t="shared" si="17"/>
        <v>229405.86746339648</v>
      </c>
      <c r="F45" s="223">
        <f t="shared" si="18"/>
        <v>229822.80122548668</v>
      </c>
      <c r="G45" s="223">
        <f t="shared" si="19"/>
        <v>232012.49915157925</v>
      </c>
      <c r="H45" s="223">
        <f t="shared" si="20"/>
        <v>234595.79103628622</v>
      </c>
      <c r="I45" s="223">
        <f t="shared" si="21"/>
        <v>239550.1947741019</v>
      </c>
      <c r="J45" s="223">
        <f t="shared" si="22"/>
        <v>244054.77684492947</v>
      </c>
      <c r="K45" s="223">
        <f t="shared" si="23"/>
        <v>234850.40707420389</v>
      </c>
      <c r="L45" s="223">
        <f t="shared" si="24"/>
        <v>235601.52438606124</v>
      </c>
      <c r="M45" s="223">
        <f t="shared" si="25"/>
        <v>235885.84562840266</v>
      </c>
      <c r="N45" s="223">
        <f t="shared" si="26"/>
        <v>241779.85327281235</v>
      </c>
      <c r="O45" s="223">
        <f t="shared" si="27"/>
        <v>243251.39251862161</v>
      </c>
      <c r="Q45" s="222">
        <v>7.8345989919043804E-2</v>
      </c>
      <c r="R45" s="222">
        <v>8.1294965867971899E-2</v>
      </c>
      <c r="S45" s="222">
        <v>8.1442715427881202E-2</v>
      </c>
      <c r="T45" s="222">
        <v>8.2218682582214195E-2</v>
      </c>
      <c r="U45" s="222">
        <v>8.3134128328726201E-2</v>
      </c>
      <c r="V45" s="222">
        <v>8.4889829206020201E-2</v>
      </c>
      <c r="W45" s="222">
        <v>8.6486125977966705E-2</v>
      </c>
      <c r="X45" s="222">
        <v>8.3224357067602103E-2</v>
      </c>
      <c r="Y45" s="222">
        <v>8.3490531847286095E-2</v>
      </c>
      <c r="Z45" s="222">
        <v>8.3591287272364201E-2</v>
      </c>
      <c r="AA45" s="222">
        <v>8.5679957259649095E-2</v>
      </c>
      <c r="AB45" s="222">
        <v>8.6201429243274494E-2</v>
      </c>
      <c r="AD45" s="712">
        <v>2739704</v>
      </c>
      <c r="AE45" s="712">
        <v>3210117</v>
      </c>
      <c r="AF45" s="712">
        <f t="shared" si="2"/>
        <v>470413</v>
      </c>
      <c r="AG45" s="712">
        <v>2821895.12</v>
      </c>
    </row>
    <row r="46" spans="1:33" x14ac:dyDescent="0.2">
      <c r="A46" s="221">
        <v>41</v>
      </c>
      <c r="B46" s="222" t="s">
        <v>98</v>
      </c>
      <c r="C46" s="223">
        <v>142112.19</v>
      </c>
      <c r="D46" s="223">
        <f t="shared" si="16"/>
        <v>11842.682499999995</v>
      </c>
      <c r="E46" s="223">
        <f t="shared" si="17"/>
        <v>11842.682499999995</v>
      </c>
      <c r="F46" s="223">
        <f t="shared" si="18"/>
        <v>11842.682499999995</v>
      </c>
      <c r="G46" s="223">
        <f t="shared" si="19"/>
        <v>11842.682499999995</v>
      </c>
      <c r="H46" s="223">
        <f t="shared" si="20"/>
        <v>11842.682499999995</v>
      </c>
      <c r="I46" s="223">
        <f t="shared" si="21"/>
        <v>11842.682499999995</v>
      </c>
      <c r="J46" s="223">
        <f t="shared" si="22"/>
        <v>11842.682499999995</v>
      </c>
      <c r="K46" s="223">
        <f t="shared" si="23"/>
        <v>11842.682499999995</v>
      </c>
      <c r="L46" s="223">
        <f t="shared" si="24"/>
        <v>11842.682499999995</v>
      </c>
      <c r="M46" s="223">
        <f t="shared" si="25"/>
        <v>11842.682499999995</v>
      </c>
      <c r="N46" s="223">
        <f t="shared" si="26"/>
        <v>11842.682499999995</v>
      </c>
      <c r="O46" s="223">
        <f t="shared" si="27"/>
        <v>11842.682499999995</v>
      </c>
      <c r="Q46" s="222">
        <v>8.3333333333333301E-2</v>
      </c>
      <c r="R46" s="222">
        <v>8.3333333333333301E-2</v>
      </c>
      <c r="S46" s="222">
        <v>8.3333333333333301E-2</v>
      </c>
      <c r="T46" s="222">
        <v>8.3333333333333301E-2</v>
      </c>
      <c r="U46" s="222">
        <v>8.3333333333333301E-2</v>
      </c>
      <c r="V46" s="222">
        <v>8.3333333333333301E-2</v>
      </c>
      <c r="W46" s="222">
        <v>8.3333333333333301E-2</v>
      </c>
      <c r="X46" s="222">
        <v>8.3333333333333301E-2</v>
      </c>
      <c r="Y46" s="222">
        <v>8.3333333333333301E-2</v>
      </c>
      <c r="Z46" s="222">
        <v>8.3333333333333301E-2</v>
      </c>
      <c r="AA46" s="222">
        <v>8.3333333333333301E-2</v>
      </c>
      <c r="AB46" s="222">
        <v>8.3333333333333301E-2</v>
      </c>
      <c r="AD46" s="712">
        <v>137973</v>
      </c>
      <c r="AE46" s="712">
        <v>0</v>
      </c>
      <c r="AF46" s="712">
        <f t="shared" si="2"/>
        <v>-137973</v>
      </c>
      <c r="AG46" s="712">
        <v>142112.19</v>
      </c>
    </row>
    <row r="47" spans="1:33" x14ac:dyDescent="0.2">
      <c r="A47" s="221">
        <v>42</v>
      </c>
      <c r="B47" s="222" t="s">
        <v>122</v>
      </c>
      <c r="C47" s="223">
        <v>2733655.02</v>
      </c>
      <c r="D47" s="223">
        <f t="shared" si="16"/>
        <v>227804.5849999999</v>
      </c>
      <c r="E47" s="223">
        <f t="shared" si="17"/>
        <v>227804.5849999999</v>
      </c>
      <c r="F47" s="223">
        <f t="shared" si="18"/>
        <v>227804.5849999999</v>
      </c>
      <c r="G47" s="223">
        <f t="shared" si="19"/>
        <v>227804.5849999999</v>
      </c>
      <c r="H47" s="223">
        <f t="shared" si="20"/>
        <v>227804.5849999999</v>
      </c>
      <c r="I47" s="223">
        <f t="shared" si="21"/>
        <v>227804.5849999999</v>
      </c>
      <c r="J47" s="223">
        <f t="shared" si="22"/>
        <v>227804.5849999999</v>
      </c>
      <c r="K47" s="223">
        <f t="shared" si="23"/>
        <v>227804.5849999999</v>
      </c>
      <c r="L47" s="223">
        <f t="shared" si="24"/>
        <v>227804.5849999999</v>
      </c>
      <c r="M47" s="223">
        <f t="shared" si="25"/>
        <v>227804.5849999999</v>
      </c>
      <c r="N47" s="223">
        <f t="shared" si="26"/>
        <v>227804.5849999999</v>
      </c>
      <c r="O47" s="223">
        <f t="shared" si="27"/>
        <v>227804.5849999999</v>
      </c>
      <c r="Q47" s="222">
        <v>8.3333333333333301E-2</v>
      </c>
      <c r="R47" s="222">
        <v>8.3333333333333301E-2</v>
      </c>
      <c r="S47" s="222">
        <v>8.3333333333333301E-2</v>
      </c>
      <c r="T47" s="222">
        <v>8.3333333333333301E-2</v>
      </c>
      <c r="U47" s="222">
        <v>8.3333333333333301E-2</v>
      </c>
      <c r="V47" s="222">
        <v>8.3333333333333301E-2</v>
      </c>
      <c r="W47" s="222">
        <v>8.3333333333333301E-2</v>
      </c>
      <c r="X47" s="222">
        <v>8.3333333333333301E-2</v>
      </c>
      <c r="Y47" s="222">
        <v>8.3333333333333301E-2</v>
      </c>
      <c r="Z47" s="222">
        <v>8.3333333333333301E-2</v>
      </c>
      <c r="AA47" s="222">
        <v>8.3333333333333301E-2</v>
      </c>
      <c r="AB47" s="222">
        <v>8.3333333333333301E-2</v>
      </c>
      <c r="AD47" s="712">
        <v>2654034</v>
      </c>
      <c r="AE47" s="712">
        <v>0</v>
      </c>
      <c r="AF47" s="712">
        <f t="shared" si="2"/>
        <v>-2654034</v>
      </c>
      <c r="AG47" s="712">
        <v>2733655.02</v>
      </c>
    </row>
    <row r="48" spans="1:33" x14ac:dyDescent="0.2">
      <c r="A48" s="221">
        <v>43</v>
      </c>
      <c r="B48" s="222" t="s">
        <v>346</v>
      </c>
      <c r="C48" s="223">
        <v>1738394.86</v>
      </c>
      <c r="D48" s="223">
        <f t="shared" si="16"/>
        <v>132006.56425931025</v>
      </c>
      <c r="E48" s="223">
        <f t="shared" si="17"/>
        <v>121865.15977872454</v>
      </c>
      <c r="F48" s="223">
        <f t="shared" si="18"/>
        <v>157783.74231780137</v>
      </c>
      <c r="G48" s="223">
        <f t="shared" si="19"/>
        <v>143759.20861910211</v>
      </c>
      <c r="H48" s="223">
        <f t="shared" si="20"/>
        <v>140098.79468370636</v>
      </c>
      <c r="I48" s="223">
        <f t="shared" si="21"/>
        <v>137794.01796320314</v>
      </c>
      <c r="J48" s="223">
        <f t="shared" si="22"/>
        <v>167374.52497564172</v>
      </c>
      <c r="K48" s="223">
        <f t="shared" si="23"/>
        <v>148751.3196901406</v>
      </c>
      <c r="L48" s="223">
        <f t="shared" si="24"/>
        <v>152153.22913343494</v>
      </c>
      <c r="M48" s="223">
        <f t="shared" si="25"/>
        <v>132535.42237364678</v>
      </c>
      <c r="N48" s="223">
        <f t="shared" si="26"/>
        <v>151114.0201175423</v>
      </c>
      <c r="O48" s="223">
        <f t="shared" si="27"/>
        <v>153158.85608774627</v>
      </c>
      <c r="Q48" s="222">
        <v>7.5935891952252005E-2</v>
      </c>
      <c r="R48" s="222">
        <v>7.0102116948691701E-2</v>
      </c>
      <c r="S48" s="222">
        <v>9.0764040983071795E-2</v>
      </c>
      <c r="T48" s="222">
        <v>8.2696521904754197E-2</v>
      </c>
      <c r="U48" s="222">
        <v>8.05908933047043E-2</v>
      </c>
      <c r="V48" s="222">
        <v>7.9265085932895094E-2</v>
      </c>
      <c r="W48" s="222">
        <v>9.6281074470987396E-2</v>
      </c>
      <c r="X48" s="222">
        <v>8.5568200362799399E-2</v>
      </c>
      <c r="Y48" s="222">
        <v>8.7525125985148694E-2</v>
      </c>
      <c r="Z48" s="222">
        <v>7.6240114040400903E-2</v>
      </c>
      <c r="AA48" s="222">
        <v>8.6927327959047396E-2</v>
      </c>
      <c r="AB48" s="222">
        <v>8.8103606155247302E-2</v>
      </c>
      <c r="AD48" s="712">
        <v>1687762</v>
      </c>
      <c r="AE48" s="712">
        <v>9220131</v>
      </c>
      <c r="AF48" s="712">
        <f t="shared" si="2"/>
        <v>7532369</v>
      </c>
      <c r="AG48" s="712">
        <v>1738394.86</v>
      </c>
    </row>
    <row r="49" spans="1:33" x14ac:dyDescent="0.2">
      <c r="A49" s="221">
        <v>44</v>
      </c>
      <c r="B49" s="222" t="s">
        <v>102</v>
      </c>
      <c r="C49" s="223">
        <v>1045450</v>
      </c>
      <c r="D49" s="223">
        <f t="shared" si="16"/>
        <v>76596.077129291545</v>
      </c>
      <c r="E49" s="223">
        <f t="shared" si="17"/>
        <v>76932.992576693752</v>
      </c>
      <c r="F49" s="223">
        <f t="shared" si="18"/>
        <v>77294.569619502538</v>
      </c>
      <c r="G49" s="223">
        <f t="shared" si="19"/>
        <v>86160.572035637742</v>
      </c>
      <c r="H49" s="223">
        <f t="shared" si="20"/>
        <v>86696.571927156692</v>
      </c>
      <c r="I49" s="223">
        <f t="shared" si="21"/>
        <v>88947.771471536253</v>
      </c>
      <c r="J49" s="223">
        <f t="shared" si="22"/>
        <v>84637.203922899731</v>
      </c>
      <c r="K49" s="223">
        <f t="shared" si="23"/>
        <v>85622.315302470335</v>
      </c>
      <c r="L49" s="223">
        <f t="shared" si="24"/>
        <v>87123.114998723337</v>
      </c>
      <c r="M49" s="223">
        <f t="shared" si="25"/>
        <v>95145.058638319329</v>
      </c>
      <c r="N49" s="223">
        <f t="shared" si="26"/>
        <v>101889.62990486379</v>
      </c>
      <c r="O49" s="223">
        <f t="shared" si="27"/>
        <v>98404.122472904943</v>
      </c>
      <c r="Q49" s="222">
        <v>7.3266131454676503E-2</v>
      </c>
      <c r="R49" s="222">
        <v>7.3588399805532306E-2</v>
      </c>
      <c r="S49" s="222">
        <v>7.3934257611078996E-2</v>
      </c>
      <c r="T49" s="222">
        <v>8.2414818533299294E-2</v>
      </c>
      <c r="U49" s="222">
        <v>8.2927516310829494E-2</v>
      </c>
      <c r="V49" s="222">
        <v>8.5080846976456306E-2</v>
      </c>
      <c r="W49" s="222">
        <v>8.0957677481371407E-2</v>
      </c>
      <c r="X49" s="222">
        <v>8.1899962028284798E-2</v>
      </c>
      <c r="Y49" s="222">
        <v>8.3335515805369298E-2</v>
      </c>
      <c r="Z49" s="222">
        <v>9.1008712648447398E-2</v>
      </c>
      <c r="AA49" s="222">
        <v>9.7460069735390301E-2</v>
      </c>
      <c r="AB49" s="222">
        <v>9.4126091609263898E-2</v>
      </c>
      <c r="AD49" s="712">
        <v>1015000</v>
      </c>
      <c r="AE49" s="712">
        <v>1017221</v>
      </c>
      <c r="AF49" s="712">
        <f t="shared" si="2"/>
        <v>2221</v>
      </c>
      <c r="AG49" s="712">
        <v>1045450</v>
      </c>
    </row>
    <row r="50" spans="1:33" x14ac:dyDescent="0.2">
      <c r="A50" s="221">
        <v>45</v>
      </c>
      <c r="B50" s="222" t="s">
        <v>127</v>
      </c>
      <c r="C50" s="223">
        <v>5546916.6799999997</v>
      </c>
      <c r="D50" s="223">
        <f t="shared" si="16"/>
        <v>436823.07102991187</v>
      </c>
      <c r="E50" s="223">
        <f t="shared" si="17"/>
        <v>434146.17066118633</v>
      </c>
      <c r="F50" s="223">
        <f t="shared" si="18"/>
        <v>435301.50424768834</v>
      </c>
      <c r="G50" s="223">
        <f t="shared" si="19"/>
        <v>437819.82941826672</v>
      </c>
      <c r="H50" s="223">
        <f t="shared" si="20"/>
        <v>458434.6051774238</v>
      </c>
      <c r="I50" s="223">
        <f t="shared" si="21"/>
        <v>546661.56641333119</v>
      </c>
      <c r="J50" s="223">
        <f t="shared" si="22"/>
        <v>428155.55206450849</v>
      </c>
      <c r="K50" s="223">
        <f t="shared" si="23"/>
        <v>433316.79720420932</v>
      </c>
      <c r="L50" s="223">
        <f t="shared" si="24"/>
        <v>521756.45057096559</v>
      </c>
      <c r="M50" s="223">
        <f t="shared" si="25"/>
        <v>445257.76133136952</v>
      </c>
      <c r="N50" s="223">
        <f t="shared" si="26"/>
        <v>482383.823013179</v>
      </c>
      <c r="O50" s="223">
        <f t="shared" si="27"/>
        <v>486859.54886796023</v>
      </c>
      <c r="Q50" s="222">
        <v>7.8750609794613305E-2</v>
      </c>
      <c r="R50" s="222">
        <v>7.8268017298068801E-2</v>
      </c>
      <c r="S50" s="222">
        <v>7.8476301224645106E-2</v>
      </c>
      <c r="T50" s="222">
        <v>7.89303057312674E-2</v>
      </c>
      <c r="U50" s="222">
        <v>8.2646744421159005E-2</v>
      </c>
      <c r="V50" s="222">
        <v>9.8552330591944501E-2</v>
      </c>
      <c r="W50" s="222">
        <v>7.7188026567672999E-2</v>
      </c>
      <c r="X50" s="222">
        <v>7.8118497572999296E-2</v>
      </c>
      <c r="Y50" s="222">
        <v>9.4062427952490105E-2</v>
      </c>
      <c r="Z50" s="222">
        <v>8.0271218591906002E-2</v>
      </c>
      <c r="AA50" s="222">
        <v>8.69643174472884E-2</v>
      </c>
      <c r="AB50" s="222">
        <v>8.7771202805945206E-2</v>
      </c>
      <c r="AD50" s="712">
        <v>5385356</v>
      </c>
      <c r="AE50" s="712">
        <v>4053376</v>
      </c>
      <c r="AF50" s="712">
        <f t="shared" si="2"/>
        <v>-1331980</v>
      </c>
      <c r="AG50" s="712">
        <v>5546916.6799999997</v>
      </c>
    </row>
    <row r="51" spans="1:33" x14ac:dyDescent="0.2">
      <c r="A51" s="221">
        <v>46</v>
      </c>
      <c r="B51" s="222" t="s">
        <v>119</v>
      </c>
      <c r="C51" s="223">
        <v>1586848.9</v>
      </c>
      <c r="D51" s="223">
        <f t="shared" si="16"/>
        <v>152557.23775710815</v>
      </c>
      <c r="E51" s="223">
        <f t="shared" si="17"/>
        <v>151264.17652717879</v>
      </c>
      <c r="F51" s="223">
        <f t="shared" si="18"/>
        <v>151310.8561252123</v>
      </c>
      <c r="G51" s="223">
        <f t="shared" si="19"/>
        <v>154517.95669009583</v>
      </c>
      <c r="H51" s="223">
        <f t="shared" si="20"/>
        <v>151260.99382731304</v>
      </c>
      <c r="I51" s="223">
        <f t="shared" si="21"/>
        <v>131762.71354878345</v>
      </c>
      <c r="J51" s="223">
        <f t="shared" si="22"/>
        <v>145153.3927846287</v>
      </c>
      <c r="K51" s="223">
        <f t="shared" si="23"/>
        <v>131690.57235182283</v>
      </c>
      <c r="L51" s="223">
        <f t="shared" si="24"/>
        <v>94222.768630356586</v>
      </c>
      <c r="M51" s="223">
        <f t="shared" si="25"/>
        <v>113154.89156675924</v>
      </c>
      <c r="N51" s="223">
        <f t="shared" si="26"/>
        <v>107702.74391916717</v>
      </c>
      <c r="O51" s="223">
        <f t="shared" si="27"/>
        <v>102250.59627157413</v>
      </c>
      <c r="Q51" s="222">
        <v>9.6138477807879597E-2</v>
      </c>
      <c r="R51" s="222">
        <v>9.5323616840380196E-2</v>
      </c>
      <c r="S51" s="222">
        <v>9.5353033376531504E-2</v>
      </c>
      <c r="T51" s="222">
        <v>9.7374083121648095E-2</v>
      </c>
      <c r="U51" s="222">
        <v>9.5321611167460907E-2</v>
      </c>
      <c r="V51" s="222">
        <v>8.3034190305569397E-2</v>
      </c>
      <c r="W51" s="222">
        <v>9.1472724835129998E-2</v>
      </c>
      <c r="X51" s="222">
        <v>8.2988728386062999E-2</v>
      </c>
      <c r="Y51" s="222">
        <v>5.9377278221232399E-2</v>
      </c>
      <c r="Z51" s="222">
        <v>7.1307918206175297E-2</v>
      </c>
      <c r="AA51" s="222">
        <v>6.7872085312701905E-2</v>
      </c>
      <c r="AB51" s="222">
        <v>6.4436252419227902E-2</v>
      </c>
      <c r="AD51" s="712">
        <v>1540630</v>
      </c>
      <c r="AE51" s="712">
        <v>1783055</v>
      </c>
      <c r="AF51" s="712">
        <f t="shared" si="2"/>
        <v>242425</v>
      </c>
      <c r="AG51" s="712">
        <v>1586848.9</v>
      </c>
    </row>
    <row r="52" spans="1:33" x14ac:dyDescent="0.2">
      <c r="A52" s="221">
        <v>47</v>
      </c>
      <c r="B52" s="222" t="s">
        <v>121</v>
      </c>
      <c r="C52" s="223">
        <v>1853780.61</v>
      </c>
      <c r="D52" s="223">
        <f t="shared" si="16"/>
        <v>154481.71749999994</v>
      </c>
      <c r="E52" s="223">
        <f t="shared" si="17"/>
        <v>154481.71749999994</v>
      </c>
      <c r="F52" s="223">
        <f t="shared" si="18"/>
        <v>154481.71749999994</v>
      </c>
      <c r="G52" s="223">
        <f t="shared" si="19"/>
        <v>154481.71749999994</v>
      </c>
      <c r="H52" s="223">
        <f t="shared" si="20"/>
        <v>154481.71749999994</v>
      </c>
      <c r="I52" s="223">
        <f t="shared" si="21"/>
        <v>154481.71749999994</v>
      </c>
      <c r="J52" s="223">
        <f t="shared" si="22"/>
        <v>154481.71749999994</v>
      </c>
      <c r="K52" s="223">
        <f t="shared" si="23"/>
        <v>154481.71749999994</v>
      </c>
      <c r="L52" s="223">
        <f t="shared" si="24"/>
        <v>154481.71749999994</v>
      </c>
      <c r="M52" s="223">
        <f t="shared" si="25"/>
        <v>154481.71749999994</v>
      </c>
      <c r="N52" s="223">
        <f t="shared" si="26"/>
        <v>154481.71749999994</v>
      </c>
      <c r="O52" s="223">
        <f t="shared" si="27"/>
        <v>154481.71749999994</v>
      </c>
      <c r="Q52" s="222">
        <v>8.3333333333333301E-2</v>
      </c>
      <c r="R52" s="222">
        <v>8.3333333333333301E-2</v>
      </c>
      <c r="S52" s="222">
        <v>8.3333333333333301E-2</v>
      </c>
      <c r="T52" s="222">
        <v>8.3333333333333301E-2</v>
      </c>
      <c r="U52" s="222">
        <v>8.3333333333333301E-2</v>
      </c>
      <c r="V52" s="222">
        <v>8.3333333333333301E-2</v>
      </c>
      <c r="W52" s="222">
        <v>8.3333333333333301E-2</v>
      </c>
      <c r="X52" s="222">
        <v>8.3333333333333301E-2</v>
      </c>
      <c r="Y52" s="222">
        <v>8.3333333333333301E-2</v>
      </c>
      <c r="Z52" s="222">
        <v>8.3333333333333301E-2</v>
      </c>
      <c r="AA52" s="222">
        <v>8.3333333333333301E-2</v>
      </c>
      <c r="AB52" s="222">
        <v>8.3333333333333301E-2</v>
      </c>
      <c r="AD52" s="712">
        <v>1799787</v>
      </c>
      <c r="AE52" s="712">
        <v>0</v>
      </c>
      <c r="AF52" s="712">
        <f t="shared" si="2"/>
        <v>-1799787</v>
      </c>
      <c r="AG52" s="712">
        <v>1853780.61</v>
      </c>
    </row>
    <row r="53" spans="1:33" x14ac:dyDescent="0.2">
      <c r="A53" s="221">
        <v>48</v>
      </c>
      <c r="B53" s="222" t="s">
        <v>47</v>
      </c>
      <c r="C53" s="223">
        <v>865121.72</v>
      </c>
      <c r="D53" s="223">
        <f t="shared" si="16"/>
        <v>72093.47666666664</v>
      </c>
      <c r="E53" s="223">
        <f t="shared" si="17"/>
        <v>72093.47666666664</v>
      </c>
      <c r="F53" s="223">
        <f t="shared" si="18"/>
        <v>72093.47666666664</v>
      </c>
      <c r="G53" s="223">
        <f t="shared" si="19"/>
        <v>72093.47666666664</v>
      </c>
      <c r="H53" s="223">
        <f t="shared" si="20"/>
        <v>72093.47666666664</v>
      </c>
      <c r="I53" s="223">
        <f t="shared" si="21"/>
        <v>72093.47666666664</v>
      </c>
      <c r="J53" s="223">
        <f t="shared" si="22"/>
        <v>72093.47666666664</v>
      </c>
      <c r="K53" s="223">
        <f t="shared" si="23"/>
        <v>72093.47666666664</v>
      </c>
      <c r="L53" s="223">
        <f t="shared" si="24"/>
        <v>72093.47666666664</v>
      </c>
      <c r="M53" s="223">
        <f t="shared" si="25"/>
        <v>72093.47666666664</v>
      </c>
      <c r="N53" s="223">
        <f t="shared" si="26"/>
        <v>72093.47666666664</v>
      </c>
      <c r="O53" s="223">
        <f t="shared" si="27"/>
        <v>72093.47666666664</v>
      </c>
      <c r="Q53" s="222">
        <v>8.3333333333333301E-2</v>
      </c>
      <c r="R53" s="222">
        <v>8.3333333333333301E-2</v>
      </c>
      <c r="S53" s="222">
        <v>8.3333333333333301E-2</v>
      </c>
      <c r="T53" s="222">
        <v>8.3333333333333301E-2</v>
      </c>
      <c r="U53" s="222">
        <v>8.3333333333333301E-2</v>
      </c>
      <c r="V53" s="222">
        <v>8.3333333333333301E-2</v>
      </c>
      <c r="W53" s="222">
        <v>8.3333333333333301E-2</v>
      </c>
      <c r="X53" s="222">
        <v>8.3333333333333301E-2</v>
      </c>
      <c r="Y53" s="222">
        <v>8.3333333333333301E-2</v>
      </c>
      <c r="Z53" s="222">
        <v>8.3333333333333301E-2</v>
      </c>
      <c r="AA53" s="222">
        <v>8.3333333333333301E-2</v>
      </c>
      <c r="AB53" s="222">
        <v>8.3333333333333301E-2</v>
      </c>
      <c r="AD53" s="712">
        <v>839924</v>
      </c>
      <c r="AE53" s="712">
        <v>0</v>
      </c>
      <c r="AF53" s="712">
        <f t="shared" si="2"/>
        <v>-839924</v>
      </c>
      <c r="AG53" s="712">
        <v>865121.72</v>
      </c>
    </row>
    <row r="54" spans="1:33" x14ac:dyDescent="0.2">
      <c r="A54" s="221">
        <v>49</v>
      </c>
      <c r="B54" s="222" t="s">
        <v>115</v>
      </c>
      <c r="C54" s="223">
        <v>4319104.1500000004</v>
      </c>
      <c r="D54" s="223">
        <f t="shared" si="16"/>
        <v>205533.87813451214</v>
      </c>
      <c r="E54" s="223">
        <f t="shared" si="17"/>
        <v>5786.5952778028714</v>
      </c>
      <c r="F54" s="223">
        <f t="shared" si="18"/>
        <v>505450.7834424082</v>
      </c>
      <c r="G54" s="223">
        <f t="shared" si="19"/>
        <v>359897.95842884365</v>
      </c>
      <c r="H54" s="223">
        <f t="shared" si="20"/>
        <v>359897.95842884365</v>
      </c>
      <c r="I54" s="223">
        <f t="shared" si="21"/>
        <v>499047.28389791667</v>
      </c>
      <c r="J54" s="223">
        <f t="shared" si="22"/>
        <v>359897.95842884365</v>
      </c>
      <c r="K54" s="223">
        <f t="shared" si="23"/>
        <v>406130.85932080663</v>
      </c>
      <c r="L54" s="223">
        <f t="shared" si="24"/>
        <v>398254.10592110798</v>
      </c>
      <c r="M54" s="223">
        <f t="shared" si="25"/>
        <v>395736.60441231675</v>
      </c>
      <c r="N54" s="223">
        <f t="shared" si="26"/>
        <v>410091.92156454118</v>
      </c>
      <c r="O54" s="223">
        <f t="shared" si="27"/>
        <v>413378.24274205649</v>
      </c>
      <c r="Q54" s="222">
        <v>4.75871548812992E-2</v>
      </c>
      <c r="R54" s="222">
        <v>1.3397674788191601E-3</v>
      </c>
      <c r="S54" s="222">
        <v>0.11702676432158</v>
      </c>
      <c r="T54" s="222">
        <v>8.3326992341419603E-2</v>
      </c>
      <c r="U54" s="222">
        <v>8.3326992341419603E-2</v>
      </c>
      <c r="V54" s="222">
        <v>0.115544165309817</v>
      </c>
      <c r="W54" s="222">
        <v>8.3326992341419603E-2</v>
      </c>
      <c r="X54" s="222">
        <v>9.4031272508398905E-2</v>
      </c>
      <c r="Y54" s="222">
        <v>9.2207571776454597E-2</v>
      </c>
      <c r="Z54" s="222">
        <v>9.1624695925037303E-2</v>
      </c>
      <c r="AA54" s="222">
        <v>9.4948375246876396E-2</v>
      </c>
      <c r="AB54" s="222">
        <v>9.5709255527458501E-2</v>
      </c>
      <c r="AD54" s="712">
        <v>4193305</v>
      </c>
      <c r="AE54" s="712">
        <v>137455</v>
      </c>
      <c r="AF54" s="712">
        <f t="shared" si="2"/>
        <v>-4055850</v>
      </c>
      <c r="AG54" s="712">
        <v>4319104.1500000004</v>
      </c>
    </row>
    <row r="55" spans="1:33" x14ac:dyDescent="0.2">
      <c r="A55" s="221">
        <v>50</v>
      </c>
      <c r="B55" s="222" t="s">
        <v>69</v>
      </c>
      <c r="C55" s="223">
        <v>11970376.75</v>
      </c>
      <c r="D55" s="223">
        <f t="shared" si="16"/>
        <v>1005357.9359674591</v>
      </c>
      <c r="E55" s="223">
        <f t="shared" si="17"/>
        <v>988607.52696885949</v>
      </c>
      <c r="F55" s="223">
        <f t="shared" si="18"/>
        <v>993562.85629761184</v>
      </c>
      <c r="G55" s="223">
        <f t="shared" si="19"/>
        <v>974261.54874552682</v>
      </c>
      <c r="H55" s="223">
        <f t="shared" si="20"/>
        <v>952018.10656123457</v>
      </c>
      <c r="I55" s="223">
        <f t="shared" si="21"/>
        <v>994337.46441327396</v>
      </c>
      <c r="J55" s="223">
        <f t="shared" si="22"/>
        <v>1005352.0379361226</v>
      </c>
      <c r="K55" s="223">
        <f t="shared" si="23"/>
        <v>1011125.2276103469</v>
      </c>
      <c r="L55" s="223">
        <f t="shared" si="24"/>
        <v>1008873.162644631</v>
      </c>
      <c r="M55" s="223">
        <f t="shared" si="25"/>
        <v>1006647.6388199342</v>
      </c>
      <c r="N55" s="223">
        <f t="shared" si="26"/>
        <v>1013709.5483414101</v>
      </c>
      <c r="O55" s="223">
        <f t="shared" si="27"/>
        <v>1016523.6956935925</v>
      </c>
      <c r="Q55" s="222">
        <v>8.3987159048060797E-2</v>
      </c>
      <c r="R55" s="222">
        <v>8.2587837259914101E-2</v>
      </c>
      <c r="S55" s="222">
        <v>8.3001803288907494E-2</v>
      </c>
      <c r="T55" s="222">
        <v>8.1389380559431998E-2</v>
      </c>
      <c r="U55" s="222">
        <v>7.9531173198975097E-2</v>
      </c>
      <c r="V55" s="222">
        <v>8.3066513709626894E-2</v>
      </c>
      <c r="W55" s="222">
        <v>8.3986666329121398E-2</v>
      </c>
      <c r="X55" s="222">
        <v>8.4468956051057198E-2</v>
      </c>
      <c r="Y55" s="222">
        <v>8.4280819535995893E-2</v>
      </c>
      <c r="Z55" s="222">
        <v>8.40949002561623E-2</v>
      </c>
      <c r="AA55" s="222">
        <v>8.46848490663763E-2</v>
      </c>
      <c r="AB55" s="222">
        <v>8.4919941696370793E-2</v>
      </c>
      <c r="AD55" s="712">
        <v>11621725</v>
      </c>
      <c r="AE55" s="712">
        <v>3482318</v>
      </c>
      <c r="AF55" s="712">
        <f t="shared" si="2"/>
        <v>-8139407</v>
      </c>
      <c r="AG55" s="712">
        <v>11970376.75</v>
      </c>
    </row>
    <row r="56" spans="1:33" x14ac:dyDescent="0.2">
      <c r="A56" s="221">
        <v>51</v>
      </c>
      <c r="B56" s="222" t="s">
        <v>126</v>
      </c>
      <c r="C56" s="223">
        <v>1623013.23</v>
      </c>
      <c r="D56" s="223">
        <f t="shared" si="16"/>
        <v>126978.45455207542</v>
      </c>
      <c r="E56" s="223">
        <f t="shared" si="17"/>
        <v>125039.42281929254</v>
      </c>
      <c r="F56" s="223">
        <f t="shared" si="18"/>
        <v>134199.61889708904</v>
      </c>
      <c r="G56" s="223">
        <f t="shared" si="19"/>
        <v>138109.03576114611</v>
      </c>
      <c r="H56" s="223">
        <f t="shared" si="20"/>
        <v>132450.19463417708</v>
      </c>
      <c r="I56" s="223">
        <f t="shared" si="21"/>
        <v>138559.27326457301</v>
      </c>
      <c r="J56" s="223">
        <f t="shared" si="22"/>
        <v>140960.58257517891</v>
      </c>
      <c r="K56" s="223">
        <f t="shared" si="23"/>
        <v>138057.39139181294</v>
      </c>
      <c r="L56" s="223">
        <f t="shared" si="24"/>
        <v>138336.90050483018</v>
      </c>
      <c r="M56" s="223">
        <f t="shared" si="25"/>
        <v>138616.40961784631</v>
      </c>
      <c r="N56" s="223">
        <f t="shared" si="26"/>
        <v>138895.91873086354</v>
      </c>
      <c r="O56" s="223">
        <f t="shared" si="27"/>
        <v>132810.02725111475</v>
      </c>
      <c r="Q56" s="222">
        <v>7.8236241211709301E-2</v>
      </c>
      <c r="R56" s="222">
        <v>7.7041530227879004E-2</v>
      </c>
      <c r="S56" s="222">
        <v>8.2685474410512994E-2</v>
      </c>
      <c r="T56" s="222">
        <v>8.5094214395988702E-2</v>
      </c>
      <c r="U56" s="222">
        <v>8.1607587779291904E-2</v>
      </c>
      <c r="V56" s="222">
        <v>8.5371622796058796E-2</v>
      </c>
      <c r="W56" s="222">
        <v>8.6851160526386403E-2</v>
      </c>
      <c r="X56" s="222">
        <v>8.5062394341550093E-2</v>
      </c>
      <c r="Y56" s="222">
        <v>8.52346105058122E-2</v>
      </c>
      <c r="Z56" s="222">
        <v>8.5406826670073599E-2</v>
      </c>
      <c r="AA56" s="222">
        <v>8.5579042834335706E-2</v>
      </c>
      <c r="AB56" s="222">
        <v>8.1829294300401201E-2</v>
      </c>
      <c r="AD56" s="712">
        <v>1575741</v>
      </c>
      <c r="AE56" s="712">
        <v>771650</v>
      </c>
      <c r="AF56" s="712">
        <f t="shared" si="2"/>
        <v>-804091</v>
      </c>
      <c r="AG56" s="712">
        <v>1623013.23</v>
      </c>
    </row>
    <row r="57" spans="1:33" x14ac:dyDescent="0.2">
      <c r="A57" s="221">
        <v>52</v>
      </c>
      <c r="B57" s="222" t="s">
        <v>58</v>
      </c>
      <c r="C57" s="223">
        <v>66950546.93</v>
      </c>
      <c r="D57" s="223">
        <f t="shared" si="16"/>
        <v>4254407.7598921284</v>
      </c>
      <c r="E57" s="223">
        <f t="shared" si="17"/>
        <v>4465840.6993958447</v>
      </c>
      <c r="F57" s="223">
        <f t="shared" si="18"/>
        <v>4198797.1332856771</v>
      </c>
      <c r="G57" s="223">
        <f t="shared" si="19"/>
        <v>5235216.8069510758</v>
      </c>
      <c r="H57" s="223">
        <f t="shared" si="20"/>
        <v>4260365.4858499663</v>
      </c>
      <c r="I57" s="223">
        <f t="shared" si="21"/>
        <v>4324733.4813944465</v>
      </c>
      <c r="J57" s="223">
        <f t="shared" si="22"/>
        <v>5404387.3017538814</v>
      </c>
      <c r="K57" s="223">
        <f t="shared" si="23"/>
        <v>4475403.2193281716</v>
      </c>
      <c r="L57" s="223">
        <f t="shared" si="24"/>
        <v>4971780.7128153741</v>
      </c>
      <c r="M57" s="223">
        <f t="shared" si="25"/>
        <v>4637225.0761829838</v>
      </c>
      <c r="N57" s="223">
        <f t="shared" si="26"/>
        <v>4248564.1579334838</v>
      </c>
      <c r="O57" s="223">
        <f t="shared" si="27"/>
        <v>16473825.09521698</v>
      </c>
      <c r="Q57" s="222">
        <v>6.3545526586068296E-2</v>
      </c>
      <c r="R57" s="222">
        <v>6.6703573072600802E-2</v>
      </c>
      <c r="S57" s="222">
        <v>6.2714904146723705E-2</v>
      </c>
      <c r="T57" s="222">
        <v>7.8195280651325305E-2</v>
      </c>
      <c r="U57" s="222">
        <v>6.3634513550791194E-2</v>
      </c>
      <c r="V57" s="222">
        <v>6.4595939536030406E-2</v>
      </c>
      <c r="W57" s="222">
        <v>8.0722078452987497E-2</v>
      </c>
      <c r="X57" s="222">
        <v>6.6846402674012803E-2</v>
      </c>
      <c r="Y57" s="222">
        <v>7.4260494361810203E-2</v>
      </c>
      <c r="Z57" s="222">
        <v>6.9263438296201296E-2</v>
      </c>
      <c r="AA57" s="222">
        <v>6.3458244222792698E-2</v>
      </c>
      <c r="AB57" s="222">
        <v>0.24605960444865599</v>
      </c>
      <c r="AD57" s="712">
        <v>65000531</v>
      </c>
      <c r="AE57" s="712">
        <v>72891348</v>
      </c>
      <c r="AF57" s="712">
        <f t="shared" si="2"/>
        <v>7890817</v>
      </c>
      <c r="AG57" s="712">
        <v>66950546.93</v>
      </c>
    </row>
    <row r="58" spans="1:33" x14ac:dyDescent="0.2">
      <c r="A58" s="221">
        <v>53</v>
      </c>
      <c r="B58" s="222" t="s">
        <v>103</v>
      </c>
      <c r="C58" s="223">
        <v>98795129.030000001</v>
      </c>
      <c r="D58" s="223">
        <f t="shared" si="16"/>
        <v>11710355.27599277</v>
      </c>
      <c r="E58" s="223">
        <f t="shared" si="17"/>
        <v>7914786.084476795</v>
      </c>
      <c r="F58" s="223">
        <f t="shared" si="18"/>
        <v>8828358.8996272963</v>
      </c>
      <c r="G58" s="223">
        <f t="shared" si="19"/>
        <v>7982771.7390391631</v>
      </c>
      <c r="H58" s="223">
        <f t="shared" si="20"/>
        <v>8638135.2864124011</v>
      </c>
      <c r="I58" s="223">
        <f t="shared" si="21"/>
        <v>9101466.3860743996</v>
      </c>
      <c r="J58" s="223">
        <f t="shared" si="22"/>
        <v>3589545.5946330908</v>
      </c>
      <c r="K58" s="223">
        <f t="shared" si="23"/>
        <v>6244568.7818580894</v>
      </c>
      <c r="L58" s="223">
        <f t="shared" si="24"/>
        <v>8572349.9384455774</v>
      </c>
      <c r="M58" s="223">
        <f t="shared" si="25"/>
        <v>8807049.6622704342</v>
      </c>
      <c r="N58" s="223">
        <f t="shared" si="26"/>
        <v>9323232.890205441</v>
      </c>
      <c r="O58" s="223">
        <f t="shared" si="27"/>
        <v>8082508.4909645142</v>
      </c>
      <c r="Q58" s="222">
        <v>0.118531706886448</v>
      </c>
      <c r="R58" s="222">
        <v>8.0113120577770605E-2</v>
      </c>
      <c r="S58" s="222">
        <v>8.9360264886606797E-2</v>
      </c>
      <c r="T58" s="222">
        <v>8.0801268416939104E-2</v>
      </c>
      <c r="U58" s="222">
        <v>8.7434829745395196E-2</v>
      </c>
      <c r="V58" s="222">
        <v>9.2124646988523698E-2</v>
      </c>
      <c r="W58" s="222">
        <v>3.6333224419830397E-2</v>
      </c>
      <c r="X58" s="222">
        <v>6.3207253668972604E-2</v>
      </c>
      <c r="Y58" s="222">
        <v>8.6768953313907896E-2</v>
      </c>
      <c r="Z58" s="222">
        <v>8.9144573712698905E-2</v>
      </c>
      <c r="AA58" s="222">
        <v>9.4369357899966505E-2</v>
      </c>
      <c r="AB58" s="222">
        <v>8.1810799482939997E-2</v>
      </c>
      <c r="AD58" s="712">
        <v>95917601</v>
      </c>
      <c r="AE58" s="712">
        <v>126103903</v>
      </c>
      <c r="AF58" s="712">
        <f t="shared" si="2"/>
        <v>30186302</v>
      </c>
      <c r="AG58" s="712">
        <v>98795129.030000001</v>
      </c>
    </row>
    <row r="59" spans="1:33" x14ac:dyDescent="0.2">
      <c r="A59" s="221">
        <v>54</v>
      </c>
      <c r="B59" s="222" t="s">
        <v>94</v>
      </c>
      <c r="C59" s="223">
        <v>1028491.05</v>
      </c>
      <c r="D59" s="223">
        <f t="shared" si="16"/>
        <v>88069.001509269074</v>
      </c>
      <c r="E59" s="223">
        <f t="shared" si="17"/>
        <v>94184.77871813839</v>
      </c>
      <c r="F59" s="223">
        <f t="shared" si="18"/>
        <v>77575.255912446359</v>
      </c>
      <c r="G59" s="223">
        <f t="shared" si="19"/>
        <v>105028.85948369552</v>
      </c>
      <c r="H59" s="223">
        <f t="shared" si="20"/>
        <v>82015.760433161442</v>
      </c>
      <c r="I59" s="223">
        <f t="shared" si="21"/>
        <v>82360.689516672821</v>
      </c>
      <c r="J59" s="223">
        <f t="shared" si="22"/>
        <v>83586.298302071111</v>
      </c>
      <c r="K59" s="223">
        <f t="shared" si="23"/>
        <v>83620.752099661739</v>
      </c>
      <c r="L59" s="223">
        <f t="shared" si="24"/>
        <v>83012.413506221026</v>
      </c>
      <c r="M59" s="223">
        <f t="shared" si="25"/>
        <v>83012.413506221026</v>
      </c>
      <c r="N59" s="223">
        <f t="shared" si="26"/>
        <v>83012.413506221026</v>
      </c>
      <c r="O59" s="223">
        <f t="shared" si="27"/>
        <v>83012.413506221026</v>
      </c>
      <c r="Q59" s="222">
        <v>8.56293319317354E-2</v>
      </c>
      <c r="R59" s="222">
        <v>9.1575691123552697E-2</v>
      </c>
      <c r="S59" s="222">
        <v>7.5426281942313794E-2</v>
      </c>
      <c r="T59" s="222">
        <v>0.102119371368079</v>
      </c>
      <c r="U59" s="222">
        <v>7.9743776509442102E-2</v>
      </c>
      <c r="V59" s="222">
        <v>8.0079150437597696E-2</v>
      </c>
      <c r="W59" s="222">
        <v>8.1270807657559202E-2</v>
      </c>
      <c r="X59" s="222">
        <v>8.1304307023052594E-2</v>
      </c>
      <c r="Y59" s="222">
        <v>8.0712820501667004E-2</v>
      </c>
      <c r="Z59" s="222">
        <v>8.0712820501667004E-2</v>
      </c>
      <c r="AA59" s="222">
        <v>8.0712820501667004E-2</v>
      </c>
      <c r="AB59" s="222">
        <v>8.0712820501667004E-2</v>
      </c>
      <c r="AD59" s="712">
        <v>998535</v>
      </c>
      <c r="AE59" s="712">
        <v>896911</v>
      </c>
      <c r="AF59" s="712">
        <f t="shared" si="2"/>
        <v>-101624</v>
      </c>
      <c r="AG59" s="712">
        <v>1028491.05</v>
      </c>
    </row>
    <row r="60" spans="1:33" x14ac:dyDescent="0.2">
      <c r="A60" s="221">
        <v>55</v>
      </c>
      <c r="B60" s="222" t="s">
        <v>347</v>
      </c>
      <c r="C60" s="223">
        <v>145192.92000000001</v>
      </c>
      <c r="D60" s="223">
        <f t="shared" si="16"/>
        <v>12099.409999999996</v>
      </c>
      <c r="E60" s="223">
        <f t="shared" si="17"/>
        <v>12099.409999999996</v>
      </c>
      <c r="F60" s="223">
        <f t="shared" si="18"/>
        <v>12099.409999999996</v>
      </c>
      <c r="G60" s="223">
        <f t="shared" si="19"/>
        <v>12099.409999999996</v>
      </c>
      <c r="H60" s="223">
        <f t="shared" si="20"/>
        <v>12099.409999999996</v>
      </c>
      <c r="I60" s="223">
        <f t="shared" si="21"/>
        <v>12099.409999999996</v>
      </c>
      <c r="J60" s="223">
        <f t="shared" si="22"/>
        <v>12099.409999999996</v>
      </c>
      <c r="K60" s="223">
        <f t="shared" si="23"/>
        <v>12099.409999999996</v>
      </c>
      <c r="L60" s="223">
        <f t="shared" si="24"/>
        <v>12099.409999999996</v>
      </c>
      <c r="M60" s="223">
        <f t="shared" si="25"/>
        <v>12099.409999999996</v>
      </c>
      <c r="N60" s="223">
        <f t="shared" si="26"/>
        <v>12099.409999999996</v>
      </c>
      <c r="O60" s="223">
        <f t="shared" si="27"/>
        <v>12099.409999999996</v>
      </c>
      <c r="Q60" s="222">
        <v>8.3333333333333301E-2</v>
      </c>
      <c r="R60" s="222">
        <v>8.3333333333333301E-2</v>
      </c>
      <c r="S60" s="222">
        <v>8.3333333333333301E-2</v>
      </c>
      <c r="T60" s="222">
        <v>8.3333333333333301E-2</v>
      </c>
      <c r="U60" s="222">
        <v>8.3333333333333301E-2</v>
      </c>
      <c r="V60" s="222">
        <v>8.3333333333333301E-2</v>
      </c>
      <c r="W60" s="222">
        <v>8.3333333333333301E-2</v>
      </c>
      <c r="X60" s="222">
        <v>8.3333333333333301E-2</v>
      </c>
      <c r="Y60" s="222">
        <v>8.3333333333333301E-2</v>
      </c>
      <c r="Z60" s="222">
        <v>8.3333333333333301E-2</v>
      </c>
      <c r="AA60" s="222">
        <v>8.3333333333333301E-2</v>
      </c>
      <c r="AB60" s="222">
        <v>8.3333333333333301E-2</v>
      </c>
      <c r="AD60" s="712">
        <v>140964</v>
      </c>
      <c r="AE60" s="712">
        <v>0</v>
      </c>
      <c r="AF60" s="712">
        <f t="shared" si="2"/>
        <v>-140964</v>
      </c>
      <c r="AG60" s="712">
        <v>145192.92000000001</v>
      </c>
    </row>
    <row r="61" spans="1:33" x14ac:dyDescent="0.2">
      <c r="A61" s="221">
        <v>56</v>
      </c>
      <c r="B61" s="222" t="s">
        <v>348</v>
      </c>
      <c r="C61" s="223">
        <v>93046.080000000002</v>
      </c>
      <c r="D61" s="223">
        <f t="shared" si="16"/>
        <v>7753.8399999999974</v>
      </c>
      <c r="E61" s="223">
        <f t="shared" si="17"/>
        <v>7753.8399999999974</v>
      </c>
      <c r="F61" s="223">
        <f t="shared" si="18"/>
        <v>7753.8399999999974</v>
      </c>
      <c r="G61" s="223">
        <f t="shared" si="19"/>
        <v>7753.8399999999974</v>
      </c>
      <c r="H61" s="223">
        <f t="shared" si="20"/>
        <v>7753.8399999999974</v>
      </c>
      <c r="I61" s="223">
        <f t="shared" si="21"/>
        <v>7753.8399999999974</v>
      </c>
      <c r="J61" s="223">
        <f t="shared" si="22"/>
        <v>7753.8399999999974</v>
      </c>
      <c r="K61" s="223">
        <f t="shared" si="23"/>
        <v>7753.8399999999974</v>
      </c>
      <c r="L61" s="223">
        <f t="shared" si="24"/>
        <v>7753.8399999999974</v>
      </c>
      <c r="M61" s="223">
        <f t="shared" si="25"/>
        <v>7753.8399999999974</v>
      </c>
      <c r="N61" s="223">
        <f t="shared" si="26"/>
        <v>7753.8399999999974</v>
      </c>
      <c r="O61" s="223">
        <f t="shared" si="27"/>
        <v>7753.8399999999974</v>
      </c>
      <c r="Q61" s="222">
        <v>8.3333333333333301E-2</v>
      </c>
      <c r="R61" s="222">
        <v>8.3333333333333301E-2</v>
      </c>
      <c r="S61" s="222">
        <v>8.3333333333333301E-2</v>
      </c>
      <c r="T61" s="222">
        <v>8.3333333333333301E-2</v>
      </c>
      <c r="U61" s="222">
        <v>8.3333333333333301E-2</v>
      </c>
      <c r="V61" s="222">
        <v>8.3333333333333301E-2</v>
      </c>
      <c r="W61" s="222">
        <v>8.3333333333333301E-2</v>
      </c>
      <c r="X61" s="222">
        <v>8.3333333333333301E-2</v>
      </c>
      <c r="Y61" s="222">
        <v>8.3333333333333301E-2</v>
      </c>
      <c r="Z61" s="222">
        <v>8.3333333333333301E-2</v>
      </c>
      <c r="AA61" s="222">
        <v>8.3333333333333301E-2</v>
      </c>
      <c r="AB61" s="222">
        <v>8.3333333333333301E-2</v>
      </c>
      <c r="AD61" s="712">
        <v>90336</v>
      </c>
      <c r="AE61" s="712">
        <v>439400</v>
      </c>
      <c r="AF61" s="712">
        <f t="shared" si="2"/>
        <v>349064</v>
      </c>
      <c r="AG61" s="712">
        <v>93046.080000000002</v>
      </c>
    </row>
    <row r="62" spans="1:33" x14ac:dyDescent="0.2">
      <c r="A62" s="221">
        <v>57</v>
      </c>
      <c r="B62" s="222" t="s">
        <v>65</v>
      </c>
      <c r="C62" s="223">
        <v>2163452.17</v>
      </c>
      <c r="D62" s="223">
        <f t="shared" si="16"/>
        <v>180287.68083333326</v>
      </c>
      <c r="E62" s="223">
        <f t="shared" si="17"/>
        <v>180287.68083333326</v>
      </c>
      <c r="F62" s="223">
        <f t="shared" si="18"/>
        <v>180287.68083333326</v>
      </c>
      <c r="G62" s="223">
        <f t="shared" si="19"/>
        <v>180287.68083333326</v>
      </c>
      <c r="H62" s="223">
        <f t="shared" si="20"/>
        <v>180287.68083333326</v>
      </c>
      <c r="I62" s="223">
        <f t="shared" si="21"/>
        <v>180287.68083333326</v>
      </c>
      <c r="J62" s="223">
        <f t="shared" si="22"/>
        <v>180287.68083333326</v>
      </c>
      <c r="K62" s="223">
        <f t="shared" si="23"/>
        <v>180287.68083333326</v>
      </c>
      <c r="L62" s="223">
        <f t="shared" si="24"/>
        <v>180287.68083333326</v>
      </c>
      <c r="M62" s="223">
        <f t="shared" si="25"/>
        <v>180287.68083333326</v>
      </c>
      <c r="N62" s="223">
        <f t="shared" si="26"/>
        <v>180287.68083333326</v>
      </c>
      <c r="O62" s="223">
        <f t="shared" si="27"/>
        <v>180287.68083333326</v>
      </c>
      <c r="Q62" s="222">
        <v>8.3333333333333301E-2</v>
      </c>
      <c r="R62" s="222">
        <v>8.3333333333333301E-2</v>
      </c>
      <c r="S62" s="222">
        <v>8.3333333333333301E-2</v>
      </c>
      <c r="T62" s="222">
        <v>8.3333333333333301E-2</v>
      </c>
      <c r="U62" s="222">
        <v>8.3333333333333301E-2</v>
      </c>
      <c r="V62" s="222">
        <v>8.3333333333333301E-2</v>
      </c>
      <c r="W62" s="222">
        <v>8.3333333333333301E-2</v>
      </c>
      <c r="X62" s="222">
        <v>8.3333333333333301E-2</v>
      </c>
      <c r="Y62" s="222">
        <v>8.3333333333333301E-2</v>
      </c>
      <c r="Z62" s="222">
        <v>8.3333333333333301E-2</v>
      </c>
      <c r="AA62" s="222">
        <v>8.3333333333333301E-2</v>
      </c>
      <c r="AB62" s="222">
        <v>8.3333333333333301E-2</v>
      </c>
      <c r="AD62" s="712">
        <v>2100439</v>
      </c>
      <c r="AE62" s="712">
        <v>1182381</v>
      </c>
      <c r="AF62" s="712">
        <f t="shared" si="2"/>
        <v>-918058</v>
      </c>
      <c r="AG62" s="712">
        <v>2163452.17</v>
      </c>
    </row>
    <row r="63" spans="1:33" x14ac:dyDescent="0.2">
      <c r="A63" s="221">
        <v>58</v>
      </c>
      <c r="B63" s="222" t="s">
        <v>134</v>
      </c>
      <c r="C63" s="223">
        <v>2509832.9300000002</v>
      </c>
      <c r="D63" s="223">
        <f t="shared" si="16"/>
        <v>209152.74416666661</v>
      </c>
      <c r="E63" s="223">
        <f t="shared" si="17"/>
        <v>209152.74416666661</v>
      </c>
      <c r="F63" s="223">
        <f t="shared" si="18"/>
        <v>209152.74416666661</v>
      </c>
      <c r="G63" s="223">
        <f t="shared" si="19"/>
        <v>209152.74416666661</v>
      </c>
      <c r="H63" s="223">
        <f t="shared" si="20"/>
        <v>209152.74416666661</v>
      </c>
      <c r="I63" s="223">
        <f t="shared" si="21"/>
        <v>209152.74416666661</v>
      </c>
      <c r="J63" s="223">
        <f t="shared" si="22"/>
        <v>209152.74416666661</v>
      </c>
      <c r="K63" s="223">
        <f t="shared" si="23"/>
        <v>209152.74416666661</v>
      </c>
      <c r="L63" s="223">
        <f t="shared" si="24"/>
        <v>209152.74416666661</v>
      </c>
      <c r="M63" s="223">
        <f t="shared" si="25"/>
        <v>209152.74416666661</v>
      </c>
      <c r="N63" s="223">
        <f t="shared" si="26"/>
        <v>209152.74416666661</v>
      </c>
      <c r="O63" s="223">
        <f t="shared" si="27"/>
        <v>209152.74416666661</v>
      </c>
      <c r="Q63" s="222">
        <v>8.3333333333333301E-2</v>
      </c>
      <c r="R63" s="222">
        <v>8.3333333333333301E-2</v>
      </c>
      <c r="S63" s="222">
        <v>8.3333333333333301E-2</v>
      </c>
      <c r="T63" s="222">
        <v>8.3333333333333301E-2</v>
      </c>
      <c r="U63" s="222">
        <v>8.3333333333333301E-2</v>
      </c>
      <c r="V63" s="222">
        <v>8.3333333333333301E-2</v>
      </c>
      <c r="W63" s="222">
        <v>8.3333333333333301E-2</v>
      </c>
      <c r="X63" s="222">
        <v>8.3333333333333301E-2</v>
      </c>
      <c r="Y63" s="222">
        <v>8.3333333333333301E-2</v>
      </c>
      <c r="Z63" s="222">
        <v>8.3333333333333301E-2</v>
      </c>
      <c r="AA63" s="222">
        <v>8.3333333333333301E-2</v>
      </c>
      <c r="AB63" s="222">
        <v>8.3333333333333301E-2</v>
      </c>
      <c r="AD63" s="712">
        <v>2436731</v>
      </c>
      <c r="AE63" s="712">
        <v>1781492</v>
      </c>
      <c r="AF63" s="712">
        <f t="shared" si="2"/>
        <v>-655239</v>
      </c>
      <c r="AG63" s="712">
        <v>2509832.9300000002</v>
      </c>
    </row>
    <row r="64" spans="1:33" x14ac:dyDescent="0.2">
      <c r="A64" s="221">
        <v>59</v>
      </c>
      <c r="B64" s="222" t="s">
        <v>136</v>
      </c>
      <c r="C64" s="223">
        <v>1745614.13</v>
      </c>
      <c r="D64" s="223">
        <f t="shared" si="16"/>
        <v>158374.30946882514</v>
      </c>
      <c r="E64" s="223">
        <f t="shared" si="17"/>
        <v>158918.55108212007</v>
      </c>
      <c r="F64" s="223">
        <f t="shared" si="18"/>
        <v>80965.753301057615</v>
      </c>
      <c r="G64" s="223">
        <f t="shared" si="19"/>
        <v>161967.57719636889</v>
      </c>
      <c r="H64" s="223">
        <f t="shared" si="20"/>
        <v>163049.6950239728</v>
      </c>
      <c r="I64" s="223">
        <f t="shared" si="21"/>
        <v>164271.85162926666</v>
      </c>
      <c r="J64" s="223">
        <f t="shared" si="22"/>
        <v>102956.08499769958</v>
      </c>
      <c r="K64" s="223">
        <f t="shared" si="23"/>
        <v>106902.63236896116</v>
      </c>
      <c r="L64" s="223">
        <f t="shared" si="24"/>
        <v>161967.57719636889</v>
      </c>
      <c r="M64" s="223">
        <f t="shared" si="25"/>
        <v>163049.6950239728</v>
      </c>
      <c r="N64" s="223">
        <f t="shared" si="26"/>
        <v>164271.85162926666</v>
      </c>
      <c r="O64" s="223">
        <f t="shared" si="27"/>
        <v>158918.55108212007</v>
      </c>
      <c r="Q64" s="222">
        <v>9.0726986421005407E-2</v>
      </c>
      <c r="R64" s="222">
        <v>9.1038763006644596E-2</v>
      </c>
      <c r="S64" s="222">
        <v>4.6382388816397599E-2</v>
      </c>
      <c r="T64" s="222">
        <v>9.2785441188178802E-2</v>
      </c>
      <c r="U64" s="222">
        <v>9.3405347849683601E-2</v>
      </c>
      <c r="V64" s="222">
        <v>9.4105477726206699E-2</v>
      </c>
      <c r="W64" s="222">
        <v>5.8979864580781999E-2</v>
      </c>
      <c r="X64" s="222">
        <v>6.1240700640387898E-2</v>
      </c>
      <c r="Y64" s="222">
        <v>9.2785441188178802E-2</v>
      </c>
      <c r="Z64" s="222">
        <v>9.3405347849683601E-2</v>
      </c>
      <c r="AA64" s="222">
        <v>9.4105477726206699E-2</v>
      </c>
      <c r="AB64" s="222">
        <v>9.1038763006644596E-2</v>
      </c>
      <c r="AD64" s="712">
        <v>1694771</v>
      </c>
      <c r="AE64" s="712">
        <v>1100416</v>
      </c>
      <c r="AF64" s="712">
        <f t="shared" si="2"/>
        <v>-594355</v>
      </c>
      <c r="AG64" s="712">
        <v>1745614.13</v>
      </c>
    </row>
    <row r="65" spans="1:33" x14ac:dyDescent="0.2">
      <c r="A65" s="221">
        <v>60</v>
      </c>
      <c r="B65" s="222" t="s">
        <v>137</v>
      </c>
      <c r="C65" s="223">
        <v>1525516.52</v>
      </c>
      <c r="D65" s="223">
        <f t="shared" si="16"/>
        <v>138405.51659505942</v>
      </c>
      <c r="E65" s="223">
        <f t="shared" si="17"/>
        <v>138881.13692700121</v>
      </c>
      <c r="F65" s="223">
        <f t="shared" si="18"/>
        <v>70757.100376477785</v>
      </c>
      <c r="G65" s="223">
        <f t="shared" si="19"/>
        <v>141545.72334805518</v>
      </c>
      <c r="H65" s="223">
        <f t="shared" si="20"/>
        <v>142491.40120103883</v>
      </c>
      <c r="I65" s="223">
        <f t="shared" si="21"/>
        <v>143559.46089382036</v>
      </c>
      <c r="J65" s="223">
        <f t="shared" si="22"/>
        <v>89974.757765345814</v>
      </c>
      <c r="K65" s="223">
        <f t="shared" si="23"/>
        <v>93423.700523286316</v>
      </c>
      <c r="L65" s="223">
        <f t="shared" si="24"/>
        <v>141545.72334805518</v>
      </c>
      <c r="M65" s="223">
        <f t="shared" si="25"/>
        <v>142491.40120103883</v>
      </c>
      <c r="N65" s="223">
        <f t="shared" si="26"/>
        <v>143559.46089382036</v>
      </c>
      <c r="O65" s="223">
        <f t="shared" si="27"/>
        <v>138881.13692700121</v>
      </c>
      <c r="Q65" s="222">
        <v>9.0726986421005407E-2</v>
      </c>
      <c r="R65" s="222">
        <v>9.1038763006644596E-2</v>
      </c>
      <c r="S65" s="222">
        <v>4.6382388816397599E-2</v>
      </c>
      <c r="T65" s="222">
        <v>9.2785441188178802E-2</v>
      </c>
      <c r="U65" s="222">
        <v>9.3405347849683601E-2</v>
      </c>
      <c r="V65" s="222">
        <v>9.4105477726206699E-2</v>
      </c>
      <c r="W65" s="222">
        <v>5.8979864580781999E-2</v>
      </c>
      <c r="X65" s="222">
        <v>6.1240700640387898E-2</v>
      </c>
      <c r="Y65" s="222">
        <v>9.2785441188178802E-2</v>
      </c>
      <c r="Z65" s="222">
        <v>9.3405347849683601E-2</v>
      </c>
      <c r="AA65" s="222">
        <v>9.4105477726206699E-2</v>
      </c>
      <c r="AB65" s="222">
        <v>9.1038763006644596E-2</v>
      </c>
      <c r="AD65" s="712">
        <v>1481084</v>
      </c>
      <c r="AE65" s="712">
        <v>1495120</v>
      </c>
      <c r="AF65" s="712">
        <f t="shared" si="2"/>
        <v>14036</v>
      </c>
      <c r="AG65" s="712">
        <v>1525516.52</v>
      </c>
    </row>
    <row r="66" spans="1:33" x14ac:dyDescent="0.2">
      <c r="A66" s="221">
        <v>61</v>
      </c>
      <c r="B66" s="222" t="s">
        <v>135</v>
      </c>
      <c r="C66" s="223">
        <v>523952.76</v>
      </c>
      <c r="D66" s="223">
        <f t="shared" si="16"/>
        <v>46761.263561136802</v>
      </c>
      <c r="E66" s="223">
        <f t="shared" si="17"/>
        <v>48203.025867545701</v>
      </c>
      <c r="F66" s="223">
        <f t="shared" si="18"/>
        <v>50581.562358324773</v>
      </c>
      <c r="G66" s="223">
        <f t="shared" si="19"/>
        <v>46929.946568288397</v>
      </c>
      <c r="H66" s="223">
        <f t="shared" si="20"/>
        <v>45509.402250200445</v>
      </c>
      <c r="I66" s="223">
        <f t="shared" si="21"/>
        <v>43965.793599851</v>
      </c>
      <c r="J66" s="223">
        <f t="shared" si="22"/>
        <v>46531.048387854426</v>
      </c>
      <c r="K66" s="223">
        <f t="shared" si="23"/>
        <v>32370.162982449037</v>
      </c>
      <c r="L66" s="223">
        <f t="shared" si="24"/>
        <v>26695.412006009603</v>
      </c>
      <c r="M66" s="223">
        <f t="shared" si="25"/>
        <v>46929.946568288397</v>
      </c>
      <c r="N66" s="223">
        <f t="shared" si="26"/>
        <v>45509.402250200445</v>
      </c>
      <c r="O66" s="223">
        <f t="shared" si="27"/>
        <v>43965.793599851</v>
      </c>
      <c r="Q66" s="222">
        <v>8.9247098461962104E-2</v>
      </c>
      <c r="R66" s="222">
        <v>9.1998801318549595E-2</v>
      </c>
      <c r="S66" s="222">
        <v>9.6538402352007405E-2</v>
      </c>
      <c r="T66" s="222">
        <v>8.9569041621783599E-2</v>
      </c>
      <c r="U66" s="222">
        <v>8.6857834760142194E-2</v>
      </c>
      <c r="V66" s="222">
        <v>8.3911751127813503E-2</v>
      </c>
      <c r="W66" s="222">
        <v>8.8807716916796897E-2</v>
      </c>
      <c r="X66" s="222">
        <v>6.1780689889769903E-2</v>
      </c>
      <c r="Y66" s="222">
        <v>5.0950036041435498E-2</v>
      </c>
      <c r="Z66" s="222">
        <v>8.9569041621783599E-2</v>
      </c>
      <c r="AA66" s="222">
        <v>8.6857834760142194E-2</v>
      </c>
      <c r="AB66" s="222">
        <v>8.3911751127813503E-2</v>
      </c>
      <c r="AD66" s="712">
        <v>508692</v>
      </c>
      <c r="AE66" s="712">
        <v>1418880</v>
      </c>
      <c r="AF66" s="712">
        <f t="shared" si="2"/>
        <v>910188</v>
      </c>
      <c r="AG66" s="712">
        <v>523952.76</v>
      </c>
    </row>
    <row r="67" spans="1:33" x14ac:dyDescent="0.2">
      <c r="A67" s="221">
        <v>62</v>
      </c>
      <c r="B67" s="222" t="s">
        <v>113</v>
      </c>
      <c r="C67" s="223">
        <v>1284855.99</v>
      </c>
      <c r="D67" s="223">
        <f t="shared" si="16"/>
        <v>60916.878000000033</v>
      </c>
      <c r="E67" s="223">
        <f t="shared" si="17"/>
        <v>114709.81249999994</v>
      </c>
      <c r="F67" s="223">
        <f t="shared" si="18"/>
        <v>111003.02790000003</v>
      </c>
      <c r="G67" s="223">
        <f t="shared" si="19"/>
        <v>53281.580699999977</v>
      </c>
      <c r="H67" s="223">
        <f t="shared" si="20"/>
        <v>118243.67039999997</v>
      </c>
      <c r="I67" s="223">
        <f t="shared" si="21"/>
        <v>118399.62270000005</v>
      </c>
      <c r="J67" s="223">
        <f t="shared" si="22"/>
        <v>118643.62970000005</v>
      </c>
      <c r="K67" s="223">
        <f t="shared" si="23"/>
        <v>117111.69010000005</v>
      </c>
      <c r="L67" s="223">
        <f t="shared" si="24"/>
        <v>117873.41629999995</v>
      </c>
      <c r="M67" s="223">
        <f t="shared" si="25"/>
        <v>117873.41629999995</v>
      </c>
      <c r="N67" s="223">
        <f t="shared" si="26"/>
        <v>118399.62270000005</v>
      </c>
      <c r="O67" s="223">
        <f t="shared" si="27"/>
        <v>118399.62270000005</v>
      </c>
      <c r="Q67" s="222">
        <v>4.74114441416894E-2</v>
      </c>
      <c r="R67" s="222">
        <v>8.9278342003137598E-2</v>
      </c>
      <c r="S67" s="222">
        <v>8.6393361406985406E-2</v>
      </c>
      <c r="T67" s="222">
        <v>4.1468912558830798E-2</v>
      </c>
      <c r="U67" s="222">
        <v>9.2028734208570703E-2</v>
      </c>
      <c r="V67" s="222">
        <v>9.2150111468912596E-2</v>
      </c>
      <c r="W67" s="222">
        <v>9.2340021468086897E-2</v>
      </c>
      <c r="X67" s="222">
        <v>9.1147716951531704E-2</v>
      </c>
      <c r="Y67" s="222">
        <v>9.1740566427214898E-2</v>
      </c>
      <c r="Z67" s="222">
        <v>9.1740566427214898E-2</v>
      </c>
      <c r="AA67" s="222">
        <v>9.2150111468912596E-2</v>
      </c>
      <c r="AB67" s="222">
        <v>9.2150111468912596E-2</v>
      </c>
      <c r="AD67" s="712">
        <v>1247433</v>
      </c>
      <c r="AE67" s="712">
        <v>1459686</v>
      </c>
      <c r="AF67" s="712">
        <f t="shared" si="2"/>
        <v>212253</v>
      </c>
      <c r="AG67" s="712">
        <v>1284855.99</v>
      </c>
    </row>
    <row r="68" spans="1:33" x14ac:dyDescent="0.2">
      <c r="A68" s="221">
        <v>63</v>
      </c>
      <c r="B68" s="222" t="s">
        <v>123</v>
      </c>
      <c r="C68" s="223">
        <v>2335229.39</v>
      </c>
      <c r="D68" s="223">
        <f t="shared" si="16"/>
        <v>139310.58406469948</v>
      </c>
      <c r="E68" s="223">
        <f t="shared" si="17"/>
        <v>241043.95035947621</v>
      </c>
      <c r="F68" s="223">
        <f t="shared" si="18"/>
        <v>195487.48555758237</v>
      </c>
      <c r="G68" s="223">
        <f t="shared" si="19"/>
        <v>195487.48555758237</v>
      </c>
      <c r="H68" s="223">
        <f t="shared" si="20"/>
        <v>195487.48555758237</v>
      </c>
      <c r="I68" s="223">
        <f t="shared" si="21"/>
        <v>195487.48555758237</v>
      </c>
      <c r="J68" s="223">
        <f t="shared" si="22"/>
        <v>195487.48555758237</v>
      </c>
      <c r="K68" s="223">
        <f t="shared" si="23"/>
        <v>195487.48555758237</v>
      </c>
      <c r="L68" s="223">
        <f t="shared" si="24"/>
        <v>195487.48555758237</v>
      </c>
      <c r="M68" s="223">
        <f t="shared" si="25"/>
        <v>195487.48555758237</v>
      </c>
      <c r="N68" s="223">
        <f t="shared" si="26"/>
        <v>195487.48555758237</v>
      </c>
      <c r="O68" s="223">
        <f t="shared" si="27"/>
        <v>195487.48555758237</v>
      </c>
      <c r="Q68" s="222">
        <v>5.9656059769228699E-2</v>
      </c>
      <c r="R68" s="222">
        <v>0.103220673477168</v>
      </c>
      <c r="S68" s="222">
        <v>8.3712326675360299E-2</v>
      </c>
      <c r="T68" s="222">
        <v>8.3712326675360299E-2</v>
      </c>
      <c r="U68" s="222">
        <v>8.3712326675360299E-2</v>
      </c>
      <c r="V68" s="222">
        <v>8.3712326675360299E-2</v>
      </c>
      <c r="W68" s="222">
        <v>8.3712326675360299E-2</v>
      </c>
      <c r="X68" s="222">
        <v>8.3712326675360299E-2</v>
      </c>
      <c r="Y68" s="222">
        <v>8.3712326675360299E-2</v>
      </c>
      <c r="Z68" s="222">
        <v>8.3712326675360299E-2</v>
      </c>
      <c r="AA68" s="222">
        <v>8.3712326675360299E-2</v>
      </c>
      <c r="AB68" s="222">
        <v>8.3712326675360299E-2</v>
      </c>
      <c r="AD68" s="712">
        <v>2267213</v>
      </c>
      <c r="AE68" s="712">
        <v>1223140</v>
      </c>
      <c r="AF68" s="712">
        <f t="shared" si="2"/>
        <v>-1044073</v>
      </c>
      <c r="AG68" s="712">
        <v>2335229.39</v>
      </c>
    </row>
    <row r="69" spans="1:33" x14ac:dyDescent="0.2">
      <c r="A69" s="221">
        <v>64</v>
      </c>
      <c r="B69" s="222" t="s">
        <v>74</v>
      </c>
      <c r="C69" s="223">
        <v>2274080.35</v>
      </c>
      <c r="D69" s="223">
        <f t="shared" si="16"/>
        <v>234242.45836376247</v>
      </c>
      <c r="E69" s="223">
        <f t="shared" si="17"/>
        <v>144800.10805065825</v>
      </c>
      <c r="F69" s="223">
        <f t="shared" si="18"/>
        <v>234213.81406596658</v>
      </c>
      <c r="G69" s="223">
        <f t="shared" si="19"/>
        <v>144787.37725163854</v>
      </c>
      <c r="H69" s="223">
        <f t="shared" si="20"/>
        <v>144776.7682524554</v>
      </c>
      <c r="I69" s="223">
        <f t="shared" si="21"/>
        <v>144730.08865604972</v>
      </c>
      <c r="J69" s="223">
        <f t="shared" si="22"/>
        <v>243627.1790411555</v>
      </c>
      <c r="K69" s="223">
        <f t="shared" si="23"/>
        <v>196580.51126366257</v>
      </c>
      <c r="L69" s="223">
        <f t="shared" si="24"/>
        <v>196580.51126366257</v>
      </c>
      <c r="M69" s="223">
        <f t="shared" si="25"/>
        <v>196580.51126366257</v>
      </c>
      <c r="N69" s="223">
        <f t="shared" si="26"/>
        <v>196580.51126366257</v>
      </c>
      <c r="O69" s="223">
        <f t="shared" si="27"/>
        <v>196580.51126366257</v>
      </c>
      <c r="Q69" s="222">
        <v>0.103005357028727</v>
      </c>
      <c r="R69" s="222">
        <v>6.3674138889005499E-2</v>
      </c>
      <c r="S69" s="222">
        <v>0.10299276103677101</v>
      </c>
      <c r="T69" s="222">
        <v>6.3668540670358695E-2</v>
      </c>
      <c r="U69" s="222">
        <v>6.3663875488152999E-2</v>
      </c>
      <c r="V69" s="222">
        <v>6.3643348686447998E-2</v>
      </c>
      <c r="W69" s="222">
        <v>0.107132177207879</v>
      </c>
      <c r="X69" s="222">
        <v>8.6443960198531497E-2</v>
      </c>
      <c r="Y69" s="222">
        <v>8.6443960198531497E-2</v>
      </c>
      <c r="Z69" s="222">
        <v>8.6443960198531497E-2</v>
      </c>
      <c r="AA69" s="222">
        <v>8.6443960198531497E-2</v>
      </c>
      <c r="AB69" s="222">
        <v>8.6443960198531497E-2</v>
      </c>
      <c r="AD69" s="712">
        <v>2207845</v>
      </c>
      <c r="AE69" s="712">
        <v>3013476</v>
      </c>
      <c r="AF69" s="712">
        <f t="shared" si="2"/>
        <v>805631</v>
      </c>
      <c r="AG69" s="712">
        <v>2274080.35</v>
      </c>
    </row>
    <row r="70" spans="1:33" x14ac:dyDescent="0.2">
      <c r="A70" s="221">
        <v>65</v>
      </c>
      <c r="B70" s="222" t="s">
        <v>89</v>
      </c>
      <c r="C70" s="223">
        <v>148069.71</v>
      </c>
      <c r="D70" s="223">
        <f t="shared" si="16"/>
        <v>10057.949999999995</v>
      </c>
      <c r="E70" s="223">
        <f t="shared" si="17"/>
        <v>10720.240000000003</v>
      </c>
      <c r="F70" s="223">
        <f t="shared" si="18"/>
        <v>13441.500000000002</v>
      </c>
      <c r="G70" s="223">
        <f t="shared" si="19"/>
        <v>12639.129999999996</v>
      </c>
      <c r="H70" s="223">
        <f t="shared" si="20"/>
        <v>12736.980000000007</v>
      </c>
      <c r="I70" s="223">
        <f t="shared" si="21"/>
        <v>12639.129999999996</v>
      </c>
      <c r="J70" s="223">
        <f t="shared" si="22"/>
        <v>12639.129999999996</v>
      </c>
      <c r="K70" s="223">
        <f t="shared" si="23"/>
        <v>12639.129999999996</v>
      </c>
      <c r="L70" s="223">
        <f t="shared" si="24"/>
        <v>12639.129999999996</v>
      </c>
      <c r="M70" s="223">
        <f t="shared" si="25"/>
        <v>12639.129999999996</v>
      </c>
      <c r="N70" s="223">
        <f t="shared" si="26"/>
        <v>12639.129999999996</v>
      </c>
      <c r="O70" s="223">
        <f t="shared" si="27"/>
        <v>12639.129999999996</v>
      </c>
      <c r="Q70" s="222">
        <v>6.7927127026857798E-2</v>
      </c>
      <c r="R70" s="222">
        <v>7.23999526979556E-2</v>
      </c>
      <c r="S70" s="222">
        <v>9.0778188192574993E-2</v>
      </c>
      <c r="T70" s="222">
        <v>8.5359321633033503E-2</v>
      </c>
      <c r="U70" s="222">
        <v>8.6020159018343506E-2</v>
      </c>
      <c r="V70" s="222">
        <v>8.5359321633033503E-2</v>
      </c>
      <c r="W70" s="222">
        <v>8.5359321633033503E-2</v>
      </c>
      <c r="X70" s="222">
        <v>8.5359321633033503E-2</v>
      </c>
      <c r="Y70" s="222">
        <v>8.5359321633033503E-2</v>
      </c>
      <c r="Z70" s="222">
        <v>8.5359321633033503E-2</v>
      </c>
      <c r="AA70" s="222">
        <v>8.5359321633033503E-2</v>
      </c>
      <c r="AB70" s="222">
        <v>8.5359321633033503E-2</v>
      </c>
      <c r="AD70" s="712">
        <v>143757</v>
      </c>
      <c r="AE70" s="712">
        <v>0</v>
      </c>
      <c r="AF70" s="712">
        <f t="shared" si="2"/>
        <v>-143757</v>
      </c>
      <c r="AG70" s="712">
        <v>148069.71</v>
      </c>
    </row>
    <row r="71" spans="1:33" x14ac:dyDescent="0.2">
      <c r="A71" s="221">
        <v>66</v>
      </c>
      <c r="B71" s="222" t="s">
        <v>118</v>
      </c>
      <c r="C71" s="223">
        <v>9445744.7799999993</v>
      </c>
      <c r="D71" s="223">
        <f t="shared" si="16"/>
        <v>748286.76000000024</v>
      </c>
      <c r="E71" s="223">
        <f t="shared" si="17"/>
        <v>770862.29999999993</v>
      </c>
      <c r="F71" s="223">
        <f t="shared" si="18"/>
        <v>817411.08999999985</v>
      </c>
      <c r="G71" s="223">
        <f t="shared" si="19"/>
        <v>805471.33000000031</v>
      </c>
      <c r="H71" s="223">
        <f t="shared" si="20"/>
        <v>799413.90000000014</v>
      </c>
      <c r="I71" s="223">
        <f t="shared" si="21"/>
        <v>788912.0199999999</v>
      </c>
      <c r="J71" s="223">
        <f t="shared" si="22"/>
        <v>793890.00999999989</v>
      </c>
      <c r="K71" s="223">
        <f t="shared" si="23"/>
        <v>661305.3200000003</v>
      </c>
      <c r="L71" s="223">
        <f t="shared" si="24"/>
        <v>903306.91000000015</v>
      </c>
      <c r="M71" s="223">
        <f t="shared" si="25"/>
        <v>788403.20000000019</v>
      </c>
      <c r="N71" s="223">
        <f t="shared" si="26"/>
        <v>784240.96999999962</v>
      </c>
      <c r="O71" s="223">
        <f t="shared" si="27"/>
        <v>784240.96999999962</v>
      </c>
      <c r="Q71" s="222">
        <v>7.9219455683832304E-2</v>
      </c>
      <c r="R71" s="222">
        <v>8.1609477913503398E-2</v>
      </c>
      <c r="S71" s="222">
        <v>8.65374948231451E-2</v>
      </c>
      <c r="T71" s="222">
        <v>8.5273458976519195E-2</v>
      </c>
      <c r="U71" s="222">
        <v>8.4632172329348096E-2</v>
      </c>
      <c r="V71" s="222">
        <v>8.3520361641615304E-2</v>
      </c>
      <c r="W71" s="222">
        <v>8.4047370375806396E-2</v>
      </c>
      <c r="X71" s="222">
        <v>7.00109240088954E-2</v>
      </c>
      <c r="Y71" s="222">
        <v>9.5631094322241497E-2</v>
      </c>
      <c r="Z71" s="222">
        <v>8.3466493999428196E-2</v>
      </c>
      <c r="AA71" s="222">
        <v>8.3025847962832605E-2</v>
      </c>
      <c r="AB71" s="222">
        <v>8.3025847962832605E-2</v>
      </c>
      <c r="AD71" s="712">
        <v>9170626</v>
      </c>
      <c r="AE71" s="712">
        <v>4910636</v>
      </c>
      <c r="AF71" s="712">
        <f t="shared" ref="AF71:AF118" si="28">AE71-AD71</f>
        <v>-4259990</v>
      </c>
      <c r="AG71" s="712">
        <v>9445744.7799999993</v>
      </c>
    </row>
    <row r="72" spans="1:33" x14ac:dyDescent="0.2">
      <c r="A72" s="221">
        <v>67</v>
      </c>
      <c r="B72" s="222" t="s">
        <v>120</v>
      </c>
      <c r="C72" s="223">
        <v>1897031.34</v>
      </c>
      <c r="D72" s="223">
        <f t="shared" si="16"/>
        <v>156256.15</v>
      </c>
      <c r="E72" s="223">
        <f t="shared" si="17"/>
        <v>158357.34999999995</v>
      </c>
      <c r="F72" s="223">
        <f t="shared" si="18"/>
        <v>158357.34999999995</v>
      </c>
      <c r="G72" s="223">
        <f t="shared" si="19"/>
        <v>158591.16000000009</v>
      </c>
      <c r="H72" s="223">
        <f t="shared" si="20"/>
        <v>158204.91000000003</v>
      </c>
      <c r="I72" s="223">
        <f t="shared" si="21"/>
        <v>158414.00000000006</v>
      </c>
      <c r="J72" s="223">
        <f t="shared" si="22"/>
        <v>162552.54000000004</v>
      </c>
      <c r="K72" s="223">
        <f t="shared" si="23"/>
        <v>152868.47999999992</v>
      </c>
      <c r="L72" s="223">
        <f t="shared" si="24"/>
        <v>158357.34999999995</v>
      </c>
      <c r="M72" s="223">
        <f t="shared" si="25"/>
        <v>158357.34999999995</v>
      </c>
      <c r="N72" s="223">
        <f t="shared" si="26"/>
        <v>158357.34999999995</v>
      </c>
      <c r="O72" s="223">
        <f t="shared" si="27"/>
        <v>158357.34999999995</v>
      </c>
      <c r="Q72" s="222">
        <v>8.2368776258593596E-2</v>
      </c>
      <c r="R72" s="222">
        <v>8.3476401607576994E-2</v>
      </c>
      <c r="S72" s="222">
        <v>8.3476401607576994E-2</v>
      </c>
      <c r="T72" s="222">
        <v>8.3599652075331599E-2</v>
      </c>
      <c r="U72" s="222">
        <v>8.3396044474415496E-2</v>
      </c>
      <c r="V72" s="222">
        <v>8.3506264055711404E-2</v>
      </c>
      <c r="W72" s="222">
        <v>8.56878516303268E-2</v>
      </c>
      <c r="X72" s="222">
        <v>8.0583001860159001E-2</v>
      </c>
      <c r="Y72" s="222">
        <v>8.3476401607576994E-2</v>
      </c>
      <c r="Z72" s="222">
        <v>8.3476401607576994E-2</v>
      </c>
      <c r="AA72" s="222">
        <v>8.3476401607576994E-2</v>
      </c>
      <c r="AB72" s="222">
        <v>8.3476401607576994E-2</v>
      </c>
      <c r="AD72" s="712">
        <v>1841778</v>
      </c>
      <c r="AE72" s="712">
        <v>2940322</v>
      </c>
      <c r="AF72" s="712">
        <f t="shared" si="28"/>
        <v>1098544</v>
      </c>
      <c r="AG72" s="712">
        <v>1897031.34</v>
      </c>
    </row>
    <row r="73" spans="1:33" x14ac:dyDescent="0.2">
      <c r="A73" s="221">
        <v>68</v>
      </c>
      <c r="B73" s="222" t="s">
        <v>144</v>
      </c>
      <c r="C73" s="223">
        <v>5459000</v>
      </c>
      <c r="D73" s="223">
        <f t="shared" ref="D73:D104" si="29">$C73*Q73</f>
        <v>454916.66666666651</v>
      </c>
      <c r="E73" s="223">
        <f t="shared" ref="E73:E104" si="30">$C73*R73</f>
        <v>454916.66666666651</v>
      </c>
      <c r="F73" s="223">
        <f t="shared" ref="F73:F104" si="31">$C73*S73</f>
        <v>454916.66666666651</v>
      </c>
      <c r="G73" s="223">
        <f t="shared" ref="G73:G104" si="32">$C73*T73</f>
        <v>454916.66666666651</v>
      </c>
      <c r="H73" s="223">
        <f t="shared" ref="H73:H104" si="33">$C73*U73</f>
        <v>454916.66666666651</v>
      </c>
      <c r="I73" s="223">
        <f t="shared" ref="I73:I104" si="34">$C73*V73</f>
        <v>454916.66666666651</v>
      </c>
      <c r="J73" s="223">
        <f t="shared" ref="J73:J104" si="35">$C73*W73</f>
        <v>454916.66666666651</v>
      </c>
      <c r="K73" s="223">
        <f t="shared" ref="K73:K104" si="36">$C73*X73</f>
        <v>454916.66666666651</v>
      </c>
      <c r="L73" s="223">
        <f t="shared" ref="L73:L104" si="37">$C73*Y73</f>
        <v>454916.66666666651</v>
      </c>
      <c r="M73" s="223">
        <f t="shared" ref="M73:M104" si="38">$C73*Z73</f>
        <v>454916.66666666651</v>
      </c>
      <c r="N73" s="223">
        <f t="shared" ref="N73:N104" si="39">$C73*AA73</f>
        <v>454916.66666666651</v>
      </c>
      <c r="O73" s="223">
        <f t="shared" ref="O73:O104" si="40">$C73*AB73</f>
        <v>454916.66666666651</v>
      </c>
      <c r="Q73" s="222">
        <v>8.3333333333333301E-2</v>
      </c>
      <c r="R73" s="222">
        <v>8.3333333333333301E-2</v>
      </c>
      <c r="S73" s="222">
        <v>8.3333333333333301E-2</v>
      </c>
      <c r="T73" s="222">
        <v>8.3333333333333301E-2</v>
      </c>
      <c r="U73" s="222">
        <v>8.3333333333333301E-2</v>
      </c>
      <c r="V73" s="222">
        <v>8.3333333333333301E-2</v>
      </c>
      <c r="W73" s="222">
        <v>8.3333333333333301E-2</v>
      </c>
      <c r="X73" s="222">
        <v>8.3333333333333301E-2</v>
      </c>
      <c r="Y73" s="222">
        <v>8.3333333333333301E-2</v>
      </c>
      <c r="Z73" s="222">
        <v>8.3333333333333301E-2</v>
      </c>
      <c r="AA73" s="222">
        <v>8.3333333333333301E-2</v>
      </c>
      <c r="AB73" s="222">
        <v>8.3333333333333301E-2</v>
      </c>
      <c r="AD73" s="712">
        <v>5300000</v>
      </c>
      <c r="AE73" s="712">
        <v>4907975</v>
      </c>
      <c r="AF73" s="712">
        <f t="shared" si="28"/>
        <v>-392025</v>
      </c>
      <c r="AG73" s="712">
        <v>5459000</v>
      </c>
    </row>
    <row r="74" spans="1:33" x14ac:dyDescent="0.2">
      <c r="A74" s="221">
        <v>69</v>
      </c>
      <c r="B74" s="222" t="s">
        <v>84</v>
      </c>
      <c r="C74" s="223">
        <v>9637895.4000000004</v>
      </c>
      <c r="D74" s="223">
        <f t="shared" si="29"/>
        <v>705242.04712461843</v>
      </c>
      <c r="E74" s="223">
        <f t="shared" si="30"/>
        <v>472098.45146344817</v>
      </c>
      <c r="F74" s="223">
        <f t="shared" si="31"/>
        <v>670583.57628304453</v>
      </c>
      <c r="G74" s="223">
        <f t="shared" si="32"/>
        <v>989938.17403757898</v>
      </c>
      <c r="H74" s="223">
        <f t="shared" si="33"/>
        <v>497561.87805532041</v>
      </c>
      <c r="I74" s="223">
        <f t="shared" si="34"/>
        <v>896827.20177667006</v>
      </c>
      <c r="J74" s="223">
        <f t="shared" si="35"/>
        <v>900464.13186498208</v>
      </c>
      <c r="K74" s="223">
        <f t="shared" si="36"/>
        <v>903323.41193441034</v>
      </c>
      <c r="L74" s="223">
        <f t="shared" si="37"/>
        <v>900464.13186498208</v>
      </c>
      <c r="M74" s="223">
        <f t="shared" si="38"/>
        <v>900464.13186498208</v>
      </c>
      <c r="N74" s="223">
        <f t="shared" si="39"/>
        <v>900464.13186498208</v>
      </c>
      <c r="O74" s="223">
        <f t="shared" si="40"/>
        <v>900464.13186498208</v>
      </c>
      <c r="Q74" s="222">
        <v>7.3173863987423898E-2</v>
      </c>
      <c r="R74" s="222">
        <v>4.8983562476041E-2</v>
      </c>
      <c r="S74" s="222">
        <v>6.9577801838671599E-2</v>
      </c>
      <c r="T74" s="222">
        <v>0.10271310622831401</v>
      </c>
      <c r="U74" s="222">
        <v>5.1625573572350703E-2</v>
      </c>
      <c r="V74" s="222">
        <v>9.3052182510371506E-2</v>
      </c>
      <c r="W74" s="222">
        <v>9.3429539800253703E-2</v>
      </c>
      <c r="X74" s="222">
        <v>9.3726210385558895E-2</v>
      </c>
      <c r="Y74" s="222">
        <v>9.3429539800253703E-2</v>
      </c>
      <c r="Z74" s="222">
        <v>9.3429539800253703E-2</v>
      </c>
      <c r="AA74" s="222">
        <v>9.3429539800253703E-2</v>
      </c>
      <c r="AB74" s="222">
        <v>9.3429539800253703E-2</v>
      </c>
      <c r="AD74" s="712">
        <v>9357180</v>
      </c>
      <c r="AE74" s="712">
        <v>5563383</v>
      </c>
      <c r="AF74" s="712">
        <f t="shared" si="28"/>
        <v>-3793797</v>
      </c>
      <c r="AG74" s="712">
        <v>9637895.4000000004</v>
      </c>
    </row>
    <row r="75" spans="1:33" x14ac:dyDescent="0.2">
      <c r="A75" s="221">
        <v>70</v>
      </c>
      <c r="B75" s="222" t="s">
        <v>53</v>
      </c>
      <c r="C75" s="223">
        <v>3834294.48</v>
      </c>
      <c r="D75" s="223">
        <f t="shared" si="29"/>
        <v>312092.05999999994</v>
      </c>
      <c r="E75" s="223">
        <f t="shared" si="30"/>
        <v>308505.60000000015</v>
      </c>
      <c r="F75" s="223">
        <f t="shared" si="31"/>
        <v>325759.13000000018</v>
      </c>
      <c r="G75" s="223">
        <f t="shared" si="32"/>
        <v>327686.26000000013</v>
      </c>
      <c r="H75" s="223">
        <f t="shared" si="33"/>
        <v>335520.43999999983</v>
      </c>
      <c r="I75" s="223">
        <f t="shared" si="34"/>
        <v>323571.41000000015</v>
      </c>
      <c r="J75" s="223">
        <f t="shared" si="35"/>
        <v>462049.75999999919</v>
      </c>
      <c r="K75" s="223">
        <f t="shared" si="36"/>
        <v>320462.86999999988</v>
      </c>
      <c r="L75" s="223">
        <f t="shared" si="37"/>
        <v>159156.63000000003</v>
      </c>
      <c r="M75" s="223">
        <f t="shared" si="38"/>
        <v>318016.62</v>
      </c>
      <c r="N75" s="223">
        <f t="shared" si="39"/>
        <v>319335.01999999996</v>
      </c>
      <c r="O75" s="223">
        <f t="shared" si="40"/>
        <v>322138.68000000017</v>
      </c>
      <c r="Q75" s="222">
        <v>8.1394911535328907E-2</v>
      </c>
      <c r="R75" s="222">
        <v>8.0459547801868397E-2</v>
      </c>
      <c r="S75" s="222">
        <v>8.4959340420822399E-2</v>
      </c>
      <c r="T75" s="222">
        <v>8.5461943966286105E-2</v>
      </c>
      <c r="U75" s="222">
        <v>8.7505130800490799E-2</v>
      </c>
      <c r="V75" s="222">
        <v>8.4388773915977405E-2</v>
      </c>
      <c r="W75" s="222">
        <v>0.120504505433813</v>
      </c>
      <c r="X75" s="222">
        <v>8.3578053712765402E-2</v>
      </c>
      <c r="Y75" s="222">
        <v>4.1508713227472301E-2</v>
      </c>
      <c r="Z75" s="222">
        <v>8.2940061505135096E-2</v>
      </c>
      <c r="AA75" s="222">
        <v>8.3283905726510593E-2</v>
      </c>
      <c r="AB75" s="222">
        <v>8.4015111953529495E-2</v>
      </c>
      <c r="AD75" s="712">
        <v>3722616</v>
      </c>
      <c r="AE75" s="712">
        <v>1598740</v>
      </c>
      <c r="AF75" s="712">
        <f t="shared" si="28"/>
        <v>-2123876</v>
      </c>
      <c r="AG75" s="712">
        <v>3834294.48</v>
      </c>
    </row>
    <row r="76" spans="1:33" x14ac:dyDescent="0.2">
      <c r="A76" s="221">
        <v>71</v>
      </c>
      <c r="B76" s="222" t="s">
        <v>143</v>
      </c>
      <c r="C76" s="223">
        <v>4653438.03</v>
      </c>
      <c r="D76" s="223">
        <f t="shared" si="29"/>
        <v>344065.31999999989</v>
      </c>
      <c r="E76" s="223">
        <f t="shared" si="30"/>
        <v>346839.10999999993</v>
      </c>
      <c r="F76" s="223">
        <f t="shared" si="31"/>
        <v>688888.72000000055</v>
      </c>
      <c r="G76" s="223">
        <f t="shared" si="32"/>
        <v>419217.2099999999</v>
      </c>
      <c r="H76" s="223">
        <f t="shared" si="33"/>
        <v>346216.99000000017</v>
      </c>
      <c r="I76" s="223">
        <f t="shared" si="34"/>
        <v>343797.5199999999</v>
      </c>
      <c r="J76" s="223">
        <f t="shared" si="35"/>
        <v>351794.43999999983</v>
      </c>
      <c r="K76" s="223">
        <f t="shared" si="36"/>
        <v>349601.57000000018</v>
      </c>
      <c r="L76" s="223">
        <f t="shared" si="37"/>
        <v>358808.73999999993</v>
      </c>
      <c r="M76" s="223">
        <f t="shared" si="38"/>
        <v>368069.47000000003</v>
      </c>
      <c r="N76" s="223">
        <f t="shared" si="39"/>
        <v>368069.47000000003</v>
      </c>
      <c r="O76" s="223">
        <f t="shared" si="40"/>
        <v>368069.47000000003</v>
      </c>
      <c r="Q76" s="222">
        <v>7.3937875132722E-2</v>
      </c>
      <c r="R76" s="222">
        <v>7.4533948397718305E-2</v>
      </c>
      <c r="S76" s="222">
        <v>0.148038657774927</v>
      </c>
      <c r="T76" s="222">
        <v>9.0087631402281695E-2</v>
      </c>
      <c r="U76" s="222">
        <v>7.4400257995914501E-2</v>
      </c>
      <c r="V76" s="222">
        <v>7.3880326284263401E-2</v>
      </c>
      <c r="W76" s="222">
        <v>7.5598823435927401E-2</v>
      </c>
      <c r="X76" s="222">
        <v>7.5127586903741397E-2</v>
      </c>
      <c r="Y76" s="222">
        <v>7.7106160582093297E-2</v>
      </c>
      <c r="Z76" s="222">
        <v>7.9096244030137E-2</v>
      </c>
      <c r="AA76" s="222">
        <v>7.9096244030137E-2</v>
      </c>
      <c r="AB76" s="222">
        <v>7.9096244030137E-2</v>
      </c>
      <c r="AD76" s="712">
        <v>4517901</v>
      </c>
      <c r="AE76" s="712">
        <v>4182653</v>
      </c>
      <c r="AF76" s="712">
        <f t="shared" si="28"/>
        <v>-335248</v>
      </c>
      <c r="AG76" s="712">
        <v>4653438.03</v>
      </c>
    </row>
    <row r="77" spans="1:33" x14ac:dyDescent="0.2">
      <c r="A77" s="221">
        <v>72</v>
      </c>
      <c r="B77" s="222" t="s">
        <v>132</v>
      </c>
      <c r="C77" s="223">
        <v>1794234.25</v>
      </c>
      <c r="D77" s="223">
        <f t="shared" si="29"/>
        <v>136588.26995479627</v>
      </c>
      <c r="E77" s="223">
        <f t="shared" si="30"/>
        <v>126625.11229510843</v>
      </c>
      <c r="F77" s="223">
        <f t="shared" si="31"/>
        <v>138561.78251146324</v>
      </c>
      <c r="G77" s="223">
        <f t="shared" si="32"/>
        <v>158883.68287980219</v>
      </c>
      <c r="H77" s="223">
        <f t="shared" si="33"/>
        <v>149336.61270675942</v>
      </c>
      <c r="I77" s="223">
        <f t="shared" si="34"/>
        <v>172354.02312395524</v>
      </c>
      <c r="J77" s="223">
        <f t="shared" si="35"/>
        <v>137721.30249622936</v>
      </c>
      <c r="K77" s="223">
        <f t="shared" si="36"/>
        <v>152313.3127607129</v>
      </c>
      <c r="L77" s="223">
        <f t="shared" si="37"/>
        <v>131062.35237553435</v>
      </c>
      <c r="M77" s="223">
        <f t="shared" si="38"/>
        <v>186161.17337421339</v>
      </c>
      <c r="N77" s="223">
        <f t="shared" si="39"/>
        <v>152313.3127607129</v>
      </c>
      <c r="O77" s="223">
        <f t="shared" si="40"/>
        <v>152313.3127607129</v>
      </c>
      <c r="Q77" s="222">
        <v>7.6126219279782595E-2</v>
      </c>
      <c r="R77" s="222">
        <v>7.0573344754236197E-2</v>
      </c>
      <c r="S77" s="222">
        <v>7.7226138399410907E-2</v>
      </c>
      <c r="T77" s="222">
        <v>8.8552363148681507E-2</v>
      </c>
      <c r="U77" s="222">
        <v>8.3231391166877694E-2</v>
      </c>
      <c r="V77" s="222">
        <v>9.6059933714873202E-2</v>
      </c>
      <c r="W77" s="222">
        <v>7.6757704572983906E-2</v>
      </c>
      <c r="X77" s="222">
        <v>8.4890427635473401E-2</v>
      </c>
      <c r="Y77" s="222">
        <v>7.3046399808461102E-2</v>
      </c>
      <c r="Z77" s="222">
        <v>0.10375522224827299</v>
      </c>
      <c r="AA77" s="222">
        <v>8.4890427635473401E-2</v>
      </c>
      <c r="AB77" s="222">
        <v>8.4890427635473401E-2</v>
      </c>
      <c r="AD77" s="712">
        <v>1741975</v>
      </c>
      <c r="AE77" s="712">
        <v>1942947</v>
      </c>
      <c r="AF77" s="712">
        <f t="shared" si="28"/>
        <v>200972</v>
      </c>
      <c r="AG77" s="712">
        <v>1794234.25</v>
      </c>
    </row>
    <row r="78" spans="1:33" x14ac:dyDescent="0.2">
      <c r="A78" s="221">
        <v>73</v>
      </c>
      <c r="B78" s="222" t="s">
        <v>85</v>
      </c>
      <c r="C78" s="223">
        <v>2565605.37</v>
      </c>
      <c r="D78" s="223">
        <f t="shared" si="29"/>
        <v>251246.86999999985</v>
      </c>
      <c r="E78" s="223">
        <f t="shared" si="30"/>
        <v>203257.11</v>
      </c>
      <c r="F78" s="223">
        <f t="shared" si="31"/>
        <v>207499.68000000005</v>
      </c>
      <c r="G78" s="223">
        <f t="shared" si="32"/>
        <v>152716.04000000012</v>
      </c>
      <c r="H78" s="223">
        <f t="shared" si="33"/>
        <v>204962.78999999995</v>
      </c>
      <c r="I78" s="223">
        <f t="shared" si="34"/>
        <v>285585.00999999908</v>
      </c>
      <c r="J78" s="223">
        <f t="shared" si="35"/>
        <v>207916.83000000005</v>
      </c>
      <c r="K78" s="223">
        <f t="shared" si="36"/>
        <v>211900.87000000008</v>
      </c>
      <c r="L78" s="223">
        <f t="shared" si="37"/>
        <v>212817.56999999998</v>
      </c>
      <c r="M78" s="223">
        <f t="shared" si="38"/>
        <v>209255.83000000016</v>
      </c>
      <c r="N78" s="223">
        <f t="shared" si="39"/>
        <v>210811.13000000012</v>
      </c>
      <c r="O78" s="223">
        <f t="shared" si="40"/>
        <v>207635.63999999993</v>
      </c>
      <c r="Q78" s="222">
        <v>9.7928883739434897E-2</v>
      </c>
      <c r="R78" s="222">
        <v>7.9223840258800193E-2</v>
      </c>
      <c r="S78" s="222">
        <v>8.08774733738572E-2</v>
      </c>
      <c r="T78" s="222">
        <v>5.9524368706789899E-2</v>
      </c>
      <c r="U78" s="222">
        <v>7.9888665808335105E-2</v>
      </c>
      <c r="V78" s="222">
        <v>0.11131291403556701</v>
      </c>
      <c r="W78" s="222">
        <v>8.10400665789065E-2</v>
      </c>
      <c r="X78" s="222">
        <v>8.25929320533033E-2</v>
      </c>
      <c r="Y78" s="222">
        <v>8.2950235639707895E-2</v>
      </c>
      <c r="Z78" s="222">
        <v>8.1561970693879604E-2</v>
      </c>
      <c r="AA78" s="222">
        <v>8.2168182396656006E-2</v>
      </c>
      <c r="AB78" s="222">
        <v>8.0930466714762103E-2</v>
      </c>
      <c r="AD78" s="712">
        <v>2490879</v>
      </c>
      <c r="AE78" s="712">
        <v>3340791</v>
      </c>
      <c r="AF78" s="712">
        <f t="shared" si="28"/>
        <v>849912</v>
      </c>
      <c r="AG78" s="712">
        <v>2565605.37</v>
      </c>
    </row>
    <row r="79" spans="1:33" x14ac:dyDescent="0.2">
      <c r="A79" s="221">
        <v>74</v>
      </c>
      <c r="B79" s="224" t="s">
        <v>133</v>
      </c>
      <c r="C79" s="223">
        <v>1480906.19</v>
      </c>
      <c r="D79" s="223">
        <f t="shared" si="29"/>
        <v>124467.25999999997</v>
      </c>
      <c r="E79" s="223">
        <f t="shared" si="30"/>
        <v>124945.17999999993</v>
      </c>
      <c r="F79" s="223">
        <f t="shared" si="31"/>
        <v>123964.61999999994</v>
      </c>
      <c r="G79" s="223">
        <f t="shared" si="32"/>
        <v>118219.28</v>
      </c>
      <c r="H79" s="223">
        <f t="shared" si="33"/>
        <v>121049.71999999996</v>
      </c>
      <c r="I79" s="223">
        <f t="shared" si="34"/>
        <v>123188.00000000007</v>
      </c>
      <c r="J79" s="223">
        <f t="shared" si="35"/>
        <v>123312.62999999995</v>
      </c>
      <c r="K79" s="223">
        <f t="shared" si="36"/>
        <v>124351.89999999998</v>
      </c>
      <c r="L79" s="223">
        <f t="shared" si="37"/>
        <v>124351.89999999998</v>
      </c>
      <c r="M79" s="223">
        <f t="shared" si="38"/>
        <v>124351.89999999998</v>
      </c>
      <c r="N79" s="223">
        <f t="shared" si="39"/>
        <v>124351.89999999998</v>
      </c>
      <c r="O79" s="223">
        <f t="shared" si="40"/>
        <v>124351.89999999998</v>
      </c>
      <c r="Q79" s="222">
        <v>8.4048038181270601E-2</v>
      </c>
      <c r="R79" s="222">
        <v>8.4370759500978207E-2</v>
      </c>
      <c r="S79" s="222">
        <v>8.37086243795091E-2</v>
      </c>
      <c r="T79" s="222">
        <v>7.9829013342161803E-2</v>
      </c>
      <c r="U79" s="222">
        <v>8.1740302537326795E-2</v>
      </c>
      <c r="V79" s="222">
        <v>8.3184202234984295E-2</v>
      </c>
      <c r="W79" s="222">
        <v>8.3268360165339006E-2</v>
      </c>
      <c r="X79" s="222">
        <v>8.3970139931686005E-2</v>
      </c>
      <c r="Y79" s="222">
        <v>8.3970139931686005E-2</v>
      </c>
      <c r="Z79" s="222">
        <v>8.3970139931686005E-2</v>
      </c>
      <c r="AA79" s="222">
        <v>8.3970139931686005E-2</v>
      </c>
      <c r="AB79" s="222">
        <v>8.3970139931686005E-2</v>
      </c>
      <c r="AD79" s="712">
        <v>1437773</v>
      </c>
      <c r="AE79" s="712">
        <v>1482009</v>
      </c>
      <c r="AF79" s="712">
        <f t="shared" si="28"/>
        <v>44236</v>
      </c>
      <c r="AG79" s="712">
        <v>1480906.19</v>
      </c>
    </row>
    <row r="80" spans="1:33" x14ac:dyDescent="0.2">
      <c r="A80" s="221">
        <v>75</v>
      </c>
      <c r="B80" s="222" t="s">
        <v>146</v>
      </c>
      <c r="C80" s="223">
        <v>3322243.37</v>
      </c>
      <c r="D80" s="223">
        <f t="shared" si="29"/>
        <v>274221.15948631731</v>
      </c>
      <c r="E80" s="223">
        <f t="shared" si="30"/>
        <v>175968.37995442864</v>
      </c>
      <c r="F80" s="223">
        <f t="shared" si="31"/>
        <v>291437.02030713263</v>
      </c>
      <c r="G80" s="223">
        <f t="shared" si="32"/>
        <v>148610.87030369986</v>
      </c>
      <c r="H80" s="223">
        <f t="shared" si="33"/>
        <v>293461.77732191578</v>
      </c>
      <c r="I80" s="223">
        <f t="shared" si="34"/>
        <v>295101.72559420048</v>
      </c>
      <c r="J80" s="223">
        <f t="shared" si="35"/>
        <v>320284.66719298996</v>
      </c>
      <c r="K80" s="223">
        <f t="shared" si="36"/>
        <v>320681.64545951551</v>
      </c>
      <c r="L80" s="223">
        <f t="shared" si="37"/>
        <v>317170.94759719889</v>
      </c>
      <c r="M80" s="223">
        <f t="shared" si="38"/>
        <v>295101.72559420048</v>
      </c>
      <c r="N80" s="223">
        <f t="shared" si="39"/>
        <v>295101.72559420048</v>
      </c>
      <c r="O80" s="223">
        <f t="shared" si="40"/>
        <v>295101.72559420048</v>
      </c>
      <c r="Q80" s="222">
        <v>8.2540960714240899E-2</v>
      </c>
      <c r="R80" s="222">
        <v>5.2966733726803598E-2</v>
      </c>
      <c r="S80" s="222">
        <v>8.7722959413154805E-2</v>
      </c>
      <c r="T80" s="222">
        <v>4.4732084243334601E-2</v>
      </c>
      <c r="U80" s="222">
        <v>8.8332414166851295E-2</v>
      </c>
      <c r="V80" s="222">
        <v>8.8826040939379E-2</v>
      </c>
      <c r="W80" s="222">
        <v>9.6406142332971206E-2</v>
      </c>
      <c r="X80" s="222">
        <v>9.6525633358255605E-2</v>
      </c>
      <c r="Y80" s="222">
        <v>9.5468908286872101E-2</v>
      </c>
      <c r="Z80" s="222">
        <v>8.8826040939379E-2</v>
      </c>
      <c r="AA80" s="222">
        <v>8.8826040939379E-2</v>
      </c>
      <c r="AB80" s="222">
        <v>8.8826040939379E-2</v>
      </c>
      <c r="AD80" s="712">
        <v>3225479</v>
      </c>
      <c r="AE80" s="712">
        <v>4169558</v>
      </c>
      <c r="AF80" s="712">
        <f t="shared" si="28"/>
        <v>944079</v>
      </c>
      <c r="AG80" s="712">
        <v>3322243.37</v>
      </c>
    </row>
    <row r="81" spans="1:33" x14ac:dyDescent="0.2">
      <c r="A81" s="221">
        <v>76</v>
      </c>
      <c r="B81" s="222" t="s">
        <v>148</v>
      </c>
      <c r="C81" s="223">
        <v>8154419.3600000003</v>
      </c>
      <c r="D81" s="223">
        <f t="shared" si="29"/>
        <v>673073.60804120544</v>
      </c>
      <c r="E81" s="223">
        <f t="shared" si="30"/>
        <v>431912.95893781225</v>
      </c>
      <c r="F81" s="223">
        <f t="shared" si="31"/>
        <v>715329.79855512385</v>
      </c>
      <c r="G81" s="223">
        <f t="shared" si="32"/>
        <v>364764.17376699863</v>
      </c>
      <c r="H81" s="223">
        <f t="shared" si="33"/>
        <v>720299.54819771054</v>
      </c>
      <c r="I81" s="223">
        <f t="shared" si="34"/>
        <v>724324.78790822474</v>
      </c>
      <c r="J81" s="223">
        <f t="shared" si="35"/>
        <v>786136.11346289597</v>
      </c>
      <c r="K81" s="223">
        <f t="shared" si="36"/>
        <v>787110.4933928214</v>
      </c>
      <c r="L81" s="223">
        <f t="shared" si="37"/>
        <v>778493.51401253429</v>
      </c>
      <c r="M81" s="223">
        <f t="shared" si="38"/>
        <v>724324.78790822474</v>
      </c>
      <c r="N81" s="223">
        <f t="shared" si="39"/>
        <v>724324.78790822474</v>
      </c>
      <c r="O81" s="223">
        <f t="shared" si="40"/>
        <v>724324.78790822474</v>
      </c>
      <c r="Q81" s="222">
        <v>8.2540960714240899E-2</v>
      </c>
      <c r="R81" s="222">
        <v>5.2966733726803598E-2</v>
      </c>
      <c r="S81" s="222">
        <v>8.7722959413154805E-2</v>
      </c>
      <c r="T81" s="222">
        <v>4.4732084243334601E-2</v>
      </c>
      <c r="U81" s="222">
        <v>8.8332414166851295E-2</v>
      </c>
      <c r="V81" s="222">
        <v>8.8826040939379E-2</v>
      </c>
      <c r="W81" s="222">
        <v>9.6406142332971206E-2</v>
      </c>
      <c r="X81" s="222">
        <v>9.6525633358255605E-2</v>
      </c>
      <c r="Y81" s="222">
        <v>9.5468908286872101E-2</v>
      </c>
      <c r="Z81" s="222">
        <v>8.8826040939379E-2</v>
      </c>
      <c r="AA81" s="222">
        <v>8.8826040939379E-2</v>
      </c>
      <c r="AB81" s="222">
        <v>8.8826040939379E-2</v>
      </c>
      <c r="AD81" s="712">
        <v>7916912</v>
      </c>
      <c r="AE81" s="712">
        <v>8077943</v>
      </c>
      <c r="AF81" s="712">
        <f t="shared" si="28"/>
        <v>161031</v>
      </c>
      <c r="AG81" s="712">
        <v>8154419.3600000003</v>
      </c>
    </row>
    <row r="82" spans="1:33" x14ac:dyDescent="0.2">
      <c r="A82" s="221">
        <v>77</v>
      </c>
      <c r="B82" s="222" t="s">
        <v>45</v>
      </c>
      <c r="C82" s="223">
        <v>84789.6</v>
      </c>
      <c r="D82" s="223">
        <f t="shared" si="29"/>
        <v>7065.7999999999975</v>
      </c>
      <c r="E82" s="223">
        <f t="shared" si="30"/>
        <v>7065.7999999999975</v>
      </c>
      <c r="F82" s="223">
        <f t="shared" si="31"/>
        <v>7065.7999999999975</v>
      </c>
      <c r="G82" s="223">
        <f t="shared" si="32"/>
        <v>7065.7999999999975</v>
      </c>
      <c r="H82" s="223">
        <f t="shared" si="33"/>
        <v>7065.7999999999975</v>
      </c>
      <c r="I82" s="223">
        <f t="shared" si="34"/>
        <v>7065.7999999999975</v>
      </c>
      <c r="J82" s="223">
        <f t="shared" si="35"/>
        <v>7065.7999999999975</v>
      </c>
      <c r="K82" s="223">
        <f t="shared" si="36"/>
        <v>7065.7999999999975</v>
      </c>
      <c r="L82" s="223">
        <f t="shared" si="37"/>
        <v>7065.7999999999975</v>
      </c>
      <c r="M82" s="223">
        <f t="shared" si="38"/>
        <v>7065.7999999999975</v>
      </c>
      <c r="N82" s="223">
        <f t="shared" si="39"/>
        <v>7065.7999999999975</v>
      </c>
      <c r="O82" s="223">
        <f t="shared" si="40"/>
        <v>7065.7999999999975</v>
      </c>
      <c r="Q82" s="222">
        <v>8.3333333333333301E-2</v>
      </c>
      <c r="R82" s="222">
        <v>8.3333333333333301E-2</v>
      </c>
      <c r="S82" s="222">
        <v>8.3333333333333301E-2</v>
      </c>
      <c r="T82" s="222">
        <v>8.3333333333333301E-2</v>
      </c>
      <c r="U82" s="222">
        <v>8.3333333333333301E-2</v>
      </c>
      <c r="V82" s="222">
        <v>8.3333333333333301E-2</v>
      </c>
      <c r="W82" s="222">
        <v>8.3333333333333301E-2</v>
      </c>
      <c r="X82" s="222">
        <v>8.3333333333333301E-2</v>
      </c>
      <c r="Y82" s="222">
        <v>8.3333333333333301E-2</v>
      </c>
      <c r="Z82" s="222">
        <v>8.3333333333333301E-2</v>
      </c>
      <c r="AA82" s="222">
        <v>8.3333333333333301E-2</v>
      </c>
      <c r="AB82" s="222">
        <v>8.3333333333333301E-2</v>
      </c>
      <c r="AD82" s="712">
        <v>82320</v>
      </c>
      <c r="AE82" s="712">
        <v>0</v>
      </c>
      <c r="AF82" s="712">
        <f t="shared" si="28"/>
        <v>-82320</v>
      </c>
      <c r="AG82" s="712">
        <v>84789.6</v>
      </c>
    </row>
    <row r="83" spans="1:33" x14ac:dyDescent="0.2">
      <c r="A83" s="221">
        <v>78</v>
      </c>
      <c r="B83" s="222" t="s">
        <v>349</v>
      </c>
      <c r="C83" s="223">
        <v>2409576.85</v>
      </c>
      <c r="D83" s="223">
        <f t="shared" si="29"/>
        <v>200798.07083333327</v>
      </c>
      <c r="E83" s="223">
        <f t="shared" si="30"/>
        <v>200798.07083333327</v>
      </c>
      <c r="F83" s="223">
        <f t="shared" si="31"/>
        <v>200798.07083333327</v>
      </c>
      <c r="G83" s="223">
        <f t="shared" si="32"/>
        <v>200798.07083333327</v>
      </c>
      <c r="H83" s="223">
        <f t="shared" si="33"/>
        <v>200798.07083333327</v>
      </c>
      <c r="I83" s="223">
        <f t="shared" si="34"/>
        <v>200798.07083333327</v>
      </c>
      <c r="J83" s="223">
        <f t="shared" si="35"/>
        <v>200798.07083333327</v>
      </c>
      <c r="K83" s="223">
        <f t="shared" si="36"/>
        <v>200798.07083333327</v>
      </c>
      <c r="L83" s="223">
        <f t="shared" si="37"/>
        <v>200798.07083333327</v>
      </c>
      <c r="M83" s="223">
        <f t="shared" si="38"/>
        <v>200798.07083333327</v>
      </c>
      <c r="N83" s="223">
        <f t="shared" si="39"/>
        <v>200798.07083333327</v>
      </c>
      <c r="O83" s="223">
        <f t="shared" si="40"/>
        <v>200798.07083333327</v>
      </c>
      <c r="Q83" s="222">
        <v>8.3333333333333301E-2</v>
      </c>
      <c r="R83" s="222">
        <v>8.3333333333333301E-2</v>
      </c>
      <c r="S83" s="222">
        <v>8.3333333333333301E-2</v>
      </c>
      <c r="T83" s="222">
        <v>8.3333333333333301E-2</v>
      </c>
      <c r="U83" s="222">
        <v>8.3333333333333301E-2</v>
      </c>
      <c r="V83" s="222">
        <v>8.3333333333333301E-2</v>
      </c>
      <c r="W83" s="222">
        <v>8.3333333333333301E-2</v>
      </c>
      <c r="X83" s="222">
        <v>8.3333333333333301E-2</v>
      </c>
      <c r="Y83" s="222">
        <v>8.3333333333333301E-2</v>
      </c>
      <c r="Z83" s="222">
        <v>8.3333333333333301E-2</v>
      </c>
      <c r="AA83" s="222">
        <v>8.3333333333333301E-2</v>
      </c>
      <c r="AB83" s="222">
        <v>8.3333333333333301E-2</v>
      </c>
      <c r="AD83" s="712">
        <v>2339395</v>
      </c>
      <c r="AE83" s="712">
        <v>1798949</v>
      </c>
      <c r="AF83" s="712">
        <f t="shared" si="28"/>
        <v>-540446</v>
      </c>
      <c r="AG83" s="712">
        <v>2409576.85</v>
      </c>
    </row>
    <row r="84" spans="1:33" x14ac:dyDescent="0.2">
      <c r="A84" s="221">
        <v>79</v>
      </c>
      <c r="B84" s="222" t="s">
        <v>138</v>
      </c>
      <c r="C84" s="223">
        <v>3039931.7</v>
      </c>
      <c r="D84" s="223">
        <f t="shared" si="29"/>
        <v>273647.26671923127</v>
      </c>
      <c r="E84" s="223">
        <f t="shared" si="30"/>
        <v>243072.75155497674</v>
      </c>
      <c r="F84" s="223">
        <f t="shared" si="31"/>
        <v>248819.12064611595</v>
      </c>
      <c r="G84" s="223">
        <f t="shared" si="32"/>
        <v>235910.13268783528</v>
      </c>
      <c r="H84" s="223">
        <f t="shared" si="33"/>
        <v>250402.23039572712</v>
      </c>
      <c r="I84" s="223">
        <f t="shared" si="34"/>
        <v>288653.33434583223</v>
      </c>
      <c r="J84" s="223">
        <f t="shared" si="35"/>
        <v>286831.22112935578</v>
      </c>
      <c r="K84" s="223">
        <f t="shared" si="36"/>
        <v>242519.12850418492</v>
      </c>
      <c r="L84" s="223">
        <f t="shared" si="37"/>
        <v>242519.12850418492</v>
      </c>
      <c r="M84" s="223">
        <f t="shared" si="38"/>
        <v>242519.12850418492</v>
      </c>
      <c r="N84" s="223">
        <f t="shared" si="39"/>
        <v>242519.12850418492</v>
      </c>
      <c r="O84" s="223">
        <f t="shared" si="40"/>
        <v>242519.12850418492</v>
      </c>
      <c r="Q84" s="222">
        <v>9.0017570697141405E-2</v>
      </c>
      <c r="R84" s="222">
        <v>7.9959938427227401E-2</v>
      </c>
      <c r="S84" s="222">
        <v>8.1850233887200793E-2</v>
      </c>
      <c r="T84" s="222">
        <v>7.7603760863388896E-2</v>
      </c>
      <c r="U84" s="222">
        <v>8.2371005373484907E-2</v>
      </c>
      <c r="V84" s="222">
        <v>9.4953888058021907E-2</v>
      </c>
      <c r="W84" s="222">
        <v>9.4354495243875305E-2</v>
      </c>
      <c r="X84" s="222">
        <v>7.9777821489931802E-2</v>
      </c>
      <c r="Y84" s="222">
        <v>7.9777821489931802E-2</v>
      </c>
      <c r="Z84" s="222">
        <v>7.9777821489931802E-2</v>
      </c>
      <c r="AA84" s="222">
        <v>7.9777821489931802E-2</v>
      </c>
      <c r="AB84" s="222">
        <v>7.9777821489931802E-2</v>
      </c>
      <c r="AD84" s="712">
        <v>2951390</v>
      </c>
      <c r="AE84" s="712">
        <v>2193845</v>
      </c>
      <c r="AF84" s="712">
        <f t="shared" si="28"/>
        <v>-757545</v>
      </c>
      <c r="AG84" s="712">
        <v>3039931.7</v>
      </c>
    </row>
    <row r="85" spans="1:33" x14ac:dyDescent="0.2">
      <c r="A85" s="221">
        <v>80</v>
      </c>
      <c r="B85" s="222" t="s">
        <v>93</v>
      </c>
      <c r="C85" s="223">
        <v>1723887.31</v>
      </c>
      <c r="D85" s="223">
        <f t="shared" si="29"/>
        <v>142010.20438739593</v>
      </c>
      <c r="E85" s="223">
        <f t="shared" si="30"/>
        <v>148743.31364715777</v>
      </c>
      <c r="F85" s="223">
        <f t="shared" si="31"/>
        <v>145074.45405051217</v>
      </c>
      <c r="G85" s="223">
        <f t="shared" si="32"/>
        <v>148132.88416395316</v>
      </c>
      <c r="H85" s="223">
        <f t="shared" si="33"/>
        <v>133761.08183597316</v>
      </c>
      <c r="I85" s="223">
        <f t="shared" si="34"/>
        <v>144227.01243434282</v>
      </c>
      <c r="J85" s="223">
        <f t="shared" si="35"/>
        <v>145193.55858257363</v>
      </c>
      <c r="K85" s="223">
        <f t="shared" si="36"/>
        <v>139541.2007203968</v>
      </c>
      <c r="L85" s="223">
        <f t="shared" si="37"/>
        <v>141622.92442997347</v>
      </c>
      <c r="M85" s="223">
        <f t="shared" si="38"/>
        <v>145193.55858257363</v>
      </c>
      <c r="N85" s="223">
        <f t="shared" si="39"/>
        <v>145193.55858257363</v>
      </c>
      <c r="O85" s="223">
        <f t="shared" si="40"/>
        <v>145193.55858257363</v>
      </c>
      <c r="Q85" s="222">
        <v>8.2377893011693404E-2</v>
      </c>
      <c r="R85" s="222">
        <v>8.6283664126025603E-2</v>
      </c>
      <c r="S85" s="222">
        <v>8.41554161974266E-2</v>
      </c>
      <c r="T85" s="222">
        <v>8.5929563553636901E-2</v>
      </c>
      <c r="U85" s="222">
        <v>7.7592706356178903E-2</v>
      </c>
      <c r="V85" s="222">
        <v>8.3663828602777296E-2</v>
      </c>
      <c r="W85" s="222">
        <v>8.4224506869056096E-2</v>
      </c>
      <c r="X85" s="222">
        <v>8.0945662695548704E-2</v>
      </c>
      <c r="Y85" s="222">
        <v>8.2153237980488097E-2</v>
      </c>
      <c r="Z85" s="222">
        <v>8.4224506869056096E-2</v>
      </c>
      <c r="AA85" s="222">
        <v>8.4224506869056096E-2</v>
      </c>
      <c r="AB85" s="222">
        <v>8.4224506869056096E-2</v>
      </c>
      <c r="AD85" s="712">
        <v>1673677</v>
      </c>
      <c r="AE85" s="712">
        <v>272103</v>
      </c>
      <c r="AF85" s="712">
        <f t="shared" si="28"/>
        <v>-1401574</v>
      </c>
      <c r="AG85" s="712">
        <v>1723887.31</v>
      </c>
    </row>
    <row r="86" spans="1:33" x14ac:dyDescent="0.2">
      <c r="A86" s="221">
        <v>81</v>
      </c>
      <c r="B86" s="222" t="s">
        <v>116</v>
      </c>
      <c r="C86" s="223">
        <v>1768499.7</v>
      </c>
      <c r="D86" s="223">
        <f t="shared" si="29"/>
        <v>157040.04307487793</v>
      </c>
      <c r="E86" s="223">
        <f t="shared" si="30"/>
        <v>167749.18252530624</v>
      </c>
      <c r="F86" s="223">
        <f t="shared" si="31"/>
        <v>171685.38813268259</v>
      </c>
      <c r="G86" s="223">
        <f t="shared" si="32"/>
        <v>167350.19260135214</v>
      </c>
      <c r="H86" s="223">
        <f t="shared" si="33"/>
        <v>165821.71222346064</v>
      </c>
      <c r="I86" s="223">
        <f t="shared" si="34"/>
        <v>160900.56833580797</v>
      </c>
      <c r="J86" s="223">
        <f t="shared" si="35"/>
        <v>137064.84149577894</v>
      </c>
      <c r="K86" s="223">
        <f t="shared" si="36"/>
        <v>117713.55556892224</v>
      </c>
      <c r="L86" s="223">
        <f t="shared" si="37"/>
        <v>103924.94491659553</v>
      </c>
      <c r="M86" s="223">
        <f t="shared" si="38"/>
        <v>105169.1849754595</v>
      </c>
      <c r="N86" s="223">
        <f t="shared" si="39"/>
        <v>157040.04307487793</v>
      </c>
      <c r="O86" s="223">
        <f t="shared" si="40"/>
        <v>157040.04307487793</v>
      </c>
      <c r="Q86" s="222">
        <v>8.87984561574299E-2</v>
      </c>
      <c r="R86" s="222">
        <v>9.4853950229850895E-2</v>
      </c>
      <c r="S86" s="222">
        <v>9.7079681796204201E-2</v>
      </c>
      <c r="T86" s="222">
        <v>9.4628340961184304E-2</v>
      </c>
      <c r="U86" s="222">
        <v>9.3764060137222896E-2</v>
      </c>
      <c r="V86" s="222">
        <v>9.0981394192946693E-2</v>
      </c>
      <c r="W86" s="222">
        <v>7.7503457589378696E-2</v>
      </c>
      <c r="X86" s="222">
        <v>6.6561252777663601E-2</v>
      </c>
      <c r="Y86" s="222">
        <v>5.8764468502084298E-2</v>
      </c>
      <c r="Z86" s="222">
        <v>5.9468025341174499E-2</v>
      </c>
      <c r="AA86" s="222">
        <v>8.87984561574299E-2</v>
      </c>
      <c r="AB86" s="222">
        <v>8.87984561574299E-2</v>
      </c>
      <c r="AD86" s="712">
        <v>1716990</v>
      </c>
      <c r="AE86" s="712">
        <v>626894</v>
      </c>
      <c r="AF86" s="712">
        <f t="shared" si="28"/>
        <v>-1090096</v>
      </c>
      <c r="AG86" s="712">
        <v>1768499.7</v>
      </c>
    </row>
    <row r="87" spans="1:33" x14ac:dyDescent="0.2">
      <c r="A87" s="221">
        <v>82</v>
      </c>
      <c r="B87" s="222" t="s">
        <v>152</v>
      </c>
      <c r="C87" s="223">
        <v>6981927.0999999996</v>
      </c>
      <c r="D87" s="223">
        <f t="shared" si="29"/>
        <v>521754.73999999993</v>
      </c>
      <c r="E87" s="223">
        <f t="shared" si="30"/>
        <v>676595.66999999969</v>
      </c>
      <c r="F87" s="223">
        <f t="shared" si="31"/>
        <v>551612.37999999966</v>
      </c>
      <c r="G87" s="223">
        <f t="shared" si="32"/>
        <v>619731.4299999997</v>
      </c>
      <c r="H87" s="223">
        <f t="shared" si="33"/>
        <v>564258.7200000002</v>
      </c>
      <c r="I87" s="223">
        <f t="shared" si="34"/>
        <v>640938.10000000033</v>
      </c>
      <c r="J87" s="223">
        <f t="shared" si="35"/>
        <v>569449.92000000016</v>
      </c>
      <c r="K87" s="223">
        <f t="shared" si="36"/>
        <v>558297.07999999973</v>
      </c>
      <c r="L87" s="223">
        <f t="shared" si="37"/>
        <v>561214.03999999992</v>
      </c>
      <c r="M87" s="223">
        <f t="shared" si="38"/>
        <v>572842.74</v>
      </c>
      <c r="N87" s="223">
        <f t="shared" si="39"/>
        <v>572616.14000000013</v>
      </c>
      <c r="O87" s="223">
        <f t="shared" si="40"/>
        <v>572616.14000000013</v>
      </c>
      <c r="Q87" s="222">
        <v>7.4729330817561807E-2</v>
      </c>
      <c r="R87" s="222">
        <v>9.6906722214272295E-2</v>
      </c>
      <c r="S87" s="222">
        <v>7.9005749000157804E-2</v>
      </c>
      <c r="T87" s="222">
        <v>8.8762231562114102E-2</v>
      </c>
      <c r="U87" s="222">
        <v>8.08170454830444E-2</v>
      </c>
      <c r="V87" s="222">
        <v>9.1799597850284104E-2</v>
      </c>
      <c r="W87" s="222">
        <v>8.1560565133944204E-2</v>
      </c>
      <c r="X87" s="222">
        <v>7.9963178074431596E-2</v>
      </c>
      <c r="Y87" s="222">
        <v>8.0380965306841995E-2</v>
      </c>
      <c r="Z87" s="222">
        <v>8.2046508334353702E-2</v>
      </c>
      <c r="AA87" s="222">
        <v>8.2014053111496996E-2</v>
      </c>
      <c r="AB87" s="222">
        <v>8.2014053111496996E-2</v>
      </c>
      <c r="AD87" s="712">
        <v>6778570</v>
      </c>
      <c r="AE87" s="712">
        <v>7397479</v>
      </c>
      <c r="AF87" s="712">
        <f t="shared" si="28"/>
        <v>618909</v>
      </c>
      <c r="AG87" s="712">
        <v>6981927.0999999996</v>
      </c>
    </row>
    <row r="88" spans="1:33" x14ac:dyDescent="0.2">
      <c r="A88" s="221">
        <v>83</v>
      </c>
      <c r="B88" s="222" t="s">
        <v>153</v>
      </c>
      <c r="C88" s="223">
        <v>4020148.71</v>
      </c>
      <c r="D88" s="223">
        <f t="shared" si="29"/>
        <v>347876.32000000012</v>
      </c>
      <c r="E88" s="223">
        <f t="shared" si="30"/>
        <v>321420.77</v>
      </c>
      <c r="F88" s="223">
        <f t="shared" si="31"/>
        <v>333996.04000000004</v>
      </c>
      <c r="G88" s="223">
        <f t="shared" si="32"/>
        <v>332339.8000000001</v>
      </c>
      <c r="H88" s="223">
        <f t="shared" si="33"/>
        <v>321003.62000000005</v>
      </c>
      <c r="I88" s="223">
        <f t="shared" si="34"/>
        <v>326619.18</v>
      </c>
      <c r="J88" s="223">
        <f t="shared" si="35"/>
        <v>340168.83000000007</v>
      </c>
      <c r="K88" s="223">
        <f t="shared" si="36"/>
        <v>330570.25999999989</v>
      </c>
      <c r="L88" s="223">
        <f t="shared" si="37"/>
        <v>329944.01999999979</v>
      </c>
      <c r="M88" s="223">
        <f t="shared" si="38"/>
        <v>338447.69999999995</v>
      </c>
      <c r="N88" s="223">
        <f t="shared" si="39"/>
        <v>359314.47000000003</v>
      </c>
      <c r="O88" s="223">
        <f t="shared" si="40"/>
        <v>338447.69999999995</v>
      </c>
      <c r="Q88" s="222">
        <v>8.6533196927434095E-2</v>
      </c>
      <c r="R88" s="222">
        <v>7.9952457778607905E-2</v>
      </c>
      <c r="S88" s="222">
        <v>8.3080518680613696E-2</v>
      </c>
      <c r="T88" s="222">
        <v>8.2668533920975298E-2</v>
      </c>
      <c r="U88" s="222">
        <v>7.9848692960415399E-2</v>
      </c>
      <c r="V88" s="222">
        <v>8.1245546759885906E-2</v>
      </c>
      <c r="W88" s="222">
        <v>8.4615981780435195E-2</v>
      </c>
      <c r="X88" s="222">
        <v>8.2228366124296903E-2</v>
      </c>
      <c r="Y88" s="222">
        <v>8.20725907922943E-2</v>
      </c>
      <c r="Z88" s="222">
        <v>8.4187855826855701E-2</v>
      </c>
      <c r="AA88" s="222">
        <v>8.93784026213299E-2</v>
      </c>
      <c r="AB88" s="222">
        <v>8.4187855826855701E-2</v>
      </c>
      <c r="AD88" s="712">
        <v>3903057</v>
      </c>
      <c r="AE88" s="712">
        <v>5358202</v>
      </c>
      <c r="AF88" s="712">
        <f t="shared" si="28"/>
        <v>1455145</v>
      </c>
      <c r="AG88" s="712">
        <v>4020148.71</v>
      </c>
    </row>
    <row r="89" spans="1:33" x14ac:dyDescent="0.2">
      <c r="A89" s="221">
        <v>84</v>
      </c>
      <c r="B89" s="222" t="s">
        <v>107</v>
      </c>
      <c r="C89" s="223">
        <v>1334740.95</v>
      </c>
      <c r="D89" s="223">
        <f t="shared" si="29"/>
        <v>96496.580000000016</v>
      </c>
      <c r="E89" s="223">
        <f t="shared" si="30"/>
        <v>105127.98000000005</v>
      </c>
      <c r="F89" s="223">
        <f t="shared" si="31"/>
        <v>111942.46</v>
      </c>
      <c r="G89" s="223">
        <f t="shared" si="32"/>
        <v>113463.76999999997</v>
      </c>
      <c r="H89" s="223">
        <f t="shared" si="33"/>
        <v>113463.76999999997</v>
      </c>
      <c r="I89" s="223">
        <f t="shared" si="34"/>
        <v>113463.76999999997</v>
      </c>
      <c r="J89" s="223">
        <f t="shared" si="35"/>
        <v>113463.76999999997</v>
      </c>
      <c r="K89" s="223">
        <f t="shared" si="36"/>
        <v>113463.76999999997</v>
      </c>
      <c r="L89" s="223">
        <f t="shared" si="37"/>
        <v>113463.76999999997</v>
      </c>
      <c r="M89" s="223">
        <f t="shared" si="38"/>
        <v>113463.76999999997</v>
      </c>
      <c r="N89" s="223">
        <f t="shared" si="39"/>
        <v>113463.76999999997</v>
      </c>
      <c r="O89" s="223">
        <f t="shared" si="40"/>
        <v>113463.76999999997</v>
      </c>
      <c r="Q89" s="222">
        <v>7.2296111091818993E-2</v>
      </c>
      <c r="R89" s="222">
        <v>7.8762834091514203E-2</v>
      </c>
      <c r="S89" s="222">
        <v>8.3868304182920295E-2</v>
      </c>
      <c r="T89" s="222">
        <v>8.5008083403749601E-2</v>
      </c>
      <c r="U89" s="222">
        <v>8.5008083403749601E-2</v>
      </c>
      <c r="V89" s="222">
        <v>8.5008083403749601E-2</v>
      </c>
      <c r="W89" s="222">
        <v>8.5008083403749601E-2</v>
      </c>
      <c r="X89" s="222">
        <v>8.5008083403749601E-2</v>
      </c>
      <c r="Y89" s="222">
        <v>8.5008083403749601E-2</v>
      </c>
      <c r="Z89" s="222">
        <v>8.5008083403749601E-2</v>
      </c>
      <c r="AA89" s="222">
        <v>8.5008083403749601E-2</v>
      </c>
      <c r="AB89" s="222">
        <v>8.5008083403749601E-2</v>
      </c>
      <c r="AD89" s="712">
        <v>1295865</v>
      </c>
      <c r="AE89" s="712">
        <v>1252973</v>
      </c>
      <c r="AF89" s="712">
        <f t="shared" si="28"/>
        <v>-42892</v>
      </c>
      <c r="AG89" s="712">
        <v>1334740.95</v>
      </c>
    </row>
    <row r="90" spans="1:33" x14ac:dyDescent="0.2">
      <c r="A90" s="221">
        <v>85</v>
      </c>
      <c r="B90" s="222" t="s">
        <v>124</v>
      </c>
      <c r="C90" s="223">
        <v>1898971.86</v>
      </c>
      <c r="D90" s="223">
        <f t="shared" si="29"/>
        <v>157228.46999999997</v>
      </c>
      <c r="E90" s="223">
        <f t="shared" si="30"/>
        <v>157228.46999999997</v>
      </c>
      <c r="F90" s="223">
        <f t="shared" si="31"/>
        <v>153096.11000000007</v>
      </c>
      <c r="G90" s="223">
        <f t="shared" si="32"/>
        <v>173591.04999999996</v>
      </c>
      <c r="H90" s="223">
        <f t="shared" si="33"/>
        <v>157228.46999999997</v>
      </c>
      <c r="I90" s="223">
        <f t="shared" si="34"/>
        <v>157228.46999999997</v>
      </c>
      <c r="J90" s="223">
        <f t="shared" si="35"/>
        <v>157228.46999999997</v>
      </c>
      <c r="K90" s="223">
        <f t="shared" si="36"/>
        <v>157228.46999999997</v>
      </c>
      <c r="L90" s="223">
        <f t="shared" si="37"/>
        <v>157228.46999999997</v>
      </c>
      <c r="M90" s="223">
        <f t="shared" si="38"/>
        <v>157228.46999999997</v>
      </c>
      <c r="N90" s="223">
        <f t="shared" si="39"/>
        <v>157228.46999999997</v>
      </c>
      <c r="O90" s="223">
        <f t="shared" si="40"/>
        <v>157228.46999999997</v>
      </c>
      <c r="Q90" s="222">
        <v>8.2796629751006406E-2</v>
      </c>
      <c r="R90" s="222">
        <v>8.2796629751006406E-2</v>
      </c>
      <c r="S90" s="222">
        <v>8.0620525888150898E-2</v>
      </c>
      <c r="T90" s="222">
        <v>9.1413176601784898E-2</v>
      </c>
      <c r="U90" s="222">
        <v>8.2796629751006406E-2</v>
      </c>
      <c r="V90" s="222">
        <v>8.2796629751006406E-2</v>
      </c>
      <c r="W90" s="222">
        <v>8.2796629751006406E-2</v>
      </c>
      <c r="X90" s="222">
        <v>8.2796629751006406E-2</v>
      </c>
      <c r="Y90" s="222">
        <v>8.2796629751006406E-2</v>
      </c>
      <c r="Z90" s="222">
        <v>8.2796629751006406E-2</v>
      </c>
      <c r="AA90" s="222">
        <v>8.2796629751006406E-2</v>
      </c>
      <c r="AB90" s="222">
        <v>8.2796629751006406E-2</v>
      </c>
      <c r="AD90" s="712">
        <v>1843662</v>
      </c>
      <c r="AE90" s="712">
        <v>1612213</v>
      </c>
      <c r="AF90" s="712">
        <f t="shared" si="28"/>
        <v>-231449</v>
      </c>
      <c r="AG90" s="712">
        <v>1898971.86</v>
      </c>
    </row>
    <row r="91" spans="1:33" x14ac:dyDescent="0.2">
      <c r="A91" s="221">
        <v>86</v>
      </c>
      <c r="B91" s="222" t="s">
        <v>129</v>
      </c>
      <c r="C91" s="223">
        <v>1461178.6</v>
      </c>
      <c r="D91" s="223">
        <f t="shared" si="29"/>
        <v>118422.19000000003</v>
      </c>
      <c r="E91" s="223">
        <f t="shared" si="30"/>
        <v>119820.93000000002</v>
      </c>
      <c r="F91" s="223">
        <f t="shared" si="31"/>
        <v>122924.32000000007</v>
      </c>
      <c r="G91" s="223">
        <f t="shared" si="32"/>
        <v>123525.83999999998</v>
      </c>
      <c r="H91" s="223">
        <f t="shared" si="33"/>
        <v>122772.90999999999</v>
      </c>
      <c r="I91" s="223">
        <f t="shared" si="34"/>
        <v>115783.32999999994</v>
      </c>
      <c r="J91" s="223">
        <f t="shared" si="35"/>
        <v>123127.23000000004</v>
      </c>
      <c r="K91" s="223">
        <f t="shared" si="36"/>
        <v>127595.37000000005</v>
      </c>
      <c r="L91" s="223">
        <f t="shared" si="37"/>
        <v>118887.75000000001</v>
      </c>
      <c r="M91" s="223">
        <f t="shared" si="38"/>
        <v>122772.90999999999</v>
      </c>
      <c r="N91" s="223">
        <f t="shared" si="39"/>
        <v>122772.90999999999</v>
      </c>
      <c r="O91" s="223">
        <f t="shared" si="40"/>
        <v>122772.90999999999</v>
      </c>
      <c r="Q91" s="222">
        <v>8.10456640960934E-2</v>
      </c>
      <c r="R91" s="222">
        <v>8.2002932427288497E-2</v>
      </c>
      <c r="S91" s="222">
        <v>8.4126827480227304E-2</v>
      </c>
      <c r="T91" s="222">
        <v>8.4538495157265497E-2</v>
      </c>
      <c r="U91" s="222">
        <v>8.4023205650561802E-2</v>
      </c>
      <c r="V91" s="222">
        <v>7.9239683636209798E-2</v>
      </c>
      <c r="W91" s="222">
        <v>8.4265694830187102E-2</v>
      </c>
      <c r="X91" s="222">
        <v>8.7323596170926707E-2</v>
      </c>
      <c r="Y91" s="222">
        <v>8.1364283599554499E-2</v>
      </c>
      <c r="Z91" s="222">
        <v>8.4023205650561802E-2</v>
      </c>
      <c r="AA91" s="222">
        <v>8.4023205650561802E-2</v>
      </c>
      <c r="AB91" s="222">
        <v>8.4023205650561802E-2</v>
      </c>
      <c r="AD91" s="712">
        <v>1418620</v>
      </c>
      <c r="AE91" s="712">
        <v>1858529</v>
      </c>
      <c r="AF91" s="712">
        <f t="shared" si="28"/>
        <v>439909</v>
      </c>
      <c r="AG91" s="712">
        <v>1461178.6</v>
      </c>
    </row>
    <row r="92" spans="1:33" x14ac:dyDescent="0.2">
      <c r="A92" s="221">
        <v>87</v>
      </c>
      <c r="B92" s="222" t="s">
        <v>350</v>
      </c>
      <c r="C92" s="223">
        <v>1639267.66</v>
      </c>
      <c r="D92" s="223">
        <f t="shared" si="29"/>
        <v>118103.89920488314</v>
      </c>
      <c r="E92" s="223">
        <f t="shared" si="30"/>
        <v>120267.71322392926</v>
      </c>
      <c r="F92" s="223">
        <f t="shared" si="31"/>
        <v>148583.65383816726</v>
      </c>
      <c r="G92" s="223">
        <f t="shared" si="32"/>
        <v>134901.13624731346</v>
      </c>
      <c r="H92" s="223">
        <f t="shared" si="33"/>
        <v>147433.64827429099</v>
      </c>
      <c r="I92" s="223">
        <f t="shared" si="34"/>
        <v>127227.63759842297</v>
      </c>
      <c r="J92" s="223">
        <f t="shared" si="35"/>
        <v>126271.79776672224</v>
      </c>
      <c r="K92" s="223">
        <f t="shared" si="36"/>
        <v>157006.99235503006</v>
      </c>
      <c r="L92" s="223">
        <f t="shared" si="37"/>
        <v>151306.97335865957</v>
      </c>
      <c r="M92" s="223">
        <f t="shared" si="38"/>
        <v>136054.73604419371</v>
      </c>
      <c r="N92" s="223">
        <f t="shared" si="39"/>
        <v>136054.73604419371</v>
      </c>
      <c r="O92" s="223">
        <f t="shared" si="40"/>
        <v>136054.73604419371</v>
      </c>
      <c r="Q92" s="222">
        <v>7.2046745072054399E-2</v>
      </c>
      <c r="R92" s="222">
        <v>7.3366733303290604E-2</v>
      </c>
      <c r="S92" s="222">
        <v>9.0640264225164593E-2</v>
      </c>
      <c r="T92" s="222">
        <v>8.2293538473950906E-2</v>
      </c>
      <c r="U92" s="222">
        <v>8.9938728050238601E-2</v>
      </c>
      <c r="V92" s="222">
        <v>7.7612485564695993E-2</v>
      </c>
      <c r="W92" s="222">
        <v>7.7029396021100205E-2</v>
      </c>
      <c r="X92" s="222">
        <v>9.5778740828102504E-2</v>
      </c>
      <c r="Y92" s="222">
        <v>9.2301566761013004E-2</v>
      </c>
      <c r="Z92" s="222">
        <v>8.2997267233463096E-2</v>
      </c>
      <c r="AA92" s="222">
        <v>8.2997267233463096E-2</v>
      </c>
      <c r="AB92" s="222">
        <v>8.2997267233463096E-2</v>
      </c>
      <c r="AD92" s="712">
        <v>1591522</v>
      </c>
      <c r="AE92" s="712">
        <v>1468268</v>
      </c>
      <c r="AF92" s="712">
        <f t="shared" si="28"/>
        <v>-123254</v>
      </c>
      <c r="AG92" s="712">
        <v>1639267.66</v>
      </c>
    </row>
    <row r="93" spans="1:33" x14ac:dyDescent="0.2">
      <c r="A93" s="221">
        <v>88</v>
      </c>
      <c r="B93" s="222" t="s">
        <v>99</v>
      </c>
      <c r="C93" s="223">
        <v>6522271.0599999996</v>
      </c>
      <c r="D93" s="223">
        <f t="shared" si="29"/>
        <v>563791.1</v>
      </c>
      <c r="E93" s="223">
        <f t="shared" si="30"/>
        <v>538624.07999999984</v>
      </c>
      <c r="F93" s="223">
        <f t="shared" si="31"/>
        <v>555505.78</v>
      </c>
      <c r="G93" s="223">
        <f t="shared" si="32"/>
        <v>508798.36999999976</v>
      </c>
      <c r="H93" s="223">
        <f t="shared" si="33"/>
        <v>572739.73999999987</v>
      </c>
      <c r="I93" s="223">
        <f t="shared" si="34"/>
        <v>561208.89</v>
      </c>
      <c r="J93" s="223">
        <f t="shared" si="35"/>
        <v>631538.3200000003</v>
      </c>
      <c r="K93" s="223">
        <f t="shared" si="36"/>
        <v>549150.67999999982</v>
      </c>
      <c r="L93" s="223">
        <f t="shared" si="37"/>
        <v>544741.25000000012</v>
      </c>
      <c r="M93" s="223">
        <f t="shared" si="38"/>
        <v>333539.74999999983</v>
      </c>
      <c r="N93" s="223">
        <f t="shared" si="39"/>
        <v>581316.55000000016</v>
      </c>
      <c r="O93" s="223">
        <f t="shared" si="40"/>
        <v>581316.55000000016</v>
      </c>
      <c r="Q93" s="222">
        <v>8.64409183263843E-2</v>
      </c>
      <c r="R93" s="222">
        <v>8.2582289979220805E-2</v>
      </c>
      <c r="S93" s="222">
        <v>8.5170606202925894E-2</v>
      </c>
      <c r="T93" s="222">
        <v>7.8009387423404603E-2</v>
      </c>
      <c r="U93" s="222">
        <v>8.78129312215368E-2</v>
      </c>
      <c r="V93" s="222">
        <v>8.6045011750860906E-2</v>
      </c>
      <c r="W93" s="222">
        <v>9.6827978198134004E-2</v>
      </c>
      <c r="X93" s="222">
        <v>8.4196237008279107E-2</v>
      </c>
      <c r="Y93" s="222">
        <v>8.3520179549238197E-2</v>
      </c>
      <c r="Z93" s="222">
        <v>5.1138590673660202E-2</v>
      </c>
      <c r="AA93" s="222">
        <v>8.9127934833177602E-2</v>
      </c>
      <c r="AB93" s="222">
        <v>8.9127934833177602E-2</v>
      </c>
      <c r="AD93" s="712">
        <v>6332302</v>
      </c>
      <c r="AE93" s="712">
        <v>5309936</v>
      </c>
      <c r="AF93" s="712">
        <f t="shared" si="28"/>
        <v>-1022366</v>
      </c>
      <c r="AG93" s="712">
        <v>6522271.0599999996</v>
      </c>
    </row>
    <row r="94" spans="1:33" x14ac:dyDescent="0.2">
      <c r="A94" s="221">
        <v>89</v>
      </c>
      <c r="B94" s="222" t="s">
        <v>55</v>
      </c>
      <c r="C94" s="223">
        <v>2892015.46</v>
      </c>
      <c r="D94" s="223">
        <f t="shared" si="29"/>
        <v>275199.50487681531</v>
      </c>
      <c r="E94" s="223">
        <f t="shared" si="30"/>
        <v>279300.09357793682</v>
      </c>
      <c r="F94" s="223">
        <f t="shared" si="31"/>
        <v>273819.30495266221</v>
      </c>
      <c r="G94" s="223">
        <f t="shared" si="32"/>
        <v>275072.81488377735</v>
      </c>
      <c r="H94" s="223">
        <f t="shared" si="33"/>
        <v>274790.5948992864</v>
      </c>
      <c r="I94" s="223">
        <f t="shared" si="34"/>
        <v>8630.3695257307154</v>
      </c>
      <c r="J94" s="223">
        <f t="shared" si="35"/>
        <v>272326.83503467863</v>
      </c>
      <c r="K94" s="223">
        <f t="shared" si="36"/>
        <v>271745.91506660217</v>
      </c>
      <c r="L94" s="223">
        <f t="shared" si="37"/>
        <v>135911.58253117843</v>
      </c>
      <c r="M94" s="223">
        <f t="shared" si="38"/>
        <v>275072.81488377735</v>
      </c>
      <c r="N94" s="223">
        <f t="shared" si="39"/>
        <v>275072.81488377735</v>
      </c>
      <c r="O94" s="223">
        <f t="shared" si="40"/>
        <v>275072.81488377735</v>
      </c>
      <c r="Q94" s="222">
        <v>9.5158379574089597E-2</v>
      </c>
      <c r="R94" s="222">
        <v>9.6576279567307993E-2</v>
      </c>
      <c r="S94" s="222">
        <v>9.4681134572033795E-2</v>
      </c>
      <c r="T94" s="222">
        <v>9.5114572756736696E-2</v>
      </c>
      <c r="U94" s="222">
        <v>9.5016986838405898E-2</v>
      </c>
      <c r="V94" s="222">
        <v>2.9842058747952599E-3</v>
      </c>
      <c r="W94" s="222">
        <v>9.4165068894437598E-2</v>
      </c>
      <c r="X94" s="222">
        <v>9.3964198609990196E-2</v>
      </c>
      <c r="Y94" s="222">
        <v>4.6995455041992901E-2</v>
      </c>
      <c r="Z94" s="222">
        <v>9.5114572756736696E-2</v>
      </c>
      <c r="AA94" s="222">
        <v>9.5114572756736696E-2</v>
      </c>
      <c r="AB94" s="222">
        <v>9.5114572756736696E-2</v>
      </c>
      <c r="AD94" s="712">
        <v>2807782</v>
      </c>
      <c r="AE94" s="712">
        <v>3695058</v>
      </c>
      <c r="AF94" s="712">
        <f t="shared" si="28"/>
        <v>887276</v>
      </c>
      <c r="AG94" s="712">
        <v>2892015.46</v>
      </c>
    </row>
    <row r="95" spans="1:33" x14ac:dyDescent="0.2">
      <c r="A95" s="221">
        <v>90</v>
      </c>
      <c r="B95" s="222" t="s">
        <v>147</v>
      </c>
      <c r="C95" s="223">
        <v>1264959.48</v>
      </c>
      <c r="D95" s="223">
        <f t="shared" si="29"/>
        <v>105413.28999999996</v>
      </c>
      <c r="E95" s="223">
        <f t="shared" si="30"/>
        <v>105413.28999999996</v>
      </c>
      <c r="F95" s="223">
        <f t="shared" si="31"/>
        <v>105413.28999999996</v>
      </c>
      <c r="G95" s="223">
        <f t="shared" si="32"/>
        <v>105413.28999999996</v>
      </c>
      <c r="H95" s="223">
        <f t="shared" si="33"/>
        <v>105413.28999999996</v>
      </c>
      <c r="I95" s="223">
        <f t="shared" si="34"/>
        <v>105413.28999999996</v>
      </c>
      <c r="J95" s="223">
        <f t="shared" si="35"/>
        <v>105413.28999999996</v>
      </c>
      <c r="K95" s="223">
        <f t="shared" si="36"/>
        <v>105413.28999999996</v>
      </c>
      <c r="L95" s="223">
        <f t="shared" si="37"/>
        <v>105413.28999999996</v>
      </c>
      <c r="M95" s="223">
        <f t="shared" si="38"/>
        <v>105413.28999999996</v>
      </c>
      <c r="N95" s="223">
        <f t="shared" si="39"/>
        <v>105413.28999999996</v>
      </c>
      <c r="O95" s="223">
        <f t="shared" si="40"/>
        <v>105413.28999999996</v>
      </c>
      <c r="Q95" s="222">
        <v>8.3333333333333301E-2</v>
      </c>
      <c r="R95" s="222">
        <v>8.3333333333333301E-2</v>
      </c>
      <c r="S95" s="222">
        <v>8.3333333333333301E-2</v>
      </c>
      <c r="T95" s="222">
        <v>8.3333333333333301E-2</v>
      </c>
      <c r="U95" s="222">
        <v>8.3333333333333301E-2</v>
      </c>
      <c r="V95" s="222">
        <v>8.3333333333333301E-2</v>
      </c>
      <c r="W95" s="222">
        <v>8.3333333333333301E-2</v>
      </c>
      <c r="X95" s="222">
        <v>8.3333333333333301E-2</v>
      </c>
      <c r="Y95" s="222">
        <v>8.3333333333333301E-2</v>
      </c>
      <c r="Z95" s="222">
        <v>8.3333333333333301E-2</v>
      </c>
      <c r="AA95" s="222">
        <v>8.3333333333333301E-2</v>
      </c>
      <c r="AB95" s="222">
        <v>8.3333333333333301E-2</v>
      </c>
      <c r="AD95" s="712">
        <v>1228116</v>
      </c>
      <c r="AE95" s="712">
        <v>1441376.0048403656</v>
      </c>
      <c r="AF95" s="712">
        <f t="shared" si="28"/>
        <v>213260.00484036561</v>
      </c>
      <c r="AG95" s="712">
        <v>1264959.48</v>
      </c>
    </row>
    <row r="96" spans="1:33" x14ac:dyDescent="0.2">
      <c r="A96" s="221">
        <v>91</v>
      </c>
      <c r="B96" s="222" t="s">
        <v>351</v>
      </c>
      <c r="C96" s="223">
        <v>2435693.5299999998</v>
      </c>
      <c r="D96" s="223">
        <f t="shared" si="29"/>
        <v>237430.45000000007</v>
      </c>
      <c r="E96" s="223">
        <f t="shared" si="30"/>
        <v>190002.04000000004</v>
      </c>
      <c r="F96" s="223">
        <f t="shared" si="31"/>
        <v>194070.53999999995</v>
      </c>
      <c r="G96" s="223">
        <f t="shared" si="32"/>
        <v>199419.32999999987</v>
      </c>
      <c r="H96" s="223">
        <f t="shared" si="33"/>
        <v>199382.25000000006</v>
      </c>
      <c r="I96" s="223">
        <f t="shared" si="34"/>
        <v>199606.78999999995</v>
      </c>
      <c r="J96" s="223">
        <f t="shared" si="35"/>
        <v>201014.79999999987</v>
      </c>
      <c r="K96" s="223">
        <f t="shared" si="36"/>
        <v>201471.09000000003</v>
      </c>
      <c r="L96" s="223">
        <f t="shared" si="37"/>
        <v>202341.44000000006</v>
      </c>
      <c r="M96" s="223">
        <f t="shared" si="38"/>
        <v>206271.9199999999</v>
      </c>
      <c r="N96" s="223">
        <f t="shared" si="39"/>
        <v>202341.44000000006</v>
      </c>
      <c r="O96" s="223">
        <f t="shared" si="40"/>
        <v>202341.44000000006</v>
      </c>
      <c r="Q96" s="222">
        <v>9.7479607789572806E-2</v>
      </c>
      <c r="R96" s="222">
        <v>7.8007367371871306E-2</v>
      </c>
      <c r="S96" s="222">
        <v>7.9677733511900398E-2</v>
      </c>
      <c r="T96" s="222">
        <v>8.1873736389158902E-2</v>
      </c>
      <c r="U96" s="222">
        <v>8.1858512799021996E-2</v>
      </c>
      <c r="V96" s="222">
        <v>8.1950700094851406E-2</v>
      </c>
      <c r="W96" s="222">
        <v>8.2528773642552594E-2</v>
      </c>
      <c r="X96" s="222">
        <v>8.2716108376738207E-2</v>
      </c>
      <c r="Y96" s="222">
        <v>8.3073439867453303E-2</v>
      </c>
      <c r="Z96" s="222">
        <v>8.4687140421972507E-2</v>
      </c>
      <c r="AA96" s="222">
        <v>8.3073439867453303E-2</v>
      </c>
      <c r="AB96" s="222">
        <v>8.3073439867453303E-2</v>
      </c>
      <c r="AD96" s="712">
        <v>2364751</v>
      </c>
      <c r="AE96" s="712">
        <v>3014444</v>
      </c>
      <c r="AF96" s="712">
        <f t="shared" si="28"/>
        <v>649693</v>
      </c>
      <c r="AG96" s="712">
        <v>2435693.5299999998</v>
      </c>
    </row>
    <row r="97" spans="1:33" x14ac:dyDescent="0.2">
      <c r="A97" s="221">
        <v>92</v>
      </c>
      <c r="B97" s="222" t="s">
        <v>352</v>
      </c>
      <c r="C97" s="223">
        <v>3034034.95</v>
      </c>
      <c r="D97" s="223">
        <f t="shared" si="29"/>
        <v>285062.80140415049</v>
      </c>
      <c r="E97" s="223">
        <f t="shared" si="30"/>
        <v>191694.85963771475</v>
      </c>
      <c r="F97" s="223">
        <f t="shared" si="31"/>
        <v>255727.72889581355</v>
      </c>
      <c r="G97" s="223">
        <f t="shared" si="32"/>
        <v>255727.72889581355</v>
      </c>
      <c r="H97" s="223">
        <f t="shared" si="33"/>
        <v>255727.72889581355</v>
      </c>
      <c r="I97" s="223">
        <f t="shared" si="34"/>
        <v>255727.72889581355</v>
      </c>
      <c r="J97" s="223">
        <f t="shared" si="35"/>
        <v>255727.72889581355</v>
      </c>
      <c r="K97" s="223">
        <f t="shared" si="36"/>
        <v>255727.72889581355</v>
      </c>
      <c r="L97" s="223">
        <f t="shared" si="37"/>
        <v>255727.72889581355</v>
      </c>
      <c r="M97" s="223">
        <f t="shared" si="38"/>
        <v>255727.72889581355</v>
      </c>
      <c r="N97" s="223">
        <f t="shared" si="39"/>
        <v>255727.72889581355</v>
      </c>
      <c r="O97" s="223">
        <f t="shared" si="40"/>
        <v>255727.72889581355</v>
      </c>
      <c r="Q97" s="222">
        <v>9.39550157140248E-2</v>
      </c>
      <c r="R97" s="222">
        <v>6.3181493554553395E-2</v>
      </c>
      <c r="S97" s="222">
        <v>8.4286349073142197E-2</v>
      </c>
      <c r="T97" s="222">
        <v>8.4286349073142197E-2</v>
      </c>
      <c r="U97" s="222">
        <v>8.4286349073142197E-2</v>
      </c>
      <c r="V97" s="222">
        <v>8.4286349073142197E-2</v>
      </c>
      <c r="W97" s="222">
        <v>8.4286349073142197E-2</v>
      </c>
      <c r="X97" s="222">
        <v>8.4286349073142197E-2</v>
      </c>
      <c r="Y97" s="222">
        <v>8.4286349073142197E-2</v>
      </c>
      <c r="Z97" s="222">
        <v>8.4286349073142197E-2</v>
      </c>
      <c r="AA97" s="222">
        <v>8.4286349073142197E-2</v>
      </c>
      <c r="AB97" s="222">
        <v>8.4286349073142197E-2</v>
      </c>
      <c r="AD97" s="712">
        <v>2945665</v>
      </c>
      <c r="AE97" s="712">
        <v>180501</v>
      </c>
      <c r="AF97" s="712">
        <f t="shared" si="28"/>
        <v>-2765164</v>
      </c>
      <c r="AG97" s="712">
        <v>3034034.95</v>
      </c>
    </row>
    <row r="98" spans="1:33" x14ac:dyDescent="0.2">
      <c r="A98" s="221">
        <v>93</v>
      </c>
      <c r="B98" s="222" t="s">
        <v>353</v>
      </c>
      <c r="C98" s="223">
        <v>2574598.2999999998</v>
      </c>
      <c r="D98" s="223">
        <f t="shared" si="29"/>
        <v>197013.25000000006</v>
      </c>
      <c r="E98" s="223">
        <f t="shared" si="30"/>
        <v>197044.15000000014</v>
      </c>
      <c r="F98" s="223">
        <f t="shared" si="31"/>
        <v>197044.15000000014</v>
      </c>
      <c r="G98" s="223">
        <f t="shared" si="32"/>
        <v>197044.15000000014</v>
      </c>
      <c r="H98" s="223">
        <f t="shared" si="33"/>
        <v>237950.60000000006</v>
      </c>
      <c r="I98" s="223">
        <f t="shared" si="34"/>
        <v>234627.82</v>
      </c>
      <c r="J98" s="223">
        <f t="shared" si="35"/>
        <v>240114.62999999992</v>
      </c>
      <c r="K98" s="223">
        <f t="shared" si="36"/>
        <v>239748.98000000007</v>
      </c>
      <c r="L98" s="223">
        <f t="shared" si="37"/>
        <v>242878.11999999997</v>
      </c>
      <c r="M98" s="223">
        <f t="shared" si="38"/>
        <v>197044.15000000014</v>
      </c>
      <c r="N98" s="223">
        <f t="shared" si="39"/>
        <v>197044.15000000014</v>
      </c>
      <c r="O98" s="223">
        <f t="shared" si="40"/>
        <v>197044.15000000014</v>
      </c>
      <c r="Q98" s="222">
        <v>7.6521937422237896E-2</v>
      </c>
      <c r="R98" s="222">
        <v>7.6533939294530007E-2</v>
      </c>
      <c r="S98" s="222">
        <v>7.6533939294530007E-2</v>
      </c>
      <c r="T98" s="222">
        <v>7.6533939294530007E-2</v>
      </c>
      <c r="U98" s="222">
        <v>9.2422417897191994E-2</v>
      </c>
      <c r="V98" s="222">
        <v>9.1131816563383899E-2</v>
      </c>
      <c r="W98" s="222">
        <v>9.3262949020047101E-2</v>
      </c>
      <c r="X98" s="222">
        <v>9.3120926864590906E-2</v>
      </c>
      <c r="Y98" s="222">
        <v>9.4336316465368594E-2</v>
      </c>
      <c r="Z98" s="222">
        <v>7.6533939294530007E-2</v>
      </c>
      <c r="AA98" s="222">
        <v>7.6533939294530007E-2</v>
      </c>
      <c r="AB98" s="222">
        <v>7.6533939294530007E-2</v>
      </c>
      <c r="AD98" s="712">
        <v>2499610</v>
      </c>
      <c r="AE98" s="712">
        <v>2963268</v>
      </c>
      <c r="AF98" s="712">
        <f t="shared" si="28"/>
        <v>463658</v>
      </c>
      <c r="AG98" s="712">
        <v>2574598.2999999998</v>
      </c>
    </row>
    <row r="99" spans="1:33" x14ac:dyDescent="0.2">
      <c r="A99" s="221">
        <v>94</v>
      </c>
      <c r="B99" s="222" t="s">
        <v>354</v>
      </c>
      <c r="C99" s="223">
        <v>1328336.4099999999</v>
      </c>
      <c r="D99" s="223">
        <f t="shared" si="29"/>
        <v>111372.83521099595</v>
      </c>
      <c r="E99" s="223">
        <f t="shared" si="30"/>
        <v>111355.27566375522</v>
      </c>
      <c r="F99" s="223">
        <f t="shared" si="31"/>
        <v>110502.012168794</v>
      </c>
      <c r="G99" s="223">
        <f t="shared" si="32"/>
        <v>108975.93445837054</v>
      </c>
      <c r="H99" s="223">
        <f t="shared" si="33"/>
        <v>111372.83521099595</v>
      </c>
      <c r="I99" s="223">
        <f t="shared" si="34"/>
        <v>111372.83521099595</v>
      </c>
      <c r="J99" s="223">
        <f t="shared" si="35"/>
        <v>106114.68608886552</v>
      </c>
      <c r="K99" s="223">
        <f t="shared" si="36"/>
        <v>111372.83521099595</v>
      </c>
      <c r="L99" s="223">
        <f t="shared" si="37"/>
        <v>111778.65514324266</v>
      </c>
      <c r="M99" s="223">
        <f t="shared" si="38"/>
        <v>111372.83521099595</v>
      </c>
      <c r="N99" s="223">
        <f t="shared" si="39"/>
        <v>111372.83521099595</v>
      </c>
      <c r="O99" s="223">
        <f t="shared" si="40"/>
        <v>111372.83521099595</v>
      </c>
      <c r="Q99" s="222">
        <v>8.3843847366192395E-2</v>
      </c>
      <c r="R99" s="222">
        <v>8.3830628164257903E-2</v>
      </c>
      <c r="S99" s="222">
        <v>8.3188273194133106E-2</v>
      </c>
      <c r="T99" s="222">
        <v>8.2039409322801404E-2</v>
      </c>
      <c r="U99" s="222">
        <v>8.3843847366192395E-2</v>
      </c>
      <c r="V99" s="222">
        <v>8.3843847366192395E-2</v>
      </c>
      <c r="W99" s="222">
        <v>7.9885400482898397E-2</v>
      </c>
      <c r="X99" s="222">
        <v>8.3843847366192395E-2</v>
      </c>
      <c r="Y99" s="222">
        <v>8.4149357272562203E-2</v>
      </c>
      <c r="Z99" s="222">
        <v>8.3843847366192395E-2</v>
      </c>
      <c r="AA99" s="222">
        <v>8.3843847366192395E-2</v>
      </c>
      <c r="AB99" s="222">
        <v>8.3843847366192395E-2</v>
      </c>
      <c r="AD99" s="712">
        <v>1289647</v>
      </c>
      <c r="AE99" s="712">
        <v>1052331</v>
      </c>
      <c r="AF99" s="712">
        <f t="shared" si="28"/>
        <v>-237316</v>
      </c>
      <c r="AG99" s="712">
        <v>1328336.4099999999</v>
      </c>
    </row>
    <row r="100" spans="1:33" x14ac:dyDescent="0.2">
      <c r="A100" s="221">
        <v>95</v>
      </c>
      <c r="B100" s="222" t="s">
        <v>100</v>
      </c>
      <c r="C100" s="223">
        <v>60465.120000000003</v>
      </c>
      <c r="D100" s="223">
        <f t="shared" si="29"/>
        <v>5038.7599999999984</v>
      </c>
      <c r="E100" s="223">
        <f t="shared" si="30"/>
        <v>5038.7599999999984</v>
      </c>
      <c r="F100" s="223">
        <f t="shared" si="31"/>
        <v>5038.7599999999984</v>
      </c>
      <c r="G100" s="223">
        <f t="shared" si="32"/>
        <v>5038.7599999999984</v>
      </c>
      <c r="H100" s="223">
        <f t="shared" si="33"/>
        <v>5038.7599999999984</v>
      </c>
      <c r="I100" s="223">
        <f t="shared" si="34"/>
        <v>5038.7599999999984</v>
      </c>
      <c r="J100" s="223">
        <f t="shared" si="35"/>
        <v>5038.7599999999984</v>
      </c>
      <c r="K100" s="223">
        <f t="shared" si="36"/>
        <v>5038.7599999999984</v>
      </c>
      <c r="L100" s="223">
        <f t="shared" si="37"/>
        <v>5038.7599999999984</v>
      </c>
      <c r="M100" s="223">
        <f t="shared" si="38"/>
        <v>5038.7599999999984</v>
      </c>
      <c r="N100" s="223">
        <f t="shared" si="39"/>
        <v>5038.7599999999984</v>
      </c>
      <c r="O100" s="223">
        <f t="shared" si="40"/>
        <v>5038.7599999999984</v>
      </c>
      <c r="Q100" s="222">
        <v>8.3333333333333301E-2</v>
      </c>
      <c r="R100" s="222">
        <v>8.3333333333333301E-2</v>
      </c>
      <c r="S100" s="222">
        <v>8.3333333333333301E-2</v>
      </c>
      <c r="T100" s="222">
        <v>8.3333333333333301E-2</v>
      </c>
      <c r="U100" s="222">
        <v>8.3333333333333301E-2</v>
      </c>
      <c r="V100" s="222">
        <v>8.3333333333333301E-2</v>
      </c>
      <c r="W100" s="222">
        <v>8.3333333333333301E-2</v>
      </c>
      <c r="X100" s="222">
        <v>8.3333333333333301E-2</v>
      </c>
      <c r="Y100" s="222">
        <v>8.3333333333333301E-2</v>
      </c>
      <c r="Z100" s="222">
        <v>8.3333333333333301E-2</v>
      </c>
      <c r="AA100" s="222">
        <v>8.3333333333333301E-2</v>
      </c>
      <c r="AB100" s="222">
        <v>8.3333333333333301E-2</v>
      </c>
      <c r="AD100" s="712">
        <v>58704</v>
      </c>
      <c r="AE100" s="712">
        <v>0</v>
      </c>
      <c r="AF100" s="712">
        <f t="shared" si="28"/>
        <v>-58704</v>
      </c>
      <c r="AG100" s="712">
        <v>60465.120000000003</v>
      </c>
    </row>
    <row r="101" spans="1:33" x14ac:dyDescent="0.2">
      <c r="A101" s="221">
        <v>96</v>
      </c>
      <c r="B101" s="222" t="s">
        <v>78</v>
      </c>
      <c r="C101" s="223">
        <v>1007312.19</v>
      </c>
      <c r="D101" s="223">
        <f t="shared" si="29"/>
        <v>91475.329999999973</v>
      </c>
      <c r="E101" s="223">
        <f t="shared" si="30"/>
        <v>91427.949999999968</v>
      </c>
      <c r="F101" s="223">
        <f t="shared" si="31"/>
        <v>91683.390000000014</v>
      </c>
      <c r="G101" s="223">
        <f t="shared" si="32"/>
        <v>89273.19</v>
      </c>
      <c r="H101" s="223">
        <f t="shared" si="33"/>
        <v>12689.600000000037</v>
      </c>
      <c r="I101" s="223">
        <f t="shared" si="34"/>
        <v>95284.270000000019</v>
      </c>
      <c r="J101" s="223">
        <f t="shared" si="35"/>
        <v>89246.409999999974</v>
      </c>
      <c r="K101" s="223">
        <f t="shared" si="36"/>
        <v>89246.409999999974</v>
      </c>
      <c r="L101" s="223">
        <f t="shared" si="37"/>
        <v>89246.409999999974</v>
      </c>
      <c r="M101" s="223">
        <f t="shared" si="38"/>
        <v>89246.409999999974</v>
      </c>
      <c r="N101" s="223">
        <f t="shared" si="39"/>
        <v>89246.409999999974</v>
      </c>
      <c r="O101" s="223">
        <f t="shared" si="40"/>
        <v>89246.409999999974</v>
      </c>
      <c r="Q101" s="222">
        <v>9.0811300516476401E-2</v>
      </c>
      <c r="R101" s="222">
        <v>9.0764264453108603E-2</v>
      </c>
      <c r="S101" s="222">
        <v>9.1017850186048105E-2</v>
      </c>
      <c r="T101" s="222">
        <v>8.8625146092990298E-2</v>
      </c>
      <c r="U101" s="222">
        <v>1.2597484797637599E-2</v>
      </c>
      <c r="V101" s="222">
        <v>9.4592591002001097E-2</v>
      </c>
      <c r="W101" s="222">
        <v>8.8598560491956302E-2</v>
      </c>
      <c r="X101" s="222">
        <v>8.8598560491956302E-2</v>
      </c>
      <c r="Y101" s="222">
        <v>8.8598560491956302E-2</v>
      </c>
      <c r="Z101" s="222">
        <v>8.8598560491956302E-2</v>
      </c>
      <c r="AA101" s="222">
        <v>8.8598560491956302E-2</v>
      </c>
      <c r="AB101" s="222">
        <v>8.8598560491956302E-2</v>
      </c>
      <c r="AD101" s="712">
        <v>977973</v>
      </c>
      <c r="AE101" s="712">
        <v>1056582</v>
      </c>
      <c r="AF101" s="712">
        <f t="shared" si="28"/>
        <v>78609</v>
      </c>
      <c r="AG101" s="712">
        <v>1007312.19</v>
      </c>
    </row>
    <row r="102" spans="1:33" x14ac:dyDescent="0.2">
      <c r="A102" s="221">
        <v>97</v>
      </c>
      <c r="B102" s="222" t="s">
        <v>130</v>
      </c>
      <c r="C102" s="223">
        <v>2442101.16</v>
      </c>
      <c r="D102" s="223">
        <f t="shared" si="29"/>
        <v>203508.42999999993</v>
      </c>
      <c r="E102" s="223">
        <f t="shared" si="30"/>
        <v>203508.42999999993</v>
      </c>
      <c r="F102" s="223">
        <f t="shared" si="31"/>
        <v>203508.42999999993</v>
      </c>
      <c r="G102" s="223">
        <f t="shared" si="32"/>
        <v>203508.42999999993</v>
      </c>
      <c r="H102" s="223">
        <f t="shared" si="33"/>
        <v>203508.42999999993</v>
      </c>
      <c r="I102" s="223">
        <f t="shared" si="34"/>
        <v>203508.42999999993</v>
      </c>
      <c r="J102" s="223">
        <f t="shared" si="35"/>
        <v>203508.42999999993</v>
      </c>
      <c r="K102" s="223">
        <f t="shared" si="36"/>
        <v>203508.42999999993</v>
      </c>
      <c r="L102" s="223">
        <f t="shared" si="37"/>
        <v>203508.42999999993</v>
      </c>
      <c r="M102" s="223">
        <f t="shared" si="38"/>
        <v>203508.42999999993</v>
      </c>
      <c r="N102" s="223">
        <f t="shared" si="39"/>
        <v>203508.42999999993</v>
      </c>
      <c r="O102" s="223">
        <f t="shared" si="40"/>
        <v>203508.42999999993</v>
      </c>
      <c r="Q102" s="222">
        <v>8.3333333333333301E-2</v>
      </c>
      <c r="R102" s="222">
        <v>8.3333333333333301E-2</v>
      </c>
      <c r="S102" s="222">
        <v>8.3333333333333301E-2</v>
      </c>
      <c r="T102" s="222">
        <v>8.3333333333333301E-2</v>
      </c>
      <c r="U102" s="222">
        <v>8.3333333333333301E-2</v>
      </c>
      <c r="V102" s="222">
        <v>8.3333333333333301E-2</v>
      </c>
      <c r="W102" s="222">
        <v>8.3333333333333301E-2</v>
      </c>
      <c r="X102" s="222">
        <v>8.3333333333333301E-2</v>
      </c>
      <c r="Y102" s="222">
        <v>8.3333333333333301E-2</v>
      </c>
      <c r="Z102" s="222">
        <v>8.3333333333333301E-2</v>
      </c>
      <c r="AA102" s="222">
        <v>8.3333333333333301E-2</v>
      </c>
      <c r="AB102" s="222">
        <v>8.3333333333333301E-2</v>
      </c>
      <c r="AD102" s="712">
        <v>2370972</v>
      </c>
      <c r="AE102" s="712">
        <v>2289605</v>
      </c>
      <c r="AF102" s="712">
        <f t="shared" si="28"/>
        <v>-81367</v>
      </c>
      <c r="AG102" s="712">
        <v>2442101.16</v>
      </c>
    </row>
    <row r="103" spans="1:33" x14ac:dyDescent="0.2">
      <c r="A103" s="221">
        <v>98</v>
      </c>
      <c r="B103" s="222" t="s">
        <v>355</v>
      </c>
      <c r="C103" s="223">
        <v>1414787.4</v>
      </c>
      <c r="D103" s="223">
        <f t="shared" si="29"/>
        <v>117898.94999999995</v>
      </c>
      <c r="E103" s="223">
        <f t="shared" si="30"/>
        <v>117898.94999999995</v>
      </c>
      <c r="F103" s="223">
        <f t="shared" si="31"/>
        <v>117898.94999999995</v>
      </c>
      <c r="G103" s="223">
        <f t="shared" si="32"/>
        <v>117898.94999999995</v>
      </c>
      <c r="H103" s="223">
        <f t="shared" si="33"/>
        <v>117898.94999999995</v>
      </c>
      <c r="I103" s="223">
        <f t="shared" si="34"/>
        <v>117898.94999999995</v>
      </c>
      <c r="J103" s="223">
        <f t="shared" si="35"/>
        <v>117898.94999999995</v>
      </c>
      <c r="K103" s="223">
        <f t="shared" si="36"/>
        <v>117898.94999999995</v>
      </c>
      <c r="L103" s="223">
        <f t="shared" si="37"/>
        <v>117898.94999999995</v>
      </c>
      <c r="M103" s="223">
        <f t="shared" si="38"/>
        <v>117898.94999999995</v>
      </c>
      <c r="N103" s="223">
        <f t="shared" si="39"/>
        <v>117898.94999999995</v>
      </c>
      <c r="O103" s="223">
        <f t="shared" si="40"/>
        <v>117898.94999999995</v>
      </c>
      <c r="Q103" s="222">
        <v>8.3333333333333301E-2</v>
      </c>
      <c r="R103" s="222">
        <v>8.3333333333333301E-2</v>
      </c>
      <c r="S103" s="222">
        <v>8.3333333333333301E-2</v>
      </c>
      <c r="T103" s="222">
        <v>8.3333333333333301E-2</v>
      </c>
      <c r="U103" s="222">
        <v>8.3333333333333301E-2</v>
      </c>
      <c r="V103" s="222">
        <v>8.3333333333333301E-2</v>
      </c>
      <c r="W103" s="222">
        <v>8.3333333333333301E-2</v>
      </c>
      <c r="X103" s="222">
        <v>8.3333333333333301E-2</v>
      </c>
      <c r="Y103" s="222">
        <v>8.3333333333333301E-2</v>
      </c>
      <c r="Z103" s="222">
        <v>8.3333333333333301E-2</v>
      </c>
      <c r="AA103" s="222">
        <v>8.3333333333333301E-2</v>
      </c>
      <c r="AB103" s="222">
        <v>8.3333333333333301E-2</v>
      </c>
      <c r="AD103" s="712">
        <v>1373580</v>
      </c>
      <c r="AE103" s="712">
        <v>1400364</v>
      </c>
      <c r="AF103" s="712">
        <f t="shared" si="28"/>
        <v>26784</v>
      </c>
      <c r="AG103" s="712">
        <v>1414787.4</v>
      </c>
    </row>
    <row r="104" spans="1:33" x14ac:dyDescent="0.2">
      <c r="A104" s="221">
        <v>99</v>
      </c>
      <c r="B104" s="222" t="s">
        <v>139</v>
      </c>
      <c r="C104" s="223">
        <v>1982067.11</v>
      </c>
      <c r="D104" s="223">
        <f t="shared" si="29"/>
        <v>170526.40809679756</v>
      </c>
      <c r="E104" s="223">
        <f t="shared" si="30"/>
        <v>163508.61724586081</v>
      </c>
      <c r="F104" s="223">
        <f t="shared" si="31"/>
        <v>165436.03063746652</v>
      </c>
      <c r="G104" s="223">
        <f t="shared" si="32"/>
        <v>164651.18282682198</v>
      </c>
      <c r="H104" s="223">
        <f t="shared" si="33"/>
        <v>166607.12244941271</v>
      </c>
      <c r="I104" s="223">
        <f t="shared" si="34"/>
        <v>165920.12311909776</v>
      </c>
      <c r="J104" s="223">
        <f t="shared" si="35"/>
        <v>162161.7114904332</v>
      </c>
      <c r="K104" s="223">
        <f t="shared" si="36"/>
        <v>164651.18282682198</v>
      </c>
      <c r="L104" s="223">
        <f t="shared" si="37"/>
        <v>164651.18282682198</v>
      </c>
      <c r="M104" s="223">
        <f t="shared" si="38"/>
        <v>164651.18282682198</v>
      </c>
      <c r="N104" s="223">
        <f t="shared" si="39"/>
        <v>164651.18282682198</v>
      </c>
      <c r="O104" s="223">
        <f t="shared" si="40"/>
        <v>164651.18282682198</v>
      </c>
      <c r="Q104" s="222">
        <v>8.60346288157708E-2</v>
      </c>
      <c r="R104" s="222">
        <v>8.2493986414950801E-2</v>
      </c>
      <c r="S104" s="222">
        <v>8.3466412314094907E-2</v>
      </c>
      <c r="T104" s="222">
        <v>8.3070437926202195E-2</v>
      </c>
      <c r="U104" s="222">
        <v>8.4057255987368004E-2</v>
      </c>
      <c r="V104" s="222">
        <v>8.3710648485104899E-2</v>
      </c>
      <c r="W104" s="222">
        <v>8.1814440425497598E-2</v>
      </c>
      <c r="X104" s="222">
        <v>8.3070437926202195E-2</v>
      </c>
      <c r="Y104" s="222">
        <v>8.3070437926202195E-2</v>
      </c>
      <c r="Z104" s="222">
        <v>8.3070437926202195E-2</v>
      </c>
      <c r="AA104" s="222">
        <v>8.3070437926202195E-2</v>
      </c>
      <c r="AB104" s="222">
        <v>8.3070437926202195E-2</v>
      </c>
      <c r="AD104" s="712">
        <v>1924337</v>
      </c>
      <c r="AE104" s="712">
        <v>756649</v>
      </c>
      <c r="AF104" s="712">
        <f t="shared" si="28"/>
        <v>-1167688</v>
      </c>
      <c r="AG104" s="712">
        <v>1982067.11</v>
      </c>
    </row>
    <row r="105" spans="1:33" x14ac:dyDescent="0.2">
      <c r="A105" s="221">
        <v>100</v>
      </c>
      <c r="B105" s="222" t="s">
        <v>125</v>
      </c>
      <c r="C105" s="223">
        <v>1542557.87</v>
      </c>
      <c r="D105" s="223">
        <f t="shared" ref="D105:D118" si="41">$C105*Q105</f>
        <v>128546.48916666662</v>
      </c>
      <c r="E105" s="223">
        <f t="shared" ref="E105:E118" si="42">$C105*R105</f>
        <v>128546.48916666662</v>
      </c>
      <c r="F105" s="223">
        <f t="shared" ref="F105:F118" si="43">$C105*S105</f>
        <v>128546.48916666662</v>
      </c>
      <c r="G105" s="223">
        <f t="shared" ref="G105:G118" si="44">$C105*T105</f>
        <v>128546.48916666662</v>
      </c>
      <c r="H105" s="223">
        <f t="shared" ref="H105:H118" si="45">$C105*U105</f>
        <v>128546.48916666662</v>
      </c>
      <c r="I105" s="223">
        <f t="shared" ref="I105:I118" si="46">$C105*V105</f>
        <v>128546.48916666662</v>
      </c>
      <c r="J105" s="223">
        <f t="shared" ref="J105:J118" si="47">$C105*W105</f>
        <v>128546.48916666662</v>
      </c>
      <c r="K105" s="223">
        <f t="shared" ref="K105:K118" si="48">$C105*X105</f>
        <v>128546.48916666662</v>
      </c>
      <c r="L105" s="223">
        <f t="shared" ref="L105:L118" si="49">$C105*Y105</f>
        <v>128546.48916666662</v>
      </c>
      <c r="M105" s="223">
        <f t="shared" ref="M105:M118" si="50">$C105*Z105</f>
        <v>128546.48916666662</v>
      </c>
      <c r="N105" s="223">
        <f t="shared" ref="N105:N118" si="51">$C105*AA105</f>
        <v>128546.48916666662</v>
      </c>
      <c r="O105" s="223">
        <f t="shared" ref="O105:O118" si="52">$C105*AB105</f>
        <v>128546.48916666662</v>
      </c>
      <c r="Q105" s="222">
        <v>8.3333333333333301E-2</v>
      </c>
      <c r="R105" s="222">
        <v>8.3333333333333301E-2</v>
      </c>
      <c r="S105" s="222">
        <v>8.3333333333333301E-2</v>
      </c>
      <c r="T105" s="222">
        <v>8.3333333333333301E-2</v>
      </c>
      <c r="U105" s="222">
        <v>8.3333333333333301E-2</v>
      </c>
      <c r="V105" s="222">
        <v>8.3333333333333301E-2</v>
      </c>
      <c r="W105" s="222">
        <v>8.3333333333333301E-2</v>
      </c>
      <c r="X105" s="222">
        <v>8.3333333333333301E-2</v>
      </c>
      <c r="Y105" s="222">
        <v>8.3333333333333301E-2</v>
      </c>
      <c r="Z105" s="222">
        <v>8.3333333333333301E-2</v>
      </c>
      <c r="AA105" s="222">
        <v>8.3333333333333301E-2</v>
      </c>
      <c r="AB105" s="222">
        <v>8.3333333333333301E-2</v>
      </c>
      <c r="AD105" s="712">
        <v>1497629</v>
      </c>
      <c r="AE105" s="712">
        <v>580923</v>
      </c>
      <c r="AF105" s="712">
        <f t="shared" si="28"/>
        <v>-916706</v>
      </c>
      <c r="AG105" s="712">
        <v>1542557.87</v>
      </c>
    </row>
    <row r="106" spans="1:33" x14ac:dyDescent="0.2">
      <c r="A106" s="221">
        <v>101</v>
      </c>
      <c r="B106" s="222" t="s">
        <v>66</v>
      </c>
      <c r="C106" s="223">
        <v>2465428.6</v>
      </c>
      <c r="D106" s="223">
        <f t="shared" si="41"/>
        <v>205452.38333333327</v>
      </c>
      <c r="E106" s="223">
        <f t="shared" si="42"/>
        <v>205452.38333333327</v>
      </c>
      <c r="F106" s="223">
        <f t="shared" si="43"/>
        <v>205452.38333333327</v>
      </c>
      <c r="G106" s="223">
        <f t="shared" si="44"/>
        <v>205452.38333333327</v>
      </c>
      <c r="H106" s="223">
        <f t="shared" si="45"/>
        <v>205452.38333333327</v>
      </c>
      <c r="I106" s="223">
        <f t="shared" si="46"/>
        <v>205452.38333333327</v>
      </c>
      <c r="J106" s="223">
        <f t="shared" si="47"/>
        <v>205452.38333333327</v>
      </c>
      <c r="K106" s="223">
        <f t="shared" si="48"/>
        <v>205452.38333333327</v>
      </c>
      <c r="L106" s="223">
        <f t="shared" si="49"/>
        <v>205452.38333333327</v>
      </c>
      <c r="M106" s="223">
        <f t="shared" si="50"/>
        <v>205452.38333333327</v>
      </c>
      <c r="N106" s="223">
        <f t="shared" si="51"/>
        <v>205452.38333333327</v>
      </c>
      <c r="O106" s="223">
        <f t="shared" si="52"/>
        <v>205452.38333333327</v>
      </c>
      <c r="Q106" s="222">
        <v>8.3333333333333301E-2</v>
      </c>
      <c r="R106" s="222">
        <v>8.3333333333333301E-2</v>
      </c>
      <c r="S106" s="222">
        <v>8.3333333333333301E-2</v>
      </c>
      <c r="T106" s="222">
        <v>8.3333333333333301E-2</v>
      </c>
      <c r="U106" s="222">
        <v>8.3333333333333301E-2</v>
      </c>
      <c r="V106" s="222">
        <v>8.3333333333333301E-2</v>
      </c>
      <c r="W106" s="222">
        <v>8.3333333333333301E-2</v>
      </c>
      <c r="X106" s="222">
        <v>8.3333333333333301E-2</v>
      </c>
      <c r="Y106" s="222">
        <v>8.3333333333333301E-2</v>
      </c>
      <c r="Z106" s="222">
        <v>8.3333333333333301E-2</v>
      </c>
      <c r="AA106" s="222">
        <v>8.3333333333333301E-2</v>
      </c>
      <c r="AB106" s="222">
        <v>8.3333333333333301E-2</v>
      </c>
      <c r="AD106" s="712">
        <v>2393620</v>
      </c>
      <c r="AE106" s="712">
        <v>1653687</v>
      </c>
      <c r="AF106" s="712">
        <f t="shared" si="28"/>
        <v>-739933</v>
      </c>
      <c r="AG106" s="712">
        <v>2465428.6</v>
      </c>
    </row>
    <row r="107" spans="1:33" x14ac:dyDescent="0.2">
      <c r="A107" s="221">
        <v>102</v>
      </c>
      <c r="B107" s="222" t="s">
        <v>117</v>
      </c>
      <c r="C107" s="223">
        <v>13581100.02</v>
      </c>
      <c r="D107" s="223">
        <f t="shared" si="41"/>
        <v>1524215.6300000048</v>
      </c>
      <c r="E107" s="223">
        <f t="shared" si="42"/>
        <v>1053751.7999999996</v>
      </c>
      <c r="F107" s="223">
        <f t="shared" si="43"/>
        <v>1104804.7799999996</v>
      </c>
      <c r="G107" s="223">
        <f t="shared" si="44"/>
        <v>1111847.9199999995</v>
      </c>
      <c r="H107" s="223">
        <f t="shared" si="45"/>
        <v>1065697.7399999998</v>
      </c>
      <c r="I107" s="223">
        <f t="shared" si="46"/>
        <v>1126097.97</v>
      </c>
      <c r="J107" s="223">
        <f t="shared" si="47"/>
        <v>1128859.4000000001</v>
      </c>
      <c r="K107" s="223">
        <f t="shared" si="48"/>
        <v>1128859.4000000001</v>
      </c>
      <c r="L107" s="223">
        <f t="shared" si="49"/>
        <v>1069963.9999999993</v>
      </c>
      <c r="M107" s="223">
        <f t="shared" si="50"/>
        <v>1089000.4600000002</v>
      </c>
      <c r="N107" s="223">
        <f t="shared" si="51"/>
        <v>1089000.4600000002</v>
      </c>
      <c r="O107" s="223">
        <f t="shared" si="52"/>
        <v>1089000.4600000002</v>
      </c>
      <c r="Q107" s="222">
        <v>0.11223064610049199</v>
      </c>
      <c r="R107" s="222">
        <v>7.7589576576875804E-2</v>
      </c>
      <c r="S107" s="222">
        <v>8.1348696230277795E-2</v>
      </c>
      <c r="T107" s="222">
        <v>8.1867294870272195E-2</v>
      </c>
      <c r="U107" s="222">
        <v>7.8469176902505405E-2</v>
      </c>
      <c r="V107" s="222">
        <v>8.29165508200123E-2</v>
      </c>
      <c r="W107" s="222">
        <v>8.3119879710598005E-2</v>
      </c>
      <c r="X107" s="222">
        <v>8.3119879710598005E-2</v>
      </c>
      <c r="Y107" s="222">
        <v>7.8783309041560196E-2</v>
      </c>
      <c r="Z107" s="222">
        <v>8.0184996678936193E-2</v>
      </c>
      <c r="AA107" s="222">
        <v>8.0184996678936193E-2</v>
      </c>
      <c r="AB107" s="222">
        <v>8.0184996678936193E-2</v>
      </c>
      <c r="AD107" s="712">
        <v>13185534</v>
      </c>
      <c r="AE107" s="712">
        <v>51469014</v>
      </c>
      <c r="AF107" s="712">
        <f t="shared" si="28"/>
        <v>38283480</v>
      </c>
      <c r="AG107" s="712">
        <v>13581100.02</v>
      </c>
    </row>
    <row r="108" spans="1:33" x14ac:dyDescent="0.2">
      <c r="A108" s="221">
        <v>103</v>
      </c>
      <c r="B108" s="222" t="s">
        <v>356</v>
      </c>
      <c r="C108" s="223">
        <v>1303732.8</v>
      </c>
      <c r="D108" s="223">
        <f t="shared" si="41"/>
        <v>103955.68446465445</v>
      </c>
      <c r="E108" s="223">
        <f t="shared" si="42"/>
        <v>104189.03836646728</v>
      </c>
      <c r="F108" s="223">
        <f t="shared" si="43"/>
        <v>100520.76588511023</v>
      </c>
      <c r="G108" s="223">
        <f t="shared" si="44"/>
        <v>108914.23387152088</v>
      </c>
      <c r="H108" s="223">
        <f t="shared" si="45"/>
        <v>123753.44031160146</v>
      </c>
      <c r="I108" s="223">
        <f t="shared" si="46"/>
        <v>108914.23387152088</v>
      </c>
      <c r="J108" s="223">
        <f t="shared" si="47"/>
        <v>108914.23387152088</v>
      </c>
      <c r="K108" s="223">
        <f t="shared" si="48"/>
        <v>108914.23387152088</v>
      </c>
      <c r="L108" s="223">
        <f t="shared" si="49"/>
        <v>108914.23387152088</v>
      </c>
      <c r="M108" s="223">
        <f t="shared" si="50"/>
        <v>108914.23387152088</v>
      </c>
      <c r="N108" s="223">
        <f t="shared" si="51"/>
        <v>108914.23387152088</v>
      </c>
      <c r="O108" s="223">
        <f t="shared" si="52"/>
        <v>108914.23387152088</v>
      </c>
      <c r="Q108" s="222">
        <v>7.9736955658900696E-2</v>
      </c>
      <c r="R108" s="222">
        <v>7.9915944713876405E-2</v>
      </c>
      <c r="S108" s="222">
        <v>7.7102275776992205E-2</v>
      </c>
      <c r="T108" s="222">
        <v>8.3540303558766696E-2</v>
      </c>
      <c r="U108" s="222">
        <v>9.4922395380097405E-2</v>
      </c>
      <c r="V108" s="222">
        <v>8.3540303558766696E-2</v>
      </c>
      <c r="W108" s="222">
        <v>8.3540303558766696E-2</v>
      </c>
      <c r="X108" s="222">
        <v>8.3540303558766696E-2</v>
      </c>
      <c r="Y108" s="222">
        <v>8.3540303558766696E-2</v>
      </c>
      <c r="Z108" s="222">
        <v>8.3540303558766696E-2</v>
      </c>
      <c r="AA108" s="222">
        <v>8.3540303558766696E-2</v>
      </c>
      <c r="AB108" s="222">
        <v>8.3540303558766696E-2</v>
      </c>
      <c r="AD108" s="712">
        <v>1265760</v>
      </c>
      <c r="AE108" s="712">
        <v>0</v>
      </c>
      <c r="AF108" s="712">
        <f t="shared" si="28"/>
        <v>-1265760</v>
      </c>
      <c r="AG108" s="712">
        <v>1303732.8</v>
      </c>
    </row>
    <row r="109" spans="1:33" x14ac:dyDescent="0.2">
      <c r="A109" s="221">
        <v>104</v>
      </c>
      <c r="B109" s="222" t="s">
        <v>109</v>
      </c>
      <c r="C109" s="223">
        <v>2586111.64</v>
      </c>
      <c r="D109" s="223">
        <f t="shared" si="41"/>
        <v>215509.30333333326</v>
      </c>
      <c r="E109" s="223">
        <f t="shared" si="42"/>
        <v>215509.30333333326</v>
      </c>
      <c r="F109" s="223">
        <f t="shared" si="43"/>
        <v>215509.30333333326</v>
      </c>
      <c r="G109" s="223">
        <f t="shared" si="44"/>
        <v>215509.30333333326</v>
      </c>
      <c r="H109" s="223">
        <f t="shared" si="45"/>
        <v>215509.30333333326</v>
      </c>
      <c r="I109" s="223">
        <f t="shared" si="46"/>
        <v>215509.30333333326</v>
      </c>
      <c r="J109" s="223">
        <f t="shared" si="47"/>
        <v>215509.30333333326</v>
      </c>
      <c r="K109" s="223">
        <f t="shared" si="48"/>
        <v>215509.30333333326</v>
      </c>
      <c r="L109" s="223">
        <f t="shared" si="49"/>
        <v>215509.30333333326</v>
      </c>
      <c r="M109" s="223">
        <f t="shared" si="50"/>
        <v>215509.30333333326</v>
      </c>
      <c r="N109" s="223">
        <f t="shared" si="51"/>
        <v>215509.30333333326</v>
      </c>
      <c r="O109" s="223">
        <f t="shared" si="52"/>
        <v>215509.30333333326</v>
      </c>
      <c r="Q109" s="222">
        <v>8.3333333333333301E-2</v>
      </c>
      <c r="R109" s="222">
        <v>8.3333333333333301E-2</v>
      </c>
      <c r="S109" s="222">
        <v>8.3333333333333301E-2</v>
      </c>
      <c r="T109" s="222">
        <v>8.3333333333333301E-2</v>
      </c>
      <c r="U109" s="222">
        <v>8.3333333333333301E-2</v>
      </c>
      <c r="V109" s="222">
        <v>8.3333333333333301E-2</v>
      </c>
      <c r="W109" s="222">
        <v>8.3333333333333301E-2</v>
      </c>
      <c r="X109" s="222">
        <v>8.3333333333333301E-2</v>
      </c>
      <c r="Y109" s="222">
        <v>8.3333333333333301E-2</v>
      </c>
      <c r="Z109" s="222">
        <v>8.3333333333333301E-2</v>
      </c>
      <c r="AA109" s="222">
        <v>8.3333333333333301E-2</v>
      </c>
      <c r="AB109" s="222">
        <v>8.3333333333333301E-2</v>
      </c>
      <c r="AD109" s="712">
        <v>2510788</v>
      </c>
      <c r="AE109" s="712">
        <v>0</v>
      </c>
      <c r="AF109" s="712">
        <f t="shared" si="28"/>
        <v>-2510788</v>
      </c>
      <c r="AG109" s="712">
        <v>2586111.64</v>
      </c>
    </row>
    <row r="110" spans="1:33" x14ac:dyDescent="0.2">
      <c r="A110" s="221">
        <v>105</v>
      </c>
      <c r="B110" s="222" t="s">
        <v>150</v>
      </c>
      <c r="C110" s="223">
        <v>2024010.77</v>
      </c>
      <c r="D110" s="223">
        <f t="shared" si="41"/>
        <v>189321.66754198429</v>
      </c>
      <c r="E110" s="223">
        <f t="shared" si="42"/>
        <v>179175.66531646796</v>
      </c>
      <c r="F110" s="223">
        <f t="shared" si="43"/>
        <v>176878.76588927777</v>
      </c>
      <c r="G110" s="223">
        <f t="shared" si="44"/>
        <v>63604.544138048543</v>
      </c>
      <c r="H110" s="223">
        <f t="shared" si="45"/>
        <v>176878.76588927777</v>
      </c>
      <c r="I110" s="223">
        <f t="shared" si="46"/>
        <v>176878.76588927777</v>
      </c>
      <c r="J110" s="223">
        <f t="shared" si="47"/>
        <v>176878.76588927777</v>
      </c>
      <c r="K110" s="223">
        <f t="shared" si="48"/>
        <v>176878.76588927777</v>
      </c>
      <c r="L110" s="223">
        <f t="shared" si="49"/>
        <v>176878.76588927777</v>
      </c>
      <c r="M110" s="223">
        <f t="shared" si="50"/>
        <v>176878.76588927777</v>
      </c>
      <c r="N110" s="223">
        <f t="shared" si="51"/>
        <v>176878.76588927777</v>
      </c>
      <c r="O110" s="223">
        <f t="shared" si="52"/>
        <v>176878.76588927777</v>
      </c>
      <c r="Q110" s="222">
        <v>9.3537875562778899E-2</v>
      </c>
      <c r="R110" s="222">
        <v>8.8525055287362903E-2</v>
      </c>
      <c r="S110" s="222">
        <v>8.7390229593134902E-2</v>
      </c>
      <c r="T110" s="222">
        <v>3.1425002811644398E-2</v>
      </c>
      <c r="U110" s="222">
        <v>8.7390229593134902E-2</v>
      </c>
      <c r="V110" s="222">
        <v>8.7390229593134902E-2</v>
      </c>
      <c r="W110" s="222">
        <v>8.7390229593134902E-2</v>
      </c>
      <c r="X110" s="222">
        <v>8.7390229593134902E-2</v>
      </c>
      <c r="Y110" s="222">
        <v>8.7390229593134902E-2</v>
      </c>
      <c r="Z110" s="222">
        <v>8.7390229593134902E-2</v>
      </c>
      <c r="AA110" s="222">
        <v>8.7390229593134902E-2</v>
      </c>
      <c r="AB110" s="222">
        <v>8.7390229593134902E-2</v>
      </c>
      <c r="AD110" s="712">
        <v>1965059</v>
      </c>
      <c r="AE110" s="712">
        <v>1827165</v>
      </c>
      <c r="AF110" s="712">
        <f t="shared" si="28"/>
        <v>-137894</v>
      </c>
      <c r="AG110" s="712">
        <v>2024010.77</v>
      </c>
    </row>
    <row r="111" spans="1:33" x14ac:dyDescent="0.2">
      <c r="A111" s="221">
        <v>106</v>
      </c>
      <c r="B111" s="222" t="s">
        <v>357</v>
      </c>
      <c r="C111" s="223">
        <v>3955200</v>
      </c>
      <c r="D111" s="223">
        <f t="shared" si="41"/>
        <v>329599.99999999988</v>
      </c>
      <c r="E111" s="223">
        <f t="shared" si="42"/>
        <v>329599.99999999988</v>
      </c>
      <c r="F111" s="223">
        <f t="shared" si="43"/>
        <v>329599.99999999988</v>
      </c>
      <c r="G111" s="223">
        <f t="shared" si="44"/>
        <v>329599.99999999988</v>
      </c>
      <c r="H111" s="223">
        <f t="shared" si="45"/>
        <v>329599.99999999988</v>
      </c>
      <c r="I111" s="223">
        <f t="shared" si="46"/>
        <v>329599.99999999988</v>
      </c>
      <c r="J111" s="223">
        <f t="shared" si="47"/>
        <v>329599.99999999988</v>
      </c>
      <c r="K111" s="223">
        <f t="shared" si="48"/>
        <v>329599.99999999988</v>
      </c>
      <c r="L111" s="223">
        <f t="shared" si="49"/>
        <v>329599.99999999988</v>
      </c>
      <c r="M111" s="223">
        <f t="shared" si="50"/>
        <v>329599.99999999988</v>
      </c>
      <c r="N111" s="223">
        <f t="shared" si="51"/>
        <v>329599.99999999988</v>
      </c>
      <c r="O111" s="223">
        <f t="shared" si="52"/>
        <v>329599.99999999988</v>
      </c>
      <c r="Q111" s="222">
        <v>8.3333333333333301E-2</v>
      </c>
      <c r="R111" s="222">
        <v>8.3333333333333301E-2</v>
      </c>
      <c r="S111" s="222">
        <v>8.3333333333333301E-2</v>
      </c>
      <c r="T111" s="222">
        <v>8.3333333333333301E-2</v>
      </c>
      <c r="U111" s="222">
        <v>8.3333333333333301E-2</v>
      </c>
      <c r="V111" s="222">
        <v>8.3333333333333301E-2</v>
      </c>
      <c r="W111" s="222">
        <v>8.3333333333333301E-2</v>
      </c>
      <c r="X111" s="222">
        <v>8.3333333333333301E-2</v>
      </c>
      <c r="Y111" s="222">
        <v>8.3333333333333301E-2</v>
      </c>
      <c r="Z111" s="222">
        <v>8.3333333333333301E-2</v>
      </c>
      <c r="AA111" s="222">
        <v>8.3333333333333301E-2</v>
      </c>
      <c r="AB111" s="222">
        <v>8.3333333333333301E-2</v>
      </c>
      <c r="AD111" s="712">
        <v>3840000</v>
      </c>
      <c r="AE111" s="712">
        <v>0</v>
      </c>
      <c r="AF111" s="712">
        <f t="shared" si="28"/>
        <v>-3840000</v>
      </c>
      <c r="AG111" s="712">
        <v>3955200</v>
      </c>
    </row>
    <row r="112" spans="1:33" x14ac:dyDescent="0.2">
      <c r="A112" s="221">
        <v>107</v>
      </c>
      <c r="B112" s="222" t="s">
        <v>358</v>
      </c>
      <c r="C112" s="223">
        <v>6334353.7400000002</v>
      </c>
      <c r="D112" s="223">
        <f t="shared" si="41"/>
        <v>635038.25999999989</v>
      </c>
      <c r="E112" s="223">
        <f t="shared" si="42"/>
        <v>509093.9800000001</v>
      </c>
      <c r="F112" s="223">
        <f t="shared" si="43"/>
        <v>540782.95999999973</v>
      </c>
      <c r="G112" s="223">
        <f t="shared" si="44"/>
        <v>445746.92000000039</v>
      </c>
      <c r="H112" s="223">
        <f t="shared" si="45"/>
        <v>530463.38999999978</v>
      </c>
      <c r="I112" s="223">
        <f t="shared" si="46"/>
        <v>521461.18999999983</v>
      </c>
      <c r="J112" s="223">
        <f t="shared" si="47"/>
        <v>576883.42999999993</v>
      </c>
      <c r="K112" s="223">
        <f t="shared" si="48"/>
        <v>504859.65000000026</v>
      </c>
      <c r="L112" s="223">
        <f t="shared" si="49"/>
        <v>512470.31999999972</v>
      </c>
      <c r="M112" s="223">
        <f t="shared" si="50"/>
        <v>514631.26000000018</v>
      </c>
      <c r="N112" s="223">
        <f t="shared" si="51"/>
        <v>521461.18999999983</v>
      </c>
      <c r="O112" s="223">
        <f t="shared" si="52"/>
        <v>521461.18999999983</v>
      </c>
      <c r="Q112" s="222">
        <v>0.100253046493106</v>
      </c>
      <c r="R112" s="222">
        <v>8.0370310989294397E-2</v>
      </c>
      <c r="S112" s="222">
        <v>8.5373028125202199E-2</v>
      </c>
      <c r="T112" s="222">
        <v>7.0369754878893201E-2</v>
      </c>
      <c r="U112" s="222">
        <v>8.3743884818153494E-2</v>
      </c>
      <c r="V112" s="222">
        <v>8.2322713792741198E-2</v>
      </c>
      <c r="W112" s="222">
        <v>9.1072184105714299E-2</v>
      </c>
      <c r="X112" s="222">
        <v>7.9701840270133106E-2</v>
      </c>
      <c r="Y112" s="222">
        <v>8.0903331426514194E-2</v>
      </c>
      <c r="Z112" s="222">
        <v>8.1244477514765406E-2</v>
      </c>
      <c r="AA112" s="222">
        <v>8.2322713792741198E-2</v>
      </c>
      <c r="AB112" s="222">
        <v>8.2322713792741198E-2</v>
      </c>
      <c r="AD112" s="712">
        <v>6149858</v>
      </c>
      <c r="AE112" s="712">
        <v>6660628</v>
      </c>
      <c r="AF112" s="712">
        <f t="shared" si="28"/>
        <v>510770</v>
      </c>
      <c r="AG112" s="712">
        <v>6334353.7400000002</v>
      </c>
    </row>
    <row r="113" spans="1:33" x14ac:dyDescent="0.2">
      <c r="A113" s="221">
        <v>108</v>
      </c>
      <c r="B113" s="222" t="s">
        <v>149</v>
      </c>
      <c r="C113" s="223">
        <v>30718488.25</v>
      </c>
      <c r="D113" s="223">
        <f t="shared" si="41"/>
        <v>2383279.92</v>
      </c>
      <c r="E113" s="223">
        <f t="shared" si="42"/>
        <v>2194358.350000002</v>
      </c>
      <c r="F113" s="223">
        <f t="shared" si="43"/>
        <v>2789254.4199999985</v>
      </c>
      <c r="G113" s="223">
        <f t="shared" si="44"/>
        <v>2584863.2800000007</v>
      </c>
      <c r="H113" s="223">
        <f t="shared" si="45"/>
        <v>2575157.5899999989</v>
      </c>
      <c r="I113" s="223">
        <f t="shared" si="46"/>
        <v>2509071.7599999988</v>
      </c>
      <c r="J113" s="223">
        <f t="shared" si="47"/>
        <v>2579437.2400000016</v>
      </c>
      <c r="K113" s="223">
        <f t="shared" si="48"/>
        <v>2726757.1100000008</v>
      </c>
      <c r="L113" s="223">
        <f t="shared" si="49"/>
        <v>2664431.8099999996</v>
      </c>
      <c r="M113" s="223">
        <f t="shared" si="50"/>
        <v>2570625.59</v>
      </c>
      <c r="N113" s="223">
        <f t="shared" si="51"/>
        <v>2570625.59</v>
      </c>
      <c r="O113" s="223">
        <f t="shared" si="52"/>
        <v>2570625.59</v>
      </c>
      <c r="Q113" s="222">
        <v>7.7584544545417203E-2</v>
      </c>
      <c r="R113" s="222">
        <v>7.1434451205456106E-2</v>
      </c>
      <c r="S113" s="222">
        <v>9.0800510666406195E-2</v>
      </c>
      <c r="T113" s="222">
        <v>8.4146825812627696E-2</v>
      </c>
      <c r="U113" s="222">
        <v>8.3830869834553096E-2</v>
      </c>
      <c r="V113" s="222">
        <v>8.16795325206148E-2</v>
      </c>
      <c r="W113" s="222">
        <v>8.39701882139334E-2</v>
      </c>
      <c r="X113" s="222">
        <v>8.8765992903312899E-2</v>
      </c>
      <c r="Y113" s="222">
        <v>8.6737074699631406E-2</v>
      </c>
      <c r="Z113" s="222">
        <v>8.3683336532682395E-2</v>
      </c>
      <c r="AA113" s="222">
        <v>8.3683336532682395E-2</v>
      </c>
      <c r="AB113" s="222">
        <v>8.3683336532682395E-2</v>
      </c>
      <c r="AD113" s="712">
        <v>29823775</v>
      </c>
      <c r="AE113" s="712">
        <v>34246923</v>
      </c>
      <c r="AF113" s="712">
        <f t="shared" si="28"/>
        <v>4423148</v>
      </c>
      <c r="AG113" s="712">
        <v>30718488.25</v>
      </c>
    </row>
    <row r="114" spans="1:33" x14ac:dyDescent="0.2">
      <c r="A114" s="221">
        <v>109</v>
      </c>
      <c r="B114" s="222" t="s">
        <v>50</v>
      </c>
      <c r="C114" s="223">
        <v>292202.76</v>
      </c>
      <c r="D114" s="223">
        <f t="shared" si="41"/>
        <v>24350.229999999992</v>
      </c>
      <c r="E114" s="223">
        <f t="shared" si="42"/>
        <v>24350.229999999992</v>
      </c>
      <c r="F114" s="223">
        <f t="shared" si="43"/>
        <v>24350.229999999992</v>
      </c>
      <c r="G114" s="223">
        <f t="shared" si="44"/>
        <v>24350.229999999992</v>
      </c>
      <c r="H114" s="223">
        <f t="shared" si="45"/>
        <v>24350.229999999992</v>
      </c>
      <c r="I114" s="223">
        <f t="shared" si="46"/>
        <v>24350.229999999992</v>
      </c>
      <c r="J114" s="223">
        <f t="shared" si="47"/>
        <v>24350.229999999992</v>
      </c>
      <c r="K114" s="223">
        <f t="shared" si="48"/>
        <v>24350.229999999992</v>
      </c>
      <c r="L114" s="223">
        <f t="shared" si="49"/>
        <v>24350.229999999992</v>
      </c>
      <c r="M114" s="223">
        <f t="shared" si="50"/>
        <v>24350.229999999992</v>
      </c>
      <c r="N114" s="223">
        <f t="shared" si="51"/>
        <v>24350.229999999992</v>
      </c>
      <c r="O114" s="223">
        <f t="shared" si="52"/>
        <v>24350.229999999992</v>
      </c>
      <c r="Q114" s="222">
        <v>8.3333333333333301E-2</v>
      </c>
      <c r="R114" s="222">
        <v>8.3333333333333301E-2</v>
      </c>
      <c r="S114" s="222">
        <v>8.3333333333333301E-2</v>
      </c>
      <c r="T114" s="222">
        <v>8.3333333333333301E-2</v>
      </c>
      <c r="U114" s="222">
        <v>8.3333333333333301E-2</v>
      </c>
      <c r="V114" s="222">
        <v>8.3333333333333301E-2</v>
      </c>
      <c r="W114" s="222">
        <v>8.3333333333333301E-2</v>
      </c>
      <c r="X114" s="222">
        <v>8.3333333333333301E-2</v>
      </c>
      <c r="Y114" s="222">
        <v>8.3333333333333301E-2</v>
      </c>
      <c r="Z114" s="222">
        <v>8.3333333333333301E-2</v>
      </c>
      <c r="AA114" s="222">
        <v>8.3333333333333301E-2</v>
      </c>
      <c r="AB114" s="222">
        <v>8.3333333333333301E-2</v>
      </c>
      <c r="AD114" s="712">
        <v>283692</v>
      </c>
      <c r="AE114" s="712">
        <v>187936</v>
      </c>
      <c r="AF114" s="712">
        <f t="shared" si="28"/>
        <v>-95756</v>
      </c>
      <c r="AG114" s="712">
        <v>292202.76</v>
      </c>
    </row>
    <row r="115" spans="1:33" x14ac:dyDescent="0.2">
      <c r="A115" s="221">
        <v>110</v>
      </c>
      <c r="B115" s="222" t="s">
        <v>111</v>
      </c>
      <c r="C115" s="223">
        <v>3967517.77</v>
      </c>
      <c r="D115" s="223">
        <f t="shared" si="41"/>
        <v>330469.31999999989</v>
      </c>
      <c r="E115" s="223">
        <f t="shared" si="42"/>
        <v>331489.01999999996</v>
      </c>
      <c r="F115" s="223">
        <f t="shared" si="43"/>
        <v>372710.64999999997</v>
      </c>
      <c r="G115" s="223">
        <f t="shared" si="44"/>
        <v>314448.70000000013</v>
      </c>
      <c r="H115" s="223">
        <f t="shared" si="45"/>
        <v>322343.65000000026</v>
      </c>
      <c r="I115" s="223">
        <f t="shared" si="46"/>
        <v>306495.03999999992</v>
      </c>
      <c r="J115" s="223">
        <f t="shared" si="47"/>
        <v>367051.82999999996</v>
      </c>
      <c r="K115" s="223">
        <f t="shared" si="48"/>
        <v>329178.72999999986</v>
      </c>
      <c r="L115" s="223">
        <f t="shared" si="49"/>
        <v>318231.8899999999</v>
      </c>
      <c r="M115" s="223">
        <f t="shared" si="50"/>
        <v>315701.18000000005</v>
      </c>
      <c r="N115" s="223">
        <f t="shared" si="51"/>
        <v>329698.87999999989</v>
      </c>
      <c r="O115" s="223">
        <f t="shared" si="52"/>
        <v>329698.87999999989</v>
      </c>
      <c r="Q115" s="222">
        <v>8.3293721454459901E-2</v>
      </c>
      <c r="R115" s="222">
        <v>8.3550733535844995E-2</v>
      </c>
      <c r="S115" s="222">
        <v>9.3940511827877701E-2</v>
      </c>
      <c r="T115" s="222">
        <v>7.9255776086920998E-2</v>
      </c>
      <c r="U115" s="222">
        <v>8.1245672656432802E-2</v>
      </c>
      <c r="V115" s="222">
        <v>7.7251081852117306E-2</v>
      </c>
      <c r="W115" s="222">
        <v>9.2514224580272003E-2</v>
      </c>
      <c r="X115" s="222">
        <v>8.2968432426201805E-2</v>
      </c>
      <c r="Y115" s="222">
        <v>8.0209316869675903E-2</v>
      </c>
      <c r="Z115" s="222">
        <v>7.9571459613147502E-2</v>
      </c>
      <c r="AA115" s="222">
        <v>8.3099534548524506E-2</v>
      </c>
      <c r="AB115" s="222">
        <v>8.3099534548524506E-2</v>
      </c>
      <c r="AD115" s="712">
        <v>3851959</v>
      </c>
      <c r="AE115" s="712">
        <v>3590631</v>
      </c>
      <c r="AF115" s="712">
        <f t="shared" si="28"/>
        <v>-261328</v>
      </c>
      <c r="AG115" s="712">
        <v>3967517.77</v>
      </c>
    </row>
    <row r="116" spans="1:33" x14ac:dyDescent="0.2">
      <c r="A116" s="221">
        <v>111</v>
      </c>
      <c r="B116" s="222" t="s">
        <v>140</v>
      </c>
      <c r="C116" s="223">
        <v>1191589.49</v>
      </c>
      <c r="D116" s="223">
        <f t="shared" si="41"/>
        <v>97657.390000000058</v>
      </c>
      <c r="E116" s="223">
        <f t="shared" si="42"/>
        <v>98035.4</v>
      </c>
      <c r="F116" s="223">
        <f t="shared" si="43"/>
        <v>105119.74</v>
      </c>
      <c r="G116" s="223">
        <f t="shared" si="44"/>
        <v>102180.11999999995</v>
      </c>
      <c r="H116" s="223">
        <f t="shared" si="45"/>
        <v>96007.329999999987</v>
      </c>
      <c r="I116" s="223">
        <f t="shared" si="46"/>
        <v>97417.400000000023</v>
      </c>
      <c r="J116" s="223">
        <f t="shared" si="47"/>
        <v>102880.51999999997</v>
      </c>
      <c r="K116" s="223">
        <f t="shared" si="48"/>
        <v>95139.040000000008</v>
      </c>
      <c r="L116" s="223">
        <f t="shared" si="49"/>
        <v>98594.690000000046</v>
      </c>
      <c r="M116" s="223">
        <f t="shared" si="50"/>
        <v>101368.47999999997</v>
      </c>
      <c r="N116" s="223">
        <f t="shared" si="51"/>
        <v>98594.690000000046</v>
      </c>
      <c r="O116" s="223">
        <f t="shared" si="52"/>
        <v>98594.690000000046</v>
      </c>
      <c r="Q116" s="222">
        <v>8.1955565083072404E-2</v>
      </c>
      <c r="R116" s="222">
        <v>8.22727968169642E-2</v>
      </c>
      <c r="S116" s="222">
        <v>8.8218082554588503E-2</v>
      </c>
      <c r="T116" s="222">
        <v>8.5751108798383199E-2</v>
      </c>
      <c r="U116" s="222">
        <v>8.0570809667010398E-2</v>
      </c>
      <c r="V116" s="222">
        <v>8.1754161829675098E-2</v>
      </c>
      <c r="W116" s="222">
        <v>8.6338895117310896E-2</v>
      </c>
      <c r="X116" s="222">
        <v>7.9842127509869201E-2</v>
      </c>
      <c r="Y116" s="222">
        <v>8.2742161480460902E-2</v>
      </c>
      <c r="Z116" s="222">
        <v>8.5069968181743505E-2</v>
      </c>
      <c r="AA116" s="222">
        <v>8.2742161480460902E-2</v>
      </c>
      <c r="AB116" s="222">
        <v>8.2742161480460902E-2</v>
      </c>
      <c r="AD116" s="712">
        <v>1156883</v>
      </c>
      <c r="AE116" s="712">
        <v>1040784</v>
      </c>
      <c r="AF116" s="712">
        <f t="shared" si="28"/>
        <v>-116099</v>
      </c>
      <c r="AG116" s="712">
        <v>1191589.49</v>
      </c>
    </row>
    <row r="117" spans="1:33" x14ac:dyDescent="0.2">
      <c r="A117" s="221">
        <v>112</v>
      </c>
      <c r="B117" s="222" t="s">
        <v>142</v>
      </c>
      <c r="C117" s="223">
        <v>14492199.91</v>
      </c>
      <c r="D117" s="223">
        <f t="shared" si="41"/>
        <v>1297792.79</v>
      </c>
      <c r="E117" s="223">
        <f t="shared" si="42"/>
        <v>1299527.3099999996</v>
      </c>
      <c r="F117" s="223">
        <f t="shared" si="43"/>
        <v>1311446.4700000007</v>
      </c>
      <c r="G117" s="223">
        <f t="shared" si="44"/>
        <v>1332008.3600000006</v>
      </c>
      <c r="H117" s="223">
        <f t="shared" si="45"/>
        <v>1383040.7399999998</v>
      </c>
      <c r="I117" s="223">
        <f t="shared" si="46"/>
        <v>1089642.1499999997</v>
      </c>
      <c r="J117" s="223">
        <f t="shared" si="47"/>
        <v>731554.40999999968</v>
      </c>
      <c r="K117" s="223">
        <f t="shared" si="48"/>
        <v>1399584.6000000008</v>
      </c>
      <c r="L117" s="223">
        <f t="shared" si="49"/>
        <v>1372354.4899999993</v>
      </c>
      <c r="M117" s="223">
        <f t="shared" si="50"/>
        <v>1322209.9699999995</v>
      </c>
      <c r="N117" s="223">
        <f t="shared" si="51"/>
        <v>653511.30999999959</v>
      </c>
      <c r="O117" s="223">
        <f t="shared" si="52"/>
        <v>1299527.3099999996</v>
      </c>
      <c r="Q117" s="222">
        <v>8.9551123919046197E-2</v>
      </c>
      <c r="R117" s="222">
        <v>8.9670810371811904E-2</v>
      </c>
      <c r="S117" s="222">
        <v>9.0493263834641693E-2</v>
      </c>
      <c r="T117" s="222">
        <v>9.1912088452552998E-2</v>
      </c>
      <c r="U117" s="222">
        <v>9.5433457210707201E-2</v>
      </c>
      <c r="V117" s="222">
        <v>7.5188181005432994E-2</v>
      </c>
      <c r="W117" s="222">
        <v>5.0479182908262803E-2</v>
      </c>
      <c r="X117" s="222">
        <v>9.6575027165768698E-2</v>
      </c>
      <c r="Y117" s="222">
        <v>9.4696077788234106E-2</v>
      </c>
      <c r="Z117" s="222">
        <v>9.1235973710771107E-2</v>
      </c>
      <c r="AA117" s="222">
        <v>4.5094003260958297E-2</v>
      </c>
      <c r="AB117" s="222">
        <v>8.9670810371811904E-2</v>
      </c>
      <c r="AD117" s="712">
        <v>14070097</v>
      </c>
      <c r="AE117" s="712">
        <v>946009</v>
      </c>
      <c r="AF117" s="712">
        <f t="shared" si="28"/>
        <v>-13124088</v>
      </c>
      <c r="AG117" s="712">
        <v>14492199.91</v>
      </c>
    </row>
    <row r="118" spans="1:33" x14ac:dyDescent="0.2">
      <c r="A118" s="221">
        <v>113</v>
      </c>
      <c r="B118" s="222" t="s">
        <v>101</v>
      </c>
      <c r="C118" s="223">
        <v>2656974.61</v>
      </c>
      <c r="D118" s="223">
        <f t="shared" si="41"/>
        <v>221414.55083333323</v>
      </c>
      <c r="E118" s="223">
        <f t="shared" si="42"/>
        <v>221414.55083333323</v>
      </c>
      <c r="F118" s="223">
        <f t="shared" si="43"/>
        <v>221414.55083333323</v>
      </c>
      <c r="G118" s="223">
        <f t="shared" si="44"/>
        <v>221414.55083333323</v>
      </c>
      <c r="H118" s="223">
        <f t="shared" si="45"/>
        <v>221414.55083333323</v>
      </c>
      <c r="I118" s="223">
        <f t="shared" si="46"/>
        <v>221414.55083333323</v>
      </c>
      <c r="J118" s="223">
        <f t="shared" si="47"/>
        <v>221414.55083333323</v>
      </c>
      <c r="K118" s="223">
        <f t="shared" si="48"/>
        <v>221414.55083333323</v>
      </c>
      <c r="L118" s="223">
        <f t="shared" si="49"/>
        <v>221414.55083333323</v>
      </c>
      <c r="M118" s="223">
        <f t="shared" si="50"/>
        <v>221414.55083333323</v>
      </c>
      <c r="N118" s="223">
        <f t="shared" si="51"/>
        <v>221414.55083333323</v>
      </c>
      <c r="O118" s="223">
        <f t="shared" si="52"/>
        <v>221414.55083333323</v>
      </c>
      <c r="Q118" s="222">
        <v>8.3333333333333301E-2</v>
      </c>
      <c r="R118" s="222">
        <v>8.3333333333333301E-2</v>
      </c>
      <c r="S118" s="222">
        <v>8.3333333333333301E-2</v>
      </c>
      <c r="T118" s="222">
        <v>8.3333333333333301E-2</v>
      </c>
      <c r="U118" s="222">
        <v>8.3333333333333301E-2</v>
      </c>
      <c r="V118" s="222">
        <v>8.3333333333333301E-2</v>
      </c>
      <c r="W118" s="222">
        <v>8.3333333333333301E-2</v>
      </c>
      <c r="X118" s="222">
        <v>8.3333333333333301E-2</v>
      </c>
      <c r="Y118" s="222">
        <v>8.3333333333333301E-2</v>
      </c>
      <c r="Z118" s="222">
        <v>8.3333333333333301E-2</v>
      </c>
      <c r="AA118" s="222">
        <v>8.3333333333333301E-2</v>
      </c>
      <c r="AB118" s="222">
        <v>8.3333333333333301E-2</v>
      </c>
      <c r="AD118" s="712">
        <v>2579587</v>
      </c>
      <c r="AE118" s="712">
        <v>1599170</v>
      </c>
      <c r="AF118" s="712">
        <f t="shared" si="28"/>
        <v>-980417</v>
      </c>
      <c r="AG118" s="712">
        <v>2656974.61</v>
      </c>
    </row>
    <row r="119" spans="1:33" x14ac:dyDescent="0.2">
      <c r="A119" s="225"/>
      <c r="B119" s="226" t="s">
        <v>156</v>
      </c>
      <c r="C119" s="227">
        <f t="shared" ref="C119:O119" si="53">SUM(C6:C118)</f>
        <v>504130059.43669099</v>
      </c>
      <c r="D119" s="227">
        <f t="shared" si="53"/>
        <v>44169774.821049944</v>
      </c>
      <c r="E119" s="227">
        <f t="shared" si="53"/>
        <v>38571115.154375635</v>
      </c>
      <c r="F119" s="227">
        <f t="shared" si="53"/>
        <v>43604440.937406056</v>
      </c>
      <c r="G119" s="227">
        <f t="shared" si="53"/>
        <v>40901435.610147864</v>
      </c>
      <c r="H119" s="227">
        <f t="shared" si="53"/>
        <v>41103235.177547716</v>
      </c>
      <c r="I119" s="227">
        <f t="shared" si="53"/>
        <v>42943373.513874568</v>
      </c>
      <c r="J119" s="227">
        <f t="shared" si="53"/>
        <v>35825006.588953674</v>
      </c>
      <c r="K119" s="227">
        <f t="shared" si="53"/>
        <v>38584593.792977706</v>
      </c>
      <c r="L119" s="227">
        <f t="shared" si="53"/>
        <v>40840661.089061595</v>
      </c>
      <c r="M119" s="227">
        <f t="shared" si="53"/>
        <v>42080714.071157522</v>
      </c>
      <c r="N119" s="227">
        <f t="shared" si="53"/>
        <v>41851647.169506565</v>
      </c>
      <c r="O119" s="227">
        <f t="shared" si="53"/>
        <v>53654061.510631859</v>
      </c>
      <c r="P119" s="227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</row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43"/>
  <sheetViews>
    <sheetView showGridLines="0" workbookViewId="0">
      <selection activeCell="I15" sqref="I15"/>
    </sheetView>
  </sheetViews>
  <sheetFormatPr baseColWidth="10" defaultRowHeight="12.75" x14ac:dyDescent="0.2"/>
  <cols>
    <col min="1" max="1" width="6" style="613" customWidth="1"/>
    <col min="2" max="2" width="20.375" style="613" customWidth="1"/>
    <col min="3" max="4" width="12.5" style="613" customWidth="1"/>
    <col min="5" max="5" width="12.75" style="613" customWidth="1"/>
    <col min="6" max="6" width="13.5" style="613" customWidth="1"/>
    <col min="7" max="7" width="17" style="613" customWidth="1"/>
    <col min="8" max="8" width="11.5" style="613" customWidth="1"/>
    <col min="9" max="9" width="14.375" style="621" customWidth="1"/>
    <col min="10" max="10" width="7.5" style="613" customWidth="1"/>
    <col min="11" max="15" width="6.75" style="613" customWidth="1"/>
    <col min="16" max="1024" width="12.875" style="613" customWidth="1"/>
    <col min="1025" max="16384" width="11" style="666"/>
  </cols>
  <sheetData>
    <row r="1" spans="1:15" s="614" customFormat="1" x14ac:dyDescent="0.2">
      <c r="A1" s="611"/>
      <c r="B1" s="611"/>
      <c r="C1" s="612" t="s">
        <v>0</v>
      </c>
      <c r="D1" s="649"/>
      <c r="E1" s="611"/>
      <c r="F1" s="611"/>
      <c r="G1" s="611"/>
      <c r="H1" s="611"/>
      <c r="I1" s="611"/>
    </row>
    <row r="2" spans="1:15" s="614" customFormat="1" x14ac:dyDescent="0.2">
      <c r="A2" s="611"/>
      <c r="B2" s="611"/>
      <c r="C2" s="612" t="s">
        <v>163</v>
      </c>
      <c r="D2" s="649"/>
      <c r="E2" s="611"/>
      <c r="F2" s="611"/>
      <c r="G2" s="611"/>
      <c r="H2" s="611"/>
      <c r="I2" s="611"/>
    </row>
    <row r="3" spans="1:15" s="614" customFormat="1" x14ac:dyDescent="0.2">
      <c r="B3" s="611"/>
      <c r="C3" s="611"/>
      <c r="D3" s="611"/>
      <c r="E3" s="611"/>
      <c r="F3" s="611"/>
      <c r="G3" s="611"/>
      <c r="H3" s="611"/>
      <c r="I3" s="611"/>
    </row>
    <row r="4" spans="1:15" s="614" customFormat="1" x14ac:dyDescent="0.2">
      <c r="A4" s="762" t="s">
        <v>529</v>
      </c>
      <c r="B4" s="762"/>
      <c r="C4" s="762"/>
      <c r="D4" s="762"/>
      <c r="E4" s="762"/>
      <c r="F4" s="762"/>
      <c r="G4" s="762"/>
      <c r="H4" s="762"/>
      <c r="I4" s="762"/>
    </row>
    <row r="5" spans="1:15" s="614" customFormat="1" x14ac:dyDescent="0.2">
      <c r="A5" s="665"/>
      <c r="B5" s="665"/>
      <c r="C5" s="665"/>
      <c r="D5" s="665"/>
      <c r="E5" s="665"/>
      <c r="F5" s="665"/>
      <c r="G5" s="665"/>
      <c r="H5" s="665"/>
      <c r="I5" s="665"/>
    </row>
    <row r="6" spans="1:15" s="614" customFormat="1" x14ac:dyDescent="0.2">
      <c r="A6" s="613"/>
      <c r="B6" s="765" t="s">
        <v>385</v>
      </c>
      <c r="C6" s="765"/>
      <c r="D6" s="765"/>
      <c r="E6" s="615"/>
      <c r="F6" s="616"/>
      <c r="G6" s="613"/>
      <c r="H6" s="617"/>
      <c r="I6" s="615"/>
    </row>
    <row r="7" spans="1:15" s="614" customFormat="1" x14ac:dyDescent="0.2">
      <c r="A7" s="613"/>
      <c r="B7" s="612" t="s">
        <v>314</v>
      </c>
      <c r="C7" s="613"/>
      <c r="D7" s="613"/>
      <c r="E7" s="613"/>
      <c r="F7" s="618">
        <f>'FONDOS PART 2024'!H15</f>
        <v>94566597.200000003</v>
      </c>
      <c r="G7" s="620"/>
      <c r="H7" s="617"/>
      <c r="I7" s="621"/>
    </row>
    <row r="8" spans="1:15" s="614" customFormat="1" x14ac:dyDescent="0.2">
      <c r="A8" s="613"/>
      <c r="B8" s="612" t="s">
        <v>315</v>
      </c>
      <c r="C8" s="613"/>
      <c r="D8" s="613"/>
      <c r="E8" s="613"/>
      <c r="F8" s="619">
        <f>F7*0.45</f>
        <v>42554968.740000002</v>
      </c>
      <c r="G8" s="650"/>
      <c r="H8" s="617"/>
      <c r="I8" s="613"/>
    </row>
    <row r="9" spans="1:15" s="614" customFormat="1" x14ac:dyDescent="0.2">
      <c r="A9" s="613"/>
      <c r="B9" s="612" t="s">
        <v>317</v>
      </c>
      <c r="C9" s="613"/>
      <c r="D9" s="613"/>
      <c r="E9" s="613"/>
      <c r="F9" s="619">
        <f>F7*0.45</f>
        <v>42554968.740000002</v>
      </c>
      <c r="G9" s="619"/>
      <c r="H9" s="622"/>
      <c r="I9" s="621"/>
    </row>
    <row r="10" spans="1:15" s="614" customFormat="1" x14ac:dyDescent="0.2">
      <c r="A10" s="613"/>
      <c r="B10" s="612" t="s">
        <v>319</v>
      </c>
      <c r="C10" s="613"/>
      <c r="D10" s="613"/>
      <c r="E10" s="613"/>
      <c r="F10" s="623">
        <f>F7*0.1</f>
        <v>9456659.7200000007</v>
      </c>
      <c r="G10" s="619"/>
      <c r="H10" s="622"/>
      <c r="I10" s="621"/>
    </row>
    <row r="11" spans="1:15" s="613" customFormat="1" x14ac:dyDescent="0.2">
      <c r="A11" s="624"/>
      <c r="B11" s="624"/>
      <c r="C11" s="625"/>
      <c r="D11" s="626"/>
      <c r="F11" s="627"/>
      <c r="G11" s="617"/>
      <c r="I11" s="621"/>
    </row>
    <row r="12" spans="1:15" s="613" customFormat="1" ht="25.5" x14ac:dyDescent="0.2">
      <c r="A12" s="722" t="s">
        <v>364</v>
      </c>
      <c r="B12" s="722" t="s">
        <v>29</v>
      </c>
      <c r="C12" s="722" t="s">
        <v>10</v>
      </c>
      <c r="D12" s="722" t="s">
        <v>365</v>
      </c>
      <c r="E12" s="722" t="s">
        <v>366</v>
      </c>
      <c r="F12" s="722" t="s">
        <v>539</v>
      </c>
      <c r="G12" s="722" t="s">
        <v>542</v>
      </c>
      <c r="H12" s="722" t="s">
        <v>540</v>
      </c>
      <c r="I12" s="722" t="s">
        <v>541</v>
      </c>
    </row>
    <row r="13" spans="1:15" s="613" customFormat="1" x14ac:dyDescent="0.2">
      <c r="A13" s="651"/>
      <c r="B13" s="651"/>
      <c r="C13" s="624" t="s">
        <v>370</v>
      </c>
      <c r="D13" s="624" t="s">
        <v>371</v>
      </c>
      <c r="E13" s="624" t="s">
        <v>372</v>
      </c>
      <c r="F13" s="624" t="s">
        <v>373</v>
      </c>
      <c r="G13" s="624" t="s">
        <v>374</v>
      </c>
      <c r="H13" s="624" t="s">
        <v>375</v>
      </c>
      <c r="I13" s="624" t="s">
        <v>376</v>
      </c>
    </row>
    <row r="14" spans="1:15" s="613" customFormat="1" x14ac:dyDescent="0.2">
      <c r="A14" s="651"/>
      <c r="B14" s="651"/>
      <c r="C14" s="628">
        <v>100</v>
      </c>
      <c r="D14" s="629">
        <f t="shared" ref="D14:I14" si="0">SUM(D15:D127)</f>
        <v>42554968.739999995</v>
      </c>
      <c r="E14" s="630">
        <f t="shared" si="0"/>
        <v>99.999999999999915</v>
      </c>
      <c r="F14" s="629">
        <f t="shared" si="0"/>
        <v>42554968.73999998</v>
      </c>
      <c r="G14" s="630">
        <f t="shared" si="0"/>
        <v>100.00000000000006</v>
      </c>
      <c r="H14" s="629">
        <f t="shared" si="0"/>
        <v>9456659.7200000025</v>
      </c>
      <c r="I14" s="629">
        <f t="shared" si="0"/>
        <v>94566597.200000003</v>
      </c>
      <c r="M14" s="630"/>
      <c r="N14" s="630"/>
      <c r="O14" s="630"/>
    </row>
    <row r="15" spans="1:15" s="613" customFormat="1" x14ac:dyDescent="0.2">
      <c r="A15" s="631">
        <v>1</v>
      </c>
      <c r="B15" s="631" t="s">
        <v>43</v>
      </c>
      <c r="C15" s="632">
        <f>'COEFIC 2023'!I8</f>
        <v>0.23797360453465957</v>
      </c>
      <c r="D15" s="633">
        <f t="shared" ref="D15:D46" si="1">$F$8*C15%</f>
        <v>101269.59301917561</v>
      </c>
      <c r="E15" s="634">
        <f>'COEFIC 2023'!P8</f>
        <v>0.39190942225476838</v>
      </c>
      <c r="F15" s="635">
        <f t="shared" ref="F15:F46" si="2">$F$9*E15%</f>
        <v>166776.93212963131</v>
      </c>
      <c r="G15" s="653">
        <f>FPART!J16</f>
        <v>0.78996666580088204</v>
      </c>
      <c r="H15" s="637">
        <f t="shared" ref="H15:H46" si="3">$F$10*G15%</f>
        <v>74704.459486219042</v>
      </c>
      <c r="I15" s="638">
        <f t="shared" ref="I15:I46" si="4">D15+F15+H15</f>
        <v>342750.98463502596</v>
      </c>
      <c r="M15" s="639"/>
      <c r="N15" s="640"/>
      <c r="O15" s="641"/>
    </row>
    <row r="16" spans="1:15" s="613" customFormat="1" x14ac:dyDescent="0.2">
      <c r="A16" s="631">
        <v>2</v>
      </c>
      <c r="B16" s="631" t="s">
        <v>46</v>
      </c>
      <c r="C16" s="632">
        <f>'COEFIC 2023'!I9</f>
        <v>0.31068600666351365</v>
      </c>
      <c r="D16" s="633">
        <f t="shared" si="1"/>
        <v>132212.33301521256</v>
      </c>
      <c r="E16" s="634">
        <f>'COEFIC 2023'!P9</f>
        <v>1.2675015186709291</v>
      </c>
      <c r="F16" s="635">
        <f t="shared" si="2"/>
        <v>539384.87504943914</v>
      </c>
      <c r="G16" s="653">
        <f>FPART!J17</f>
        <v>0.41162616179693873</v>
      </c>
      <c r="H16" s="637">
        <f t="shared" si="3"/>
        <v>38926.085439633134</v>
      </c>
      <c r="I16" s="638">
        <f t="shared" si="4"/>
        <v>710523.29350428481</v>
      </c>
      <c r="M16" s="639"/>
      <c r="N16" s="640"/>
      <c r="O16" s="641"/>
    </row>
    <row r="17" spans="1:15" s="613" customFormat="1" x14ac:dyDescent="0.2">
      <c r="A17" s="631">
        <v>3</v>
      </c>
      <c r="B17" s="631" t="s">
        <v>49</v>
      </c>
      <c r="C17" s="632">
        <f>'COEFIC 2023'!I10</f>
        <v>0.48432819257562787</v>
      </c>
      <c r="D17" s="633">
        <f t="shared" si="1"/>
        <v>206105.71094956546</v>
      </c>
      <c r="E17" s="634">
        <f>'COEFIC 2023'!P10</f>
        <v>0.6143607387492529</v>
      </c>
      <c r="F17" s="635">
        <f t="shared" si="2"/>
        <v>261441.02032557764</v>
      </c>
      <c r="G17" s="653">
        <f>FPART!J18</f>
        <v>0.92173246284482802</v>
      </c>
      <c r="H17" s="637">
        <f t="shared" si="3"/>
        <v>87165.102540010819</v>
      </c>
      <c r="I17" s="638">
        <f t="shared" si="4"/>
        <v>554711.83381515392</v>
      </c>
      <c r="M17" s="639"/>
      <c r="N17" s="640"/>
      <c r="O17" s="641"/>
    </row>
    <row r="18" spans="1:15" s="613" customFormat="1" x14ac:dyDescent="0.2">
      <c r="A18" s="631">
        <v>4</v>
      </c>
      <c r="B18" s="631" t="s">
        <v>52</v>
      </c>
      <c r="C18" s="632">
        <f>'COEFIC 2023'!I11</f>
        <v>0.31466592094163509</v>
      </c>
      <c r="D18" s="633">
        <f t="shared" si="1"/>
        <v>133905.98429214593</v>
      </c>
      <c r="E18" s="634">
        <f>'COEFIC 2023'!P11</f>
        <v>0.39045222807652885</v>
      </c>
      <c r="F18" s="635">
        <f t="shared" si="2"/>
        <v>166156.82360260034</v>
      </c>
      <c r="G18" s="653">
        <f>FPART!J19</f>
        <v>0.93309894828124873</v>
      </c>
      <c r="H18" s="637">
        <f t="shared" si="3"/>
        <v>88239.992389856488</v>
      </c>
      <c r="I18" s="638">
        <f t="shared" si="4"/>
        <v>388302.8002846028</v>
      </c>
      <c r="M18" s="639"/>
      <c r="N18" s="640"/>
      <c r="O18" s="641"/>
    </row>
    <row r="19" spans="1:15" s="613" customFormat="1" x14ac:dyDescent="0.2">
      <c r="A19" s="631">
        <v>5</v>
      </c>
      <c r="B19" s="631" t="s">
        <v>54</v>
      </c>
      <c r="C19" s="632">
        <f>'COEFIC 2023'!I12</f>
        <v>0.22936098580581471</v>
      </c>
      <c r="D19" s="633">
        <f t="shared" si="1"/>
        <v>97604.495811420289</v>
      </c>
      <c r="E19" s="634">
        <f>'COEFIC 2023'!P12</f>
        <v>0.41290602770742135</v>
      </c>
      <c r="F19" s="635">
        <f t="shared" si="2"/>
        <v>175712.03101646891</v>
      </c>
      <c r="G19" s="653">
        <f>FPART!J20</f>
        <v>0.74669597756376371</v>
      </c>
      <c r="H19" s="637">
        <f t="shared" si="3"/>
        <v>70612.497741132684</v>
      </c>
      <c r="I19" s="638">
        <f t="shared" si="4"/>
        <v>343929.02456902189</v>
      </c>
      <c r="M19" s="639"/>
      <c r="N19" s="640"/>
      <c r="O19" s="641"/>
    </row>
    <row r="20" spans="1:15" s="613" customFormat="1" x14ac:dyDescent="0.2">
      <c r="A20" s="631">
        <v>6</v>
      </c>
      <c r="B20" s="631" t="s">
        <v>57</v>
      </c>
      <c r="C20" s="632">
        <f>'COEFIC 2023'!I13</f>
        <v>2.6572982151874371</v>
      </c>
      <c r="D20" s="633">
        <f t="shared" si="1"/>
        <v>1130812.424801592</v>
      </c>
      <c r="E20" s="634">
        <f>'COEFIC 2023'!P13</f>
        <v>2.3148565147498155</v>
      </c>
      <c r="F20" s="635">
        <f t="shared" si="2"/>
        <v>985086.46622763749</v>
      </c>
      <c r="G20" s="653">
        <f>FPART!J21</f>
        <v>1.1174691526029661</v>
      </c>
      <c r="H20" s="637">
        <f t="shared" si="3"/>
        <v>105675.25523763003</v>
      </c>
      <c r="I20" s="638">
        <f t="shared" si="4"/>
        <v>2221574.1462668595</v>
      </c>
      <c r="M20" s="639"/>
      <c r="N20" s="640"/>
      <c r="O20" s="641"/>
    </row>
    <row r="21" spans="1:15" s="613" customFormat="1" x14ac:dyDescent="0.2">
      <c r="A21" s="631">
        <v>7</v>
      </c>
      <c r="B21" s="631" t="s">
        <v>44</v>
      </c>
      <c r="C21" s="632">
        <f>'COEFIC 2023'!I14</f>
        <v>7.4312790939103937E-2</v>
      </c>
      <c r="D21" s="633">
        <f t="shared" si="1"/>
        <v>31623.784953957234</v>
      </c>
      <c r="E21" s="634">
        <f>'COEFIC 2023'!P14</f>
        <v>0.37653818456552185</v>
      </c>
      <c r="F21" s="635">
        <f t="shared" si="2"/>
        <v>160235.70673602133</v>
      </c>
      <c r="G21" s="653">
        <f>FPART!J22</f>
        <v>0.3446437770918015</v>
      </c>
      <c r="H21" s="637">
        <f t="shared" si="3"/>
        <v>32591.789245726981</v>
      </c>
      <c r="I21" s="638">
        <f t="shared" si="4"/>
        <v>224451.28093570555</v>
      </c>
      <c r="M21" s="639"/>
      <c r="N21" s="640"/>
      <c r="O21" s="641"/>
    </row>
    <row r="22" spans="1:15" s="613" customFormat="1" x14ac:dyDescent="0.2">
      <c r="A22" s="631">
        <v>8</v>
      </c>
      <c r="B22" s="631" t="s">
        <v>59</v>
      </c>
      <c r="C22" s="632">
        <f>'COEFIC 2023'!I15</f>
        <v>0.51962097739113877</v>
      </c>
      <c r="D22" s="633">
        <f t="shared" si="1"/>
        <v>221124.54449528156</v>
      </c>
      <c r="E22" s="634">
        <f>'COEFIC 2023'!P15</f>
        <v>2.3668185263996966</v>
      </c>
      <c r="F22" s="635">
        <f t="shared" si="2"/>
        <v>1007198.8840419195</v>
      </c>
      <c r="G22" s="653">
        <f>FPART!J23</f>
        <v>0.37641255317525624</v>
      </c>
      <c r="H22" s="637">
        <f t="shared" si="3"/>
        <v>35596.054297148039</v>
      </c>
      <c r="I22" s="638">
        <f t="shared" si="4"/>
        <v>1263919.4828343492</v>
      </c>
      <c r="M22" s="639"/>
      <c r="N22" s="640"/>
      <c r="O22" s="641"/>
    </row>
    <row r="23" spans="1:15" s="613" customFormat="1" x14ac:dyDescent="0.2">
      <c r="A23" s="631">
        <v>9</v>
      </c>
      <c r="B23" s="631" t="s">
        <v>342</v>
      </c>
      <c r="C23" s="632">
        <f>'COEFIC 2023'!I16</f>
        <v>0.76372238644925527</v>
      </c>
      <c r="D23" s="633">
        <f t="shared" si="1"/>
        <v>325001.82281386259</v>
      </c>
      <c r="E23" s="634">
        <f>'COEFIC 2023'!P16</f>
        <v>0.92206001121936687</v>
      </c>
      <c r="F23" s="635">
        <f t="shared" si="2"/>
        <v>392382.34953844204</v>
      </c>
      <c r="G23" s="653">
        <f>FPART!J24</f>
        <v>0.9472702299654876</v>
      </c>
      <c r="H23" s="637">
        <f t="shared" si="3"/>
        <v>89580.122276697657</v>
      </c>
      <c r="I23" s="638">
        <f t="shared" si="4"/>
        <v>806964.29462900234</v>
      </c>
      <c r="M23" s="639"/>
      <c r="N23" s="640"/>
      <c r="O23" s="641"/>
    </row>
    <row r="24" spans="1:15" s="613" customFormat="1" x14ac:dyDescent="0.2">
      <c r="A24" s="631">
        <v>10</v>
      </c>
      <c r="B24" s="631" t="s">
        <v>64</v>
      </c>
      <c r="C24" s="632">
        <f>'COEFIC 2023'!I17</f>
        <v>0.428146122236855</v>
      </c>
      <c r="D24" s="633">
        <f t="shared" si="1"/>
        <v>182197.44847941585</v>
      </c>
      <c r="E24" s="634">
        <f>'COEFIC 2023'!P17</f>
        <v>2.5709050555810502</v>
      </c>
      <c r="F24" s="635">
        <f t="shared" si="2"/>
        <v>1094047.8427375956</v>
      </c>
      <c r="G24" s="653">
        <f>FPART!J25</f>
        <v>0.29850253295498103</v>
      </c>
      <c r="H24" s="637">
        <f t="shared" si="3"/>
        <v>28228.368797133418</v>
      </c>
      <c r="I24" s="638">
        <f t="shared" si="4"/>
        <v>1304473.6600141448</v>
      </c>
      <c r="M24" s="639"/>
      <c r="N24" s="640"/>
      <c r="O24" s="641"/>
    </row>
    <row r="25" spans="1:15" s="613" customFormat="1" x14ac:dyDescent="0.2">
      <c r="A25" s="631">
        <v>11</v>
      </c>
      <c r="B25" s="631" t="s">
        <v>343</v>
      </c>
      <c r="C25" s="632">
        <f>'COEFIC 2023'!I18</f>
        <v>0.24597554858590909</v>
      </c>
      <c r="D25" s="633">
        <f t="shared" si="1"/>
        <v>104674.81780877714</v>
      </c>
      <c r="E25" s="634">
        <f>'COEFIC 2023'!P18</f>
        <v>0.48150914529440353</v>
      </c>
      <c r="F25" s="635">
        <f t="shared" si="2"/>
        <v>204906.06626027462</v>
      </c>
      <c r="G25" s="653">
        <f>FPART!J26</f>
        <v>0.7069813546622179</v>
      </c>
      <c r="H25" s="637">
        <f t="shared" si="3"/>
        <v>66856.82099425231</v>
      </c>
      <c r="I25" s="638">
        <f t="shared" si="4"/>
        <v>376437.70506330405</v>
      </c>
      <c r="M25" s="639"/>
      <c r="N25" s="640"/>
      <c r="O25" s="641"/>
    </row>
    <row r="26" spans="1:15" s="613" customFormat="1" x14ac:dyDescent="0.2">
      <c r="A26" s="631">
        <v>12</v>
      </c>
      <c r="B26" s="631" t="s">
        <v>70</v>
      </c>
      <c r="C26" s="632">
        <f>'COEFIC 2023'!I19</f>
        <v>0.95892770580473663</v>
      </c>
      <c r="D26" s="633">
        <f t="shared" si="1"/>
        <v>408071.38544440485</v>
      </c>
      <c r="E26" s="634">
        <f>'COEFIC 2023'!P19</f>
        <v>1.0229413737008273</v>
      </c>
      <c r="F26" s="635">
        <f t="shared" si="2"/>
        <v>435312.38180691371</v>
      </c>
      <c r="G26" s="653">
        <f>FPART!J27</f>
        <v>1.0116977575122408</v>
      </c>
      <c r="H26" s="637">
        <f t="shared" si="3"/>
        <v>95672.814322803344</v>
      </c>
      <c r="I26" s="638">
        <f t="shared" si="4"/>
        <v>939056.58157412196</v>
      </c>
      <c r="M26" s="639"/>
      <c r="N26" s="640"/>
      <c r="O26" s="641"/>
    </row>
    <row r="27" spans="1:15" s="613" customFormat="1" x14ac:dyDescent="0.2">
      <c r="A27" s="631">
        <v>13</v>
      </c>
      <c r="B27" s="631" t="s">
        <v>73</v>
      </c>
      <c r="C27" s="632">
        <f>'COEFIC 2023'!I20</f>
        <v>0.19322589109017221</v>
      </c>
      <c r="D27" s="633">
        <f t="shared" si="1"/>
        <v>82227.217551009235</v>
      </c>
      <c r="E27" s="634">
        <f>'COEFIC 2023'!P20</f>
        <v>0.96514801886169921</v>
      </c>
      <c r="F27" s="635">
        <f t="shared" si="2"/>
        <v>410718.43772132543</v>
      </c>
      <c r="G27" s="653">
        <f>FPART!J28</f>
        <v>0.34878390370081253</v>
      </c>
      <c r="H27" s="637">
        <f t="shared" si="3"/>
        <v>32983.306931118328</v>
      </c>
      <c r="I27" s="638">
        <f t="shared" si="4"/>
        <v>525928.96220345306</v>
      </c>
      <c r="M27" s="639"/>
      <c r="N27" s="640"/>
      <c r="O27" s="641"/>
    </row>
    <row r="28" spans="1:15" s="613" customFormat="1" x14ac:dyDescent="0.2">
      <c r="A28" s="631">
        <v>14</v>
      </c>
      <c r="B28" s="631" t="s">
        <v>75</v>
      </c>
      <c r="C28" s="632">
        <f>'COEFIC 2023'!I21</f>
        <v>0.35844497800097119</v>
      </c>
      <c r="D28" s="633">
        <f t="shared" si="1"/>
        <v>152536.14833841316</v>
      </c>
      <c r="E28" s="634">
        <f>'COEFIC 2023'!P21</f>
        <v>0.57115855003271865</v>
      </c>
      <c r="F28" s="635">
        <f t="shared" si="2"/>
        <v>243056.3424222607</v>
      </c>
      <c r="G28" s="653">
        <f>FPART!J29</f>
        <v>0.80624051696347643</v>
      </c>
      <c r="H28" s="637">
        <f t="shared" si="3"/>
        <v>76243.422214004851</v>
      </c>
      <c r="I28" s="638">
        <f t="shared" si="4"/>
        <v>471835.91297467874</v>
      </c>
      <c r="M28" s="639"/>
      <c r="N28" s="640"/>
      <c r="O28" s="641"/>
    </row>
    <row r="29" spans="1:15" s="613" customFormat="1" x14ac:dyDescent="0.2">
      <c r="A29" s="631">
        <v>15</v>
      </c>
      <c r="B29" s="652" t="s">
        <v>77</v>
      </c>
      <c r="C29" s="632">
        <f>'COEFIC 2023'!I22</f>
        <v>0.41342675673205659</v>
      </c>
      <c r="D29" s="633">
        <f t="shared" si="1"/>
        <v>175933.62709012255</v>
      </c>
      <c r="E29" s="634">
        <f>'COEFIC 2023'!P22</f>
        <v>2.4541796257109025</v>
      </c>
      <c r="F29" s="635">
        <f t="shared" si="2"/>
        <v>1044375.3725447237</v>
      </c>
      <c r="G29" s="653">
        <f>FPART!J30</f>
        <v>0.30145252425752023</v>
      </c>
      <c r="H29" s="637">
        <f t="shared" si="3"/>
        <v>28507.339436384147</v>
      </c>
      <c r="I29" s="638">
        <f t="shared" si="4"/>
        <v>1248816.3390712303</v>
      </c>
      <c r="M29" s="639"/>
      <c r="N29" s="640"/>
      <c r="O29" s="641"/>
    </row>
    <row r="30" spans="1:15" s="613" customFormat="1" x14ac:dyDescent="0.2">
      <c r="A30" s="631">
        <v>16</v>
      </c>
      <c r="B30" s="631" t="s">
        <v>79</v>
      </c>
      <c r="C30" s="632">
        <f>'COEFIC 2023'!I23</f>
        <v>0.44147567640643642</v>
      </c>
      <c r="D30" s="633">
        <f t="shared" si="1"/>
        <v>187869.83608946259</v>
      </c>
      <c r="E30" s="634">
        <f>'COEFIC 2023'!P23</f>
        <v>0.50820227003137264</v>
      </c>
      <c r="F30" s="635">
        <f t="shared" si="2"/>
        <v>216265.31714782104</v>
      </c>
      <c r="G30" s="653">
        <f>FPART!J31</f>
        <v>0.97200905439695728</v>
      </c>
      <c r="H30" s="637">
        <f t="shared" si="3"/>
        <v>91919.588721909953</v>
      </c>
      <c r="I30" s="638">
        <f t="shared" si="4"/>
        <v>496054.7419591936</v>
      </c>
      <c r="M30" s="639"/>
      <c r="N30" s="640"/>
      <c r="O30" s="641"/>
    </row>
    <row r="31" spans="1:15" s="613" customFormat="1" x14ac:dyDescent="0.2">
      <c r="A31" s="631">
        <v>17</v>
      </c>
      <c r="B31" s="631" t="s">
        <v>81</v>
      </c>
      <c r="C31" s="632">
        <f>'COEFIC 2023'!I24</f>
        <v>0.73849520494031606</v>
      </c>
      <c r="D31" s="633">
        <f t="shared" si="1"/>
        <v>314266.40360875044</v>
      </c>
      <c r="E31" s="634">
        <f>'COEFIC 2023'!P24</f>
        <v>0.66896812392176042</v>
      </c>
      <c r="F31" s="635">
        <f t="shared" si="2"/>
        <v>284679.17601546965</v>
      </c>
      <c r="G31" s="653">
        <f>FPART!J32</f>
        <v>1.0971107594620315</v>
      </c>
      <c r="H31" s="637">
        <f t="shared" si="3"/>
        <v>103750.03127383204</v>
      </c>
      <c r="I31" s="638">
        <f t="shared" si="4"/>
        <v>702695.61089805211</v>
      </c>
      <c r="M31" s="639"/>
      <c r="N31" s="640"/>
      <c r="O31" s="641"/>
    </row>
    <row r="32" spans="1:15" s="613" customFormat="1" x14ac:dyDescent="0.2">
      <c r="A32" s="631">
        <v>18</v>
      </c>
      <c r="B32" s="631" t="s">
        <v>82</v>
      </c>
      <c r="C32" s="632">
        <f>'COEFIC 2023'!I25</f>
        <v>0.19971167732118497</v>
      </c>
      <c r="D32" s="633">
        <f t="shared" si="1"/>
        <v>84987.241854159933</v>
      </c>
      <c r="E32" s="634">
        <f>'COEFIC 2023'!P25</f>
        <v>0.28026543034401025</v>
      </c>
      <c r="F32" s="635">
        <f t="shared" si="2"/>
        <v>119266.86627192004</v>
      </c>
      <c r="G32" s="653">
        <f>FPART!J33</f>
        <v>0.87000714146065139</v>
      </c>
      <c r="H32" s="637">
        <f t="shared" si="3"/>
        <v>82273.614907632844</v>
      </c>
      <c r="I32" s="638">
        <f t="shared" si="4"/>
        <v>286527.72303371283</v>
      </c>
      <c r="M32" s="639"/>
      <c r="N32" s="640"/>
      <c r="O32" s="641"/>
    </row>
    <row r="33" spans="1:15" s="613" customFormat="1" x14ac:dyDescent="0.2">
      <c r="A33" s="631">
        <v>19</v>
      </c>
      <c r="B33" s="631" t="s">
        <v>344</v>
      </c>
      <c r="C33" s="632">
        <f>'COEFIC 2023'!I26</f>
        <v>0.42532438407141443</v>
      </c>
      <c r="D33" s="633">
        <f t="shared" si="1"/>
        <v>180996.65868518795</v>
      </c>
      <c r="E33" s="634">
        <f>'COEFIC 2023'!P26</f>
        <v>0.62493143387391448</v>
      </c>
      <c r="F33" s="635">
        <f t="shared" si="2"/>
        <v>265939.37633147812</v>
      </c>
      <c r="G33" s="653">
        <f>FPART!J34</f>
        <v>0.84676923048551944</v>
      </c>
      <c r="H33" s="637">
        <f t="shared" si="3"/>
        <v>80076.084740678081</v>
      </c>
      <c r="I33" s="638">
        <f t="shared" si="4"/>
        <v>527012.11975734413</v>
      </c>
      <c r="M33" s="639"/>
      <c r="N33" s="640"/>
      <c r="O33" s="641"/>
    </row>
    <row r="34" spans="1:15" s="613" customFormat="1" x14ac:dyDescent="0.2">
      <c r="A34" s="631">
        <v>20</v>
      </c>
      <c r="B34" s="631" t="s">
        <v>87</v>
      </c>
      <c r="C34" s="632">
        <f>'COEFIC 2023'!I27</f>
        <v>0.62983722782334906</v>
      </c>
      <c r="D34" s="633">
        <f t="shared" si="1"/>
        <v>268027.03541310882</v>
      </c>
      <c r="E34" s="634">
        <f>'COEFIC 2023'!P27</f>
        <v>0.53262041220293821</v>
      </c>
      <c r="F34" s="635">
        <f t="shared" si="2"/>
        <v>226656.44991581954</v>
      </c>
      <c r="G34" s="653">
        <f>FPART!J35</f>
        <v>1.1328986870144744</v>
      </c>
      <c r="H34" s="637">
        <f t="shared" si="3"/>
        <v>107134.37380330668</v>
      </c>
      <c r="I34" s="638">
        <f t="shared" si="4"/>
        <v>601817.85913223505</v>
      </c>
      <c r="M34" s="639"/>
      <c r="N34" s="640"/>
      <c r="O34" s="641"/>
    </row>
    <row r="35" spans="1:15" s="613" customFormat="1" x14ac:dyDescent="0.2">
      <c r="A35" s="631">
        <v>21</v>
      </c>
      <c r="B35" s="631" t="s">
        <v>88</v>
      </c>
      <c r="C35" s="632">
        <f>'COEFIC 2023'!I28</f>
        <v>0.28510084344701853</v>
      </c>
      <c r="D35" s="633">
        <f t="shared" si="1"/>
        <v>121324.57480635509</v>
      </c>
      <c r="E35" s="634">
        <f>'COEFIC 2023'!P28</f>
        <v>0.29534014984136081</v>
      </c>
      <c r="F35" s="635">
        <f t="shared" si="2"/>
        <v>125681.90844166026</v>
      </c>
      <c r="G35" s="653">
        <f>FPART!J36</f>
        <v>1.0270233276278691</v>
      </c>
      <c r="H35" s="637">
        <f t="shared" si="3"/>
        <v>97122.101338788343</v>
      </c>
      <c r="I35" s="638">
        <f t="shared" si="4"/>
        <v>344128.58458680368</v>
      </c>
      <c r="M35" s="639"/>
      <c r="N35" s="640"/>
      <c r="O35" s="641"/>
    </row>
    <row r="36" spans="1:15" s="613" customFormat="1" x14ac:dyDescent="0.2">
      <c r="A36" s="631">
        <v>22</v>
      </c>
      <c r="B36" s="631" t="s">
        <v>91</v>
      </c>
      <c r="C36" s="632">
        <f>'COEFIC 2023'!I29</f>
        <v>0.52934965673765799</v>
      </c>
      <c r="D36" s="633">
        <f t="shared" si="1"/>
        <v>225264.58095000766</v>
      </c>
      <c r="E36" s="634">
        <f>'COEFIC 2023'!P29</f>
        <v>0.58909725889407172</v>
      </c>
      <c r="F36" s="635">
        <f t="shared" si="2"/>
        <v>250690.1543705691</v>
      </c>
      <c r="G36" s="653">
        <f>FPART!J37</f>
        <v>0.9896169889340688</v>
      </c>
      <c r="H36" s="637">
        <f t="shared" si="3"/>
        <v>93584.71117480495</v>
      </c>
      <c r="I36" s="638">
        <f t="shared" si="4"/>
        <v>569539.44649538165</v>
      </c>
      <c r="M36" s="639"/>
      <c r="N36" s="640"/>
      <c r="O36" s="641"/>
    </row>
    <row r="37" spans="1:15" s="613" customFormat="1" x14ac:dyDescent="0.2">
      <c r="A37" s="631">
        <v>23</v>
      </c>
      <c r="B37" s="631" t="s">
        <v>60</v>
      </c>
      <c r="C37" s="632">
        <f>'COEFIC 2023'!I30</f>
        <v>0.21935855574175284</v>
      </c>
      <c r="D37" s="633">
        <f t="shared" si="1"/>
        <v>93347.964824418406</v>
      </c>
      <c r="E37" s="634">
        <f>'COEFIC 2023'!P30</f>
        <v>0.33156680672772304</v>
      </c>
      <c r="F37" s="635">
        <f t="shared" si="2"/>
        <v>141098.15095519877</v>
      </c>
      <c r="G37" s="653">
        <f>FPART!J38</f>
        <v>0.83253345540973678</v>
      </c>
      <c r="H37" s="637">
        <f t="shared" si="3"/>
        <v>78729.855933256738</v>
      </c>
      <c r="I37" s="638">
        <f t="shared" si="4"/>
        <v>313175.9717128739</v>
      </c>
      <c r="M37" s="639"/>
      <c r="N37" s="640"/>
      <c r="O37" s="641"/>
    </row>
    <row r="38" spans="1:15" s="613" customFormat="1" x14ac:dyDescent="0.2">
      <c r="A38" s="631">
        <v>24</v>
      </c>
      <c r="B38" s="631" t="s">
        <v>95</v>
      </c>
      <c r="C38" s="632">
        <f>'COEFIC 2023'!I31</f>
        <v>0.43349479010269021</v>
      </c>
      <c r="D38" s="633">
        <f t="shared" si="1"/>
        <v>184473.57241772843</v>
      </c>
      <c r="E38" s="634">
        <f>'COEFIC 2023'!P31</f>
        <v>0.37830699446529953</v>
      </c>
      <c r="F38" s="635">
        <f t="shared" si="2"/>
        <v>160988.42323594174</v>
      </c>
      <c r="G38" s="653">
        <f>FPART!J39</f>
        <v>1.1165386556009005</v>
      </c>
      <c r="H38" s="637">
        <f t="shared" si="3"/>
        <v>105587.26130243989</v>
      </c>
      <c r="I38" s="638">
        <f t="shared" si="4"/>
        <v>451049.25695611007</v>
      </c>
      <c r="M38" s="639"/>
      <c r="N38" s="640"/>
      <c r="O38" s="641"/>
    </row>
    <row r="39" spans="1:15" s="613" customFormat="1" x14ac:dyDescent="0.2">
      <c r="A39" s="631">
        <v>25</v>
      </c>
      <c r="B39" s="631" t="s">
        <v>97</v>
      </c>
      <c r="C39" s="632">
        <f>'COEFIC 2023'!I32</f>
        <v>0.8541022387333681</v>
      </c>
      <c r="D39" s="633">
        <f t="shared" si="1"/>
        <v>363462.94070062501</v>
      </c>
      <c r="E39" s="634">
        <f>'COEFIC 2023'!P32</f>
        <v>0.57696638894395824</v>
      </c>
      <c r="F39" s="635">
        <f t="shared" si="2"/>
        <v>245527.86645540825</v>
      </c>
      <c r="G39" s="653">
        <f>FPART!J40</f>
        <v>1.2479272892564075</v>
      </c>
      <c r="H39" s="637">
        <f t="shared" si="3"/>
        <v>118012.23729799858</v>
      </c>
      <c r="I39" s="638">
        <f t="shared" si="4"/>
        <v>727003.04445403186</v>
      </c>
      <c r="M39" s="639"/>
      <c r="N39" s="640"/>
      <c r="O39" s="641"/>
    </row>
    <row r="40" spans="1:15" s="613" customFormat="1" x14ac:dyDescent="0.2">
      <c r="A40" s="631">
        <v>26</v>
      </c>
      <c r="B40" s="631" t="s">
        <v>345</v>
      </c>
      <c r="C40" s="632">
        <f>'COEFIC 2023'!I33</f>
        <v>0.10050862883319442</v>
      </c>
      <c r="D40" s="633">
        <f t="shared" si="1"/>
        <v>42771.415580968511</v>
      </c>
      <c r="E40" s="634">
        <f>'COEFIC 2023'!P33</f>
        <v>0.94812774970318459</v>
      </c>
      <c r="F40" s="635">
        <f t="shared" si="2"/>
        <v>403475.46750145569</v>
      </c>
      <c r="G40" s="653">
        <f>FPART!J41</f>
        <v>0.20040950302944549</v>
      </c>
      <c r="H40" s="637">
        <f t="shared" si="3"/>
        <v>18952.044748037752</v>
      </c>
      <c r="I40" s="638">
        <f t="shared" si="4"/>
        <v>465198.92783046194</v>
      </c>
      <c r="M40" s="639"/>
      <c r="N40" s="640"/>
      <c r="O40" s="641"/>
    </row>
    <row r="41" spans="1:15" s="613" customFormat="1" x14ac:dyDescent="0.2">
      <c r="A41" s="631">
        <v>27</v>
      </c>
      <c r="B41" s="631" t="s">
        <v>71</v>
      </c>
      <c r="C41" s="632">
        <f>'COEFIC 2023'!I34</f>
        <v>0.10410950365625671</v>
      </c>
      <c r="D41" s="633">
        <f t="shared" si="1"/>
        <v>44303.766736289203</v>
      </c>
      <c r="E41" s="634">
        <f>'COEFIC 2023'!P34</f>
        <v>0.23628668401264072</v>
      </c>
      <c r="F41" s="635">
        <f t="shared" si="2"/>
        <v>100551.72451836184</v>
      </c>
      <c r="G41" s="653">
        <f>FPART!J42</f>
        <v>0.63950739550870017</v>
      </c>
      <c r="H41" s="637">
        <f t="shared" si="3"/>
        <v>60476.038277492342</v>
      </c>
      <c r="I41" s="638">
        <f t="shared" si="4"/>
        <v>205331.52953214338</v>
      </c>
      <c r="M41" s="639"/>
      <c r="N41" s="640"/>
      <c r="O41" s="641"/>
    </row>
    <row r="42" spans="1:15" s="613" customFormat="1" x14ac:dyDescent="0.2">
      <c r="A42" s="631">
        <v>28</v>
      </c>
      <c r="B42" s="631" t="s">
        <v>72</v>
      </c>
      <c r="C42" s="632">
        <f>'COEFIC 2023'!I35</f>
        <v>0.11019519268470698</v>
      </c>
      <c r="D42" s="633">
        <f t="shared" si="1"/>
        <v>46893.529799959826</v>
      </c>
      <c r="E42" s="634">
        <f>'COEFIC 2023'!P35</f>
        <v>0.25822216015596905</v>
      </c>
      <c r="F42" s="635">
        <f t="shared" si="2"/>
        <v>109886.35953412537</v>
      </c>
      <c r="G42" s="653">
        <f>FPART!J43</f>
        <v>0.62540659063940485</v>
      </c>
      <c r="H42" s="637">
        <f t="shared" si="3"/>
        <v>59142.573143221896</v>
      </c>
      <c r="I42" s="638">
        <f t="shared" si="4"/>
        <v>215922.4624773071</v>
      </c>
      <c r="M42" s="639"/>
      <c r="N42" s="640"/>
      <c r="O42" s="641"/>
    </row>
    <row r="43" spans="1:15" s="613" customFormat="1" x14ac:dyDescent="0.2">
      <c r="A43" s="631">
        <v>29</v>
      </c>
      <c r="B43" s="631" t="s">
        <v>61</v>
      </c>
      <c r="C43" s="632">
        <f>'COEFIC 2023'!I36</f>
        <v>0.25989471968558259</v>
      </c>
      <c r="D43" s="633">
        <f t="shared" si="1"/>
        <v>110598.1167191103</v>
      </c>
      <c r="E43" s="634">
        <f>'COEFIC 2023'!P36</f>
        <v>0.80482357884115929</v>
      </c>
      <c r="F43" s="635">
        <f t="shared" si="2"/>
        <v>342492.42238800466</v>
      </c>
      <c r="G43" s="653">
        <f>FPART!J44</f>
        <v>0.51039054519633531</v>
      </c>
      <c r="H43" s="637">
        <f t="shared" si="3"/>
        <v>48265.897102270239</v>
      </c>
      <c r="I43" s="638">
        <f t="shared" si="4"/>
        <v>501356.43620938517</v>
      </c>
      <c r="M43" s="639"/>
      <c r="N43" s="640"/>
      <c r="O43" s="641"/>
    </row>
    <row r="44" spans="1:15" s="613" customFormat="1" x14ac:dyDescent="0.2">
      <c r="A44" s="631">
        <v>30</v>
      </c>
      <c r="B44" s="631" t="s">
        <v>104</v>
      </c>
      <c r="C44" s="632">
        <f>'COEFIC 2023'!I37</f>
        <v>0.24953430791396478</v>
      </c>
      <c r="D44" s="633">
        <f t="shared" si="1"/>
        <v>106189.24672836305</v>
      </c>
      <c r="E44" s="634">
        <f>'COEFIC 2023'!P37</f>
        <v>0.37167013004425603</v>
      </c>
      <c r="F44" s="635">
        <f t="shared" si="2"/>
        <v>158164.1076562505</v>
      </c>
      <c r="G44" s="653">
        <f>FPART!J45</f>
        <v>0.83991550252888769</v>
      </c>
      <c r="H44" s="637">
        <f t="shared" si="3"/>
        <v>79427.951009684912</v>
      </c>
      <c r="I44" s="638">
        <f t="shared" si="4"/>
        <v>343781.30539429851</v>
      </c>
      <c r="M44" s="639"/>
      <c r="N44" s="640"/>
      <c r="O44" s="641"/>
    </row>
    <row r="45" spans="1:15" s="613" customFormat="1" x14ac:dyDescent="0.2">
      <c r="A45" s="631">
        <v>31</v>
      </c>
      <c r="B45" s="631" t="s">
        <v>48</v>
      </c>
      <c r="C45" s="632">
        <f>'COEFIC 2023'!I38</f>
        <v>0.33928242777297896</v>
      </c>
      <c r="D45" s="633">
        <f t="shared" si="1"/>
        <v>144381.53107910429</v>
      </c>
      <c r="E45" s="634">
        <f>'COEFIC 2023'!P38</f>
        <v>0.55583300952537551</v>
      </c>
      <c r="F45" s="635">
        <f t="shared" si="2"/>
        <v>236534.56345012476</v>
      </c>
      <c r="G45" s="653">
        <f>FPART!J46</f>
        <v>0.79254184703312069</v>
      </c>
      <c r="H45" s="637">
        <f t="shared" si="3"/>
        <v>74947.985612525139</v>
      </c>
      <c r="I45" s="638">
        <f t="shared" si="4"/>
        <v>455864.08014175418</v>
      </c>
      <c r="M45" s="639"/>
      <c r="N45" s="640"/>
      <c r="O45" s="641"/>
    </row>
    <row r="46" spans="1:15" s="613" customFormat="1" x14ac:dyDescent="0.2">
      <c r="A46" s="631">
        <v>32</v>
      </c>
      <c r="B46" s="631" t="s">
        <v>83</v>
      </c>
      <c r="C46" s="632">
        <f>'COEFIC 2023'!I39</f>
        <v>0.33092250201417356</v>
      </c>
      <c r="D46" s="633">
        <f t="shared" si="1"/>
        <v>140823.96728575745</v>
      </c>
      <c r="E46" s="634">
        <f>'COEFIC 2023'!P39</f>
        <v>0.35285067758515876</v>
      </c>
      <c r="F46" s="635">
        <f t="shared" si="2"/>
        <v>150155.49554524251</v>
      </c>
      <c r="G46" s="653">
        <f>FPART!J47</f>
        <v>1.0119385015504034</v>
      </c>
      <c r="H46" s="637">
        <f t="shared" si="3"/>
        <v>95695.580667288581</v>
      </c>
      <c r="I46" s="638">
        <f t="shared" si="4"/>
        <v>386675.04349828855</v>
      </c>
      <c r="M46" s="639"/>
      <c r="N46" s="640"/>
      <c r="O46" s="641"/>
    </row>
    <row r="47" spans="1:15" s="613" customFormat="1" x14ac:dyDescent="0.2">
      <c r="A47" s="631">
        <v>33</v>
      </c>
      <c r="B47" s="631" t="s">
        <v>108</v>
      </c>
      <c r="C47" s="632">
        <f>'COEFIC 2023'!I40</f>
        <v>0.45202560790558383</v>
      </c>
      <c r="D47" s="633">
        <f t="shared" ref="D47:D78" si="5">$F$8*C47%</f>
        <v>192359.35614101618</v>
      </c>
      <c r="E47" s="634">
        <f>'COEFIC 2023'!P40</f>
        <v>0.49576725952589529</v>
      </c>
      <c r="F47" s="635">
        <f t="shared" ref="F47:F78" si="6">$F$9*E47%</f>
        <v>210973.60231439944</v>
      </c>
      <c r="G47" s="653">
        <f>FPART!J48</f>
        <v>0.99721656830305083</v>
      </c>
      <c r="H47" s="637">
        <f t="shared" ref="H47:H78" si="7">$F$10*G47%</f>
        <v>94303.377535880907</v>
      </c>
      <c r="I47" s="638">
        <f t="shared" ref="I47:I78" si="8">D47+F47+H47</f>
        <v>497636.33599129651</v>
      </c>
      <c r="M47" s="639"/>
      <c r="N47" s="640"/>
      <c r="O47" s="641"/>
    </row>
    <row r="48" spans="1:15" s="613" customFormat="1" x14ac:dyDescent="0.2">
      <c r="A48" s="631">
        <v>34</v>
      </c>
      <c r="B48" s="631" t="s">
        <v>110</v>
      </c>
      <c r="C48" s="632">
        <f>'COEFIC 2023'!I41</f>
        <v>2.6472115541333623</v>
      </c>
      <c r="D48" s="633">
        <f t="shared" si="5"/>
        <v>1126520.0493431205</v>
      </c>
      <c r="E48" s="634">
        <f>'COEFIC 2023'!P41</f>
        <v>1.9717994179898699</v>
      </c>
      <c r="F48" s="635">
        <f t="shared" si="6"/>
        <v>839098.6259410911</v>
      </c>
      <c r="G48" s="653">
        <f>FPART!J49</f>
        <v>1.1983385718274551</v>
      </c>
      <c r="H48" s="637">
        <f t="shared" si="7"/>
        <v>113322.80103123022</v>
      </c>
      <c r="I48" s="638">
        <f t="shared" si="8"/>
        <v>2078941.4763154418</v>
      </c>
      <c r="M48" s="639"/>
      <c r="N48" s="640"/>
      <c r="O48" s="641"/>
    </row>
    <row r="49" spans="1:15" s="613" customFormat="1" x14ac:dyDescent="0.2">
      <c r="A49" s="631">
        <v>35</v>
      </c>
      <c r="B49" s="631" t="s">
        <v>112</v>
      </c>
      <c r="C49" s="632">
        <f>'COEFIC 2023'!I42</f>
        <v>0.64493563278320676</v>
      </c>
      <c r="D49" s="633">
        <f t="shared" si="5"/>
        <v>274452.15692401485</v>
      </c>
      <c r="E49" s="634">
        <f>'COEFIC 2023'!P42</f>
        <v>1.3912005894388211</v>
      </c>
      <c r="F49" s="635">
        <f t="shared" si="6"/>
        <v>592024.97594638611</v>
      </c>
      <c r="G49" s="653">
        <f>FPART!J50</f>
        <v>0.66229187199343809</v>
      </c>
      <c r="H49" s="637">
        <f t="shared" si="7"/>
        <v>62630.688687637419</v>
      </c>
      <c r="I49" s="638">
        <f t="shared" si="8"/>
        <v>929107.82155803847</v>
      </c>
      <c r="M49" s="639"/>
      <c r="N49" s="640"/>
      <c r="O49" s="641"/>
    </row>
    <row r="50" spans="1:15" s="613" customFormat="1" x14ac:dyDescent="0.2">
      <c r="A50" s="631">
        <v>36</v>
      </c>
      <c r="B50" s="631" t="s">
        <v>114</v>
      </c>
      <c r="C50" s="632">
        <f>'COEFIC 2023'!I43</f>
        <v>0.24519641192828742</v>
      </c>
      <c r="D50" s="633">
        <f t="shared" si="5"/>
        <v>104343.25644768435</v>
      </c>
      <c r="E50" s="634">
        <f>'COEFIC 2023'!P43</f>
        <v>0.38634093434527844</v>
      </c>
      <c r="F50" s="635">
        <f t="shared" si="6"/>
        <v>164407.26384045716</v>
      </c>
      <c r="G50" s="653">
        <f>FPART!J51</f>
        <v>0.81181104447788688</v>
      </c>
      <c r="H50" s="637">
        <f t="shared" si="7"/>
        <v>76770.208045651627</v>
      </c>
      <c r="I50" s="638">
        <f t="shared" si="8"/>
        <v>345520.72833379311</v>
      </c>
      <c r="M50" s="639"/>
      <c r="N50" s="640"/>
      <c r="O50" s="641"/>
    </row>
    <row r="51" spans="1:15" s="613" customFormat="1" x14ac:dyDescent="0.2">
      <c r="A51" s="631">
        <v>37</v>
      </c>
      <c r="B51" s="631" t="s">
        <v>92</v>
      </c>
      <c r="C51" s="632">
        <f>'COEFIC 2023'!I44</f>
        <v>0.16730380391362448</v>
      </c>
      <c r="D51" s="633">
        <f t="shared" si="5"/>
        <v>71196.081456273794</v>
      </c>
      <c r="E51" s="634">
        <f>'COEFIC 2023'!P44</f>
        <v>0.29726517420617776</v>
      </c>
      <c r="F51" s="635">
        <f t="shared" si="6"/>
        <v>126501.10195834551</v>
      </c>
      <c r="G51" s="653">
        <f>FPART!J52</f>
        <v>0.75300089428431383</v>
      </c>
      <c r="H51" s="637">
        <f t="shared" si="7"/>
        <v>71208.732261024488</v>
      </c>
      <c r="I51" s="638">
        <f t="shared" si="8"/>
        <v>268905.91567564377</v>
      </c>
      <c r="M51" s="639"/>
      <c r="N51" s="640"/>
      <c r="O51" s="641"/>
    </row>
    <row r="52" spans="1:15" s="613" customFormat="1" x14ac:dyDescent="0.2">
      <c r="A52" s="631">
        <v>38</v>
      </c>
      <c r="B52" s="631" t="s">
        <v>51</v>
      </c>
      <c r="C52" s="632">
        <f>'COEFIC 2023'!I45</f>
        <v>0.88385683595551423</v>
      </c>
      <c r="D52" s="633">
        <f t="shared" si="5"/>
        <v>376125.0002472222</v>
      </c>
      <c r="E52" s="634">
        <f>'COEFIC 2023'!P45</f>
        <v>1.9184634861274525</v>
      </c>
      <c r="F52" s="635">
        <f t="shared" si="6"/>
        <v>816401.53680985176</v>
      </c>
      <c r="G52" s="653">
        <f>FPART!J53</f>
        <v>0.65948364803154547</v>
      </c>
      <c r="H52" s="637">
        <f t="shared" si="7"/>
        <v>62365.124503385741</v>
      </c>
      <c r="I52" s="638">
        <f t="shared" si="8"/>
        <v>1254891.6615604598</v>
      </c>
      <c r="M52" s="639"/>
      <c r="N52" s="640"/>
      <c r="O52" s="641"/>
    </row>
    <row r="53" spans="1:15" s="613" customFormat="1" x14ac:dyDescent="0.2">
      <c r="A53" s="631">
        <v>39</v>
      </c>
      <c r="B53" s="631" t="s">
        <v>105</v>
      </c>
      <c r="C53" s="632">
        <f>'COEFIC 2023'!I46</f>
        <v>0.18983559374214284</v>
      </c>
      <c r="D53" s="633">
        <f t="shared" si="5"/>
        <v>80784.477574362289</v>
      </c>
      <c r="E53" s="634">
        <f>'COEFIC 2023'!P46</f>
        <v>0.31996796117075799</v>
      </c>
      <c r="F53" s="635">
        <f t="shared" si="6"/>
        <v>136162.2658542314</v>
      </c>
      <c r="G53" s="653">
        <f>FPART!J54</f>
        <v>0.77860048179540364</v>
      </c>
      <c r="H53" s="637">
        <f t="shared" si="7"/>
        <v>73629.598141671871</v>
      </c>
      <c r="I53" s="638">
        <f t="shared" si="8"/>
        <v>290576.34157026553</v>
      </c>
      <c r="M53" s="639"/>
      <c r="N53" s="640"/>
      <c r="O53" s="641"/>
    </row>
    <row r="54" spans="1:15" s="613" customFormat="1" x14ac:dyDescent="0.2">
      <c r="A54" s="631">
        <v>40</v>
      </c>
      <c r="B54" s="631" t="s">
        <v>96</v>
      </c>
      <c r="C54" s="632">
        <f>'COEFIC 2023'!I47</f>
        <v>0.38714668784795297</v>
      </c>
      <c r="D54" s="633">
        <f t="shared" si="5"/>
        <v>164750.15199164176</v>
      </c>
      <c r="E54" s="634">
        <f>'COEFIC 2023'!P47</f>
        <v>0.4670133881314788</v>
      </c>
      <c r="F54" s="635">
        <f t="shared" si="6"/>
        <v>198737.40133096569</v>
      </c>
      <c r="G54" s="653">
        <f>FPART!J55</f>
        <v>0.94771152584822815</v>
      </c>
      <c r="H54" s="637">
        <f t="shared" si="7"/>
        <v>89621.854126686783</v>
      </c>
      <c r="I54" s="638">
        <f t="shared" si="8"/>
        <v>453109.40744929423</v>
      </c>
      <c r="M54" s="639"/>
      <c r="N54" s="640"/>
      <c r="O54" s="641"/>
    </row>
    <row r="55" spans="1:15" s="613" customFormat="1" x14ac:dyDescent="0.2">
      <c r="A55" s="631">
        <v>41</v>
      </c>
      <c r="B55" s="631" t="s">
        <v>98</v>
      </c>
      <c r="C55" s="632">
        <f>'COEFIC 2023'!I48</f>
        <v>0.3378294431952521</v>
      </c>
      <c r="D55" s="633">
        <f t="shared" si="5"/>
        <v>143763.21394625559</v>
      </c>
      <c r="E55" s="634">
        <f>'COEFIC 2023'!P48</f>
        <v>0.51242411214883699</v>
      </c>
      <c r="F55" s="635">
        <f t="shared" si="6"/>
        <v>218061.92074116011</v>
      </c>
      <c r="G55" s="653">
        <f>FPART!J56</f>
        <v>0.83078552954091656</v>
      </c>
      <c r="H55" s="637">
        <f t="shared" si="7"/>
        <v>78564.560531684561</v>
      </c>
      <c r="I55" s="638">
        <f t="shared" si="8"/>
        <v>440389.69521910022</v>
      </c>
      <c r="M55" s="639"/>
      <c r="N55" s="640"/>
      <c r="O55" s="641"/>
    </row>
    <row r="56" spans="1:15" s="613" customFormat="1" x14ac:dyDescent="0.2">
      <c r="A56" s="631">
        <v>42</v>
      </c>
      <c r="B56" s="631" t="s">
        <v>122</v>
      </c>
      <c r="C56" s="632">
        <f>'COEFIC 2023'!I49</f>
        <v>0.30116790479202737</v>
      </c>
      <c r="D56" s="633">
        <f t="shared" si="5"/>
        <v>128161.90773916022</v>
      </c>
      <c r="E56" s="634">
        <f>'COEFIC 2023'!P49</f>
        <v>0.39561419725385255</v>
      </c>
      <c r="F56" s="635">
        <f t="shared" si="6"/>
        <v>168353.49797237889</v>
      </c>
      <c r="G56" s="653">
        <f>FPART!J57</f>
        <v>0.90375681182419565</v>
      </c>
      <c r="H56" s="637">
        <f t="shared" si="7"/>
        <v>85465.206390534921</v>
      </c>
      <c r="I56" s="638">
        <f t="shared" si="8"/>
        <v>381980.61210207402</v>
      </c>
      <c r="M56" s="639"/>
      <c r="N56" s="640"/>
      <c r="O56" s="641"/>
    </row>
    <row r="57" spans="1:15" s="613" customFormat="1" x14ac:dyDescent="0.2">
      <c r="A57" s="631">
        <v>43</v>
      </c>
      <c r="B57" s="631" t="s">
        <v>346</v>
      </c>
      <c r="C57" s="632">
        <f>'COEFIC 2023'!I50</f>
        <v>1.4483729310236635</v>
      </c>
      <c r="D57" s="633">
        <f t="shared" si="5"/>
        <v>616354.64803574188</v>
      </c>
      <c r="E57" s="634">
        <f>'COEFIC 2023'!P50</f>
        <v>1.9015322371627141</v>
      </c>
      <c r="F57" s="635">
        <f t="shared" si="6"/>
        <v>809196.44910561561</v>
      </c>
      <c r="G57" s="653">
        <f>FPART!J58</f>
        <v>0.90404025564543489</v>
      </c>
      <c r="H57" s="637">
        <f t="shared" si="7"/>
        <v>85492.010708206872</v>
      </c>
      <c r="I57" s="638">
        <f t="shared" si="8"/>
        <v>1511043.1078495644</v>
      </c>
      <c r="M57" s="639"/>
      <c r="N57" s="640"/>
      <c r="O57" s="641"/>
    </row>
    <row r="58" spans="1:15" s="613" customFormat="1" x14ac:dyDescent="0.2">
      <c r="A58" s="631">
        <v>44</v>
      </c>
      <c r="B58" s="631" t="s">
        <v>102</v>
      </c>
      <c r="C58" s="632">
        <f>'COEFIC 2023'!I51</f>
        <v>0.27261359917756861</v>
      </c>
      <c r="D58" s="633">
        <f t="shared" si="5"/>
        <v>116010.63191100322</v>
      </c>
      <c r="E58" s="634">
        <f>'COEFIC 2023'!P51</f>
        <v>0.37461514740795937</v>
      </c>
      <c r="F58" s="635">
        <f t="shared" si="6"/>
        <v>159417.35887476205</v>
      </c>
      <c r="G58" s="653">
        <f>FPART!J59</f>
        <v>0.88070325427299512</v>
      </c>
      <c r="H58" s="637">
        <f t="shared" si="7"/>
        <v>83285.109899563511</v>
      </c>
      <c r="I58" s="638">
        <f t="shared" si="8"/>
        <v>358713.10068532883</v>
      </c>
      <c r="M58" s="639"/>
      <c r="N58" s="640"/>
      <c r="O58" s="641"/>
    </row>
    <row r="59" spans="1:15" s="613" customFormat="1" x14ac:dyDescent="0.2">
      <c r="A59" s="631">
        <v>45</v>
      </c>
      <c r="B59" s="631" t="s">
        <v>127</v>
      </c>
      <c r="C59" s="632">
        <f>'COEFIC 2023'!I52</f>
        <v>0.76140603422389352</v>
      </c>
      <c r="D59" s="633">
        <f t="shared" si="5"/>
        <v>324016.09984845162</v>
      </c>
      <c r="E59" s="634">
        <f>'COEFIC 2023'!P52</f>
        <v>0.75599148751357081</v>
      </c>
      <c r="F59" s="635">
        <f t="shared" si="6"/>
        <v>321711.94118846109</v>
      </c>
      <c r="G59" s="653">
        <f>FPART!J60</f>
        <v>1.0491964841174999</v>
      </c>
      <c r="H59" s="637">
        <f t="shared" si="7"/>
        <v>99218.941297195823</v>
      </c>
      <c r="I59" s="638">
        <f t="shared" si="8"/>
        <v>744946.98233410856</v>
      </c>
      <c r="M59" s="639"/>
      <c r="N59" s="640"/>
      <c r="O59" s="641"/>
    </row>
    <row r="60" spans="1:15" s="613" customFormat="1" x14ac:dyDescent="0.2">
      <c r="A60" s="631">
        <v>46</v>
      </c>
      <c r="B60" s="631" t="s">
        <v>119</v>
      </c>
      <c r="C60" s="632">
        <f>'COEFIC 2023'!I53</f>
        <v>0.31451851670911207</v>
      </c>
      <c r="D60" s="633">
        <f t="shared" si="5"/>
        <v>133843.25646707433</v>
      </c>
      <c r="E60" s="634">
        <f>'COEFIC 2023'!P53</f>
        <v>0.43928797738663627</v>
      </c>
      <c r="F60" s="635">
        <f t="shared" si="6"/>
        <v>186938.86145546136</v>
      </c>
      <c r="G60" s="653">
        <f>FPART!J61</f>
        <v>0.87242123304316332</v>
      </c>
      <c r="H60" s="637">
        <f t="shared" si="7"/>
        <v>82501.907333920171</v>
      </c>
      <c r="I60" s="638">
        <f t="shared" si="8"/>
        <v>403284.02525645588</v>
      </c>
      <c r="M60" s="639"/>
      <c r="N60" s="640"/>
      <c r="O60" s="641"/>
    </row>
    <row r="61" spans="1:15" s="613" customFormat="1" x14ac:dyDescent="0.2">
      <c r="A61" s="631">
        <v>47</v>
      </c>
      <c r="B61" s="631" t="s">
        <v>121</v>
      </c>
      <c r="C61" s="632">
        <f>'COEFIC 2023'!I54</f>
        <v>0.41765936398021752</v>
      </c>
      <c r="D61" s="633">
        <f t="shared" si="5"/>
        <v>177734.81178146438</v>
      </c>
      <c r="E61" s="634">
        <f>'COEFIC 2023'!P54</f>
        <v>0.56420574714884908</v>
      </c>
      <c r="F61" s="635">
        <f t="shared" si="6"/>
        <v>240097.57932847616</v>
      </c>
      <c r="G61" s="653">
        <f>FPART!J62</f>
        <v>0.88942693458047528</v>
      </c>
      <c r="H61" s="637">
        <f t="shared" si="7"/>
        <v>84110.078661302556</v>
      </c>
      <c r="I61" s="638">
        <f t="shared" si="8"/>
        <v>501942.46977124311</v>
      </c>
      <c r="M61" s="639"/>
      <c r="N61" s="640"/>
      <c r="O61" s="641"/>
    </row>
    <row r="62" spans="1:15" s="613" customFormat="1" x14ac:dyDescent="0.2">
      <c r="A62" s="631">
        <v>48</v>
      </c>
      <c r="B62" s="631" t="s">
        <v>47</v>
      </c>
      <c r="C62" s="632">
        <f>'COEFIC 2023'!I55</f>
        <v>0.12097675940639052</v>
      </c>
      <c r="D62" s="633">
        <f t="shared" si="5"/>
        <v>51481.622148054506</v>
      </c>
      <c r="E62" s="634">
        <f>'COEFIC 2023'!P55</f>
        <v>0.33094459983869112</v>
      </c>
      <c r="F62" s="635">
        <f t="shared" si="6"/>
        <v>140833.3710080731</v>
      </c>
      <c r="G62" s="653">
        <f>FPART!J63</f>
        <v>0.55973048604757003</v>
      </c>
      <c r="H62" s="637">
        <f t="shared" si="7"/>
        <v>52931.80741462078</v>
      </c>
      <c r="I62" s="638">
        <f t="shared" si="8"/>
        <v>245246.8005707484</v>
      </c>
      <c r="M62" s="639"/>
      <c r="N62" s="640"/>
      <c r="O62" s="641"/>
    </row>
    <row r="63" spans="1:15" s="613" customFormat="1" x14ac:dyDescent="0.2">
      <c r="A63" s="631">
        <v>49</v>
      </c>
      <c r="B63" s="631" t="s">
        <v>115</v>
      </c>
      <c r="C63" s="632">
        <f>'COEFIC 2023'!I56</f>
        <v>0.40190816884775799</v>
      </c>
      <c r="D63" s="633">
        <f t="shared" si="5"/>
        <v>171031.89561666982</v>
      </c>
      <c r="E63" s="634">
        <f>'COEFIC 2023'!P56</f>
        <v>1.3248275146655468</v>
      </c>
      <c r="F63" s="635">
        <f t="shared" si="6"/>
        <v>563779.93472484231</v>
      </c>
      <c r="G63" s="653">
        <f>FPART!J64</f>
        <v>0.48667703346580021</v>
      </c>
      <c r="H63" s="637">
        <f t="shared" si="7"/>
        <v>46023.390990251253</v>
      </c>
      <c r="I63" s="638">
        <f t="shared" si="8"/>
        <v>780835.22133176331</v>
      </c>
      <c r="M63" s="639"/>
      <c r="N63" s="640"/>
      <c r="O63" s="641"/>
    </row>
    <row r="64" spans="1:15" s="613" customFormat="1" x14ac:dyDescent="0.2">
      <c r="A64" s="631">
        <v>50</v>
      </c>
      <c r="B64" s="631" t="s">
        <v>69</v>
      </c>
      <c r="C64" s="632">
        <f>'COEFIC 2023'!I57</f>
        <v>1.8806884872661696</v>
      </c>
      <c r="D64" s="633">
        <f t="shared" si="5"/>
        <v>800326.39785289741</v>
      </c>
      <c r="E64" s="634">
        <f>'COEFIC 2023'!P57</f>
        <v>1.2229607983357664</v>
      </c>
      <c r="F64" s="635">
        <f t="shared" si="6"/>
        <v>520430.58543423988</v>
      </c>
      <c r="G64" s="653">
        <f>FPART!J65</f>
        <v>1.2670218630598797</v>
      </c>
      <c r="H64" s="637">
        <f t="shared" si="7"/>
        <v>119817.94616757722</v>
      </c>
      <c r="I64" s="638">
        <f t="shared" si="8"/>
        <v>1440574.9294547145</v>
      </c>
      <c r="M64" s="639"/>
      <c r="N64" s="640"/>
      <c r="O64" s="641"/>
    </row>
    <row r="65" spans="1:15" s="613" customFormat="1" x14ac:dyDescent="0.2">
      <c r="A65" s="631">
        <v>51</v>
      </c>
      <c r="B65" s="631" t="s">
        <v>126</v>
      </c>
      <c r="C65" s="632">
        <f>'COEFIC 2023'!I58</f>
        <v>0.29445048333847845</v>
      </c>
      <c r="D65" s="633">
        <f t="shared" si="5"/>
        <v>125303.31113946842</v>
      </c>
      <c r="E65" s="634">
        <f>'COEFIC 2023'!P58</f>
        <v>0.39645821812299525</v>
      </c>
      <c r="F65" s="635">
        <f t="shared" si="6"/>
        <v>168712.67078940166</v>
      </c>
      <c r="G65" s="653">
        <f>FPART!J66</f>
        <v>0.89111035822978302</v>
      </c>
      <c r="H65" s="637">
        <f t="shared" si="7"/>
        <v>84269.274307463595</v>
      </c>
      <c r="I65" s="638">
        <f t="shared" si="8"/>
        <v>378285.25623633369</v>
      </c>
      <c r="M65" s="639"/>
      <c r="N65" s="640"/>
      <c r="O65" s="641"/>
    </row>
    <row r="66" spans="1:15" s="613" customFormat="1" x14ac:dyDescent="0.2">
      <c r="A66" s="631">
        <v>52</v>
      </c>
      <c r="B66" s="631" t="s">
        <v>58</v>
      </c>
      <c r="C66" s="632">
        <f>'COEFIC 2023'!I59</f>
        <v>4.1273816838869903</v>
      </c>
      <c r="D66" s="633">
        <f t="shared" si="5"/>
        <v>1756405.9853585945</v>
      </c>
      <c r="E66" s="634">
        <f>'COEFIC 2023'!P59</f>
        <v>3.0951720361744934</v>
      </c>
      <c r="F66" s="635">
        <f t="shared" si="6"/>
        <v>1317149.4924432773</v>
      </c>
      <c r="G66" s="653">
        <f>FPART!J67</f>
        <v>1.1948784663978282</v>
      </c>
      <c r="H66" s="637">
        <f t="shared" si="7"/>
        <v>112995.59063479716</v>
      </c>
      <c r="I66" s="638">
        <f t="shared" si="8"/>
        <v>3186551.0684366687</v>
      </c>
      <c r="M66" s="639"/>
      <c r="N66" s="640"/>
      <c r="O66" s="641"/>
    </row>
    <row r="67" spans="1:15" s="613" customFormat="1" x14ac:dyDescent="0.2">
      <c r="A67" s="631">
        <v>53</v>
      </c>
      <c r="B67" s="631" t="s">
        <v>103</v>
      </c>
      <c r="C67" s="632">
        <f>'COEFIC 2023'!I60</f>
        <v>17.879143690909327</v>
      </c>
      <c r="D67" s="633">
        <f t="shared" si="5"/>
        <v>7608464.0086461464</v>
      </c>
      <c r="E67" s="634">
        <f>'COEFIC 2023'!P60</f>
        <v>7.4172287338747696</v>
      </c>
      <c r="F67" s="635">
        <f t="shared" si="6"/>
        <v>3156399.3690747065</v>
      </c>
      <c r="G67" s="653">
        <f>FPART!J68</f>
        <v>1.4778431771649561</v>
      </c>
      <c r="H67" s="637">
        <f t="shared" si="7"/>
        <v>139754.60045972664</v>
      </c>
      <c r="I67" s="638">
        <f t="shared" si="8"/>
        <v>10904617.97818058</v>
      </c>
      <c r="M67" s="639"/>
      <c r="N67" s="640"/>
      <c r="O67" s="641"/>
    </row>
    <row r="68" spans="1:15" s="613" customFormat="1" x14ac:dyDescent="0.2">
      <c r="A68" s="631">
        <v>54</v>
      </c>
      <c r="B68" s="631" t="s">
        <v>94</v>
      </c>
      <c r="C68" s="632">
        <f>'COEFIC 2023'!I61</f>
        <v>0.16810399831874945</v>
      </c>
      <c r="D68" s="633">
        <f t="shared" si="5"/>
        <v>71536.603935233958</v>
      </c>
      <c r="E68" s="634">
        <f>'COEFIC 2023'!P61</f>
        <v>0.30909086115032519</v>
      </c>
      <c r="F68" s="635">
        <f t="shared" si="6"/>
        <v>131533.5193407177</v>
      </c>
      <c r="G68" s="653">
        <f>FPART!J69</f>
        <v>0.73658381055873901</v>
      </c>
      <c r="H68" s="637">
        <f t="shared" si="7"/>
        <v>69656.224517149385</v>
      </c>
      <c r="I68" s="638">
        <f t="shared" si="8"/>
        <v>272726.34779310104</v>
      </c>
      <c r="M68" s="639"/>
      <c r="N68" s="640"/>
      <c r="O68" s="641"/>
    </row>
    <row r="69" spans="1:15" s="613" customFormat="1" x14ac:dyDescent="0.2">
      <c r="A69" s="631">
        <v>55</v>
      </c>
      <c r="B69" s="631" t="s">
        <v>347</v>
      </c>
      <c r="C69" s="632">
        <f>'COEFIC 2023'!I62</f>
        <v>0.96301290882037449</v>
      </c>
      <c r="D69" s="633">
        <f t="shared" si="5"/>
        <v>409809.84231067507</v>
      </c>
      <c r="E69" s="634">
        <f>'COEFIC 2023'!P62</f>
        <v>0.80325130971927761</v>
      </c>
      <c r="F69" s="635">
        <f t="shared" si="6"/>
        <v>341823.3437546792</v>
      </c>
      <c r="G69" s="653">
        <f>FPART!J70</f>
        <v>1.1400301061832034</v>
      </c>
      <c r="H69" s="637">
        <f t="shared" si="7"/>
        <v>107808.76784730023</v>
      </c>
      <c r="I69" s="638">
        <f t="shared" si="8"/>
        <v>859441.95391265454</v>
      </c>
      <c r="M69" s="639"/>
      <c r="N69" s="640"/>
      <c r="O69" s="641"/>
    </row>
    <row r="70" spans="1:15" s="613" customFormat="1" x14ac:dyDescent="0.2">
      <c r="A70" s="631">
        <v>56</v>
      </c>
      <c r="B70" s="631" t="s">
        <v>348</v>
      </c>
      <c r="C70" s="632">
        <f>'COEFIC 2023'!I63</f>
        <v>0.68644045311218771</v>
      </c>
      <c r="D70" s="633">
        <f t="shared" si="5"/>
        <v>292114.52024060581</v>
      </c>
      <c r="E70" s="634">
        <f>'COEFIC 2023'!P63</f>
        <v>0.46532661427820704</v>
      </c>
      <c r="F70" s="635">
        <f t="shared" si="6"/>
        <v>198019.59524499139</v>
      </c>
      <c r="G70" s="653">
        <f>FPART!J71</f>
        <v>1.2461723056435674</v>
      </c>
      <c r="H70" s="637">
        <f t="shared" si="7"/>
        <v>117846.27446959054</v>
      </c>
      <c r="I70" s="638">
        <f t="shared" si="8"/>
        <v>607980.38995518768</v>
      </c>
      <c r="J70" s="643"/>
      <c r="K70" s="643"/>
      <c r="L70" s="643"/>
      <c r="M70" s="639"/>
      <c r="N70" s="640"/>
      <c r="O70" s="641"/>
    </row>
    <row r="71" spans="1:15" s="643" customFormat="1" x14ac:dyDescent="0.2">
      <c r="A71" s="631">
        <v>57</v>
      </c>
      <c r="B71" s="631" t="s">
        <v>65</v>
      </c>
      <c r="C71" s="632">
        <f>'COEFIC 2023'!I64</f>
        <v>0.17258929853694982</v>
      </c>
      <c r="D71" s="633">
        <f t="shared" si="5"/>
        <v>73445.322040984276</v>
      </c>
      <c r="E71" s="634">
        <f>'COEFIC 2023'!P64</f>
        <v>0.74491573722474513</v>
      </c>
      <c r="F71" s="635">
        <f t="shared" si="6"/>
        <v>316998.65911533084</v>
      </c>
      <c r="G71" s="653">
        <f>FPART!J72</f>
        <v>0.3933193291422255</v>
      </c>
      <c r="H71" s="637">
        <f t="shared" si="7"/>
        <v>37194.870569967061</v>
      </c>
      <c r="I71" s="638">
        <f t="shared" si="8"/>
        <v>427638.85172628221</v>
      </c>
      <c r="J71" s="613"/>
      <c r="K71" s="613"/>
      <c r="L71" s="613"/>
      <c r="M71" s="639"/>
      <c r="N71" s="640"/>
      <c r="O71" s="641"/>
    </row>
    <row r="72" spans="1:15" s="613" customFormat="1" x14ac:dyDescent="0.2">
      <c r="A72" s="631">
        <v>58</v>
      </c>
      <c r="B72" s="631" t="s">
        <v>134</v>
      </c>
      <c r="C72" s="632">
        <f>'COEFIC 2023'!I65</f>
        <v>0.44181260036648906</v>
      </c>
      <c r="D72" s="633">
        <f t="shared" si="5"/>
        <v>188013.21397534056</v>
      </c>
      <c r="E72" s="634">
        <f>'COEFIC 2023'!P65</f>
        <v>0.50525093226213014</v>
      </c>
      <c r="F72" s="635">
        <f t="shared" si="6"/>
        <v>215009.37628270808</v>
      </c>
      <c r="G72" s="653">
        <f>FPART!J73</f>
        <v>0.97543619400196546</v>
      </c>
      <c r="H72" s="637">
        <f t="shared" si="7"/>
        <v>92243.681652484942</v>
      </c>
      <c r="I72" s="638">
        <f t="shared" si="8"/>
        <v>495266.27191053354</v>
      </c>
      <c r="M72" s="639"/>
      <c r="N72" s="640"/>
      <c r="O72" s="641"/>
    </row>
    <row r="73" spans="1:15" s="613" customFormat="1" x14ac:dyDescent="0.2">
      <c r="A73" s="631">
        <v>59</v>
      </c>
      <c r="B73" s="631" t="s">
        <v>136</v>
      </c>
      <c r="C73" s="632">
        <f>'COEFIC 2023'!I66</f>
        <v>0.19008828671218228</v>
      </c>
      <c r="D73" s="633">
        <f t="shared" si="5"/>
        <v>80892.010988770737</v>
      </c>
      <c r="E73" s="634">
        <f>'COEFIC 2023'!P66</f>
        <v>0.34163452441152531</v>
      </c>
      <c r="F73" s="635">
        <f t="shared" si="6"/>
        <v>145382.46506837226</v>
      </c>
      <c r="G73" s="653">
        <f>FPART!J74</f>
        <v>0.74749784840191158</v>
      </c>
      <c r="H73" s="637">
        <f t="shared" si="7"/>
        <v>70688.327937690236</v>
      </c>
      <c r="I73" s="638">
        <f t="shared" si="8"/>
        <v>296962.80399483326</v>
      </c>
      <c r="M73" s="639"/>
      <c r="N73" s="640"/>
      <c r="O73" s="641"/>
    </row>
    <row r="74" spans="1:15" s="613" customFormat="1" x14ac:dyDescent="0.2">
      <c r="A74" s="631">
        <v>60</v>
      </c>
      <c r="B74" s="631" t="s">
        <v>137</v>
      </c>
      <c r="C74" s="632">
        <f>'COEFIC 2023'!I67</f>
        <v>0.19872196318853044</v>
      </c>
      <c r="D74" s="633">
        <f t="shared" si="5"/>
        <v>84566.069314393448</v>
      </c>
      <c r="E74" s="634">
        <f>'COEFIC 2023'!P67</f>
        <v>0.41133216924457244</v>
      </c>
      <c r="F74" s="635">
        <f t="shared" si="6"/>
        <v>175042.2760395917</v>
      </c>
      <c r="G74" s="653">
        <f>FPART!J75</f>
        <v>0.68111019086876712</v>
      </c>
      <c r="H74" s="637">
        <f t="shared" si="7"/>
        <v>64410.273068701819</v>
      </c>
      <c r="I74" s="638">
        <f t="shared" si="8"/>
        <v>324018.61842268694</v>
      </c>
      <c r="M74" s="639"/>
      <c r="N74" s="640"/>
      <c r="O74" s="641"/>
    </row>
    <row r="75" spans="1:15" s="613" customFormat="1" x14ac:dyDescent="0.2">
      <c r="A75" s="631">
        <v>61</v>
      </c>
      <c r="B75" s="631" t="s">
        <v>135</v>
      </c>
      <c r="C75" s="632">
        <f>'COEFIC 2023'!I68</f>
        <v>0.52168463664646103</v>
      </c>
      <c r="D75" s="633">
        <f t="shared" si="5"/>
        <v>222002.73404628408</v>
      </c>
      <c r="E75" s="634">
        <f>'COEFIC 2023'!P68</f>
        <v>0.59684263357744027</v>
      </c>
      <c r="F75" s="635">
        <f t="shared" si="6"/>
        <v>253986.19614587247</v>
      </c>
      <c r="G75" s="653">
        <f>FPART!J76</f>
        <v>0.97521720136537549</v>
      </c>
      <c r="H75" s="637">
        <f t="shared" si="7"/>
        <v>92222.972264030759</v>
      </c>
      <c r="I75" s="638">
        <f t="shared" si="8"/>
        <v>568211.90245618729</v>
      </c>
      <c r="M75" s="639"/>
      <c r="N75" s="640"/>
      <c r="O75" s="641"/>
    </row>
    <row r="76" spans="1:15" s="613" customFormat="1" x14ac:dyDescent="0.2">
      <c r="A76" s="631">
        <v>62</v>
      </c>
      <c r="B76" s="631" t="s">
        <v>113</v>
      </c>
      <c r="C76" s="632">
        <f>'COEFIC 2023'!I69</f>
        <v>0.44280231449914359</v>
      </c>
      <c r="D76" s="633">
        <f t="shared" si="5"/>
        <v>188434.38651510706</v>
      </c>
      <c r="E76" s="634">
        <f>'COEFIC 2023'!P69</f>
        <v>0.48709064033904148</v>
      </c>
      <c r="F76" s="635">
        <f t="shared" si="6"/>
        <v>207281.26973174495</v>
      </c>
      <c r="G76" s="653">
        <f>FPART!J77</f>
        <v>0.99567317695291968</v>
      </c>
      <c r="H76" s="637">
        <f t="shared" si="7"/>
        <v>94157.424267751092</v>
      </c>
      <c r="I76" s="638">
        <f t="shared" si="8"/>
        <v>489873.08051460312</v>
      </c>
      <c r="M76" s="639"/>
      <c r="N76" s="640"/>
      <c r="O76" s="641"/>
    </row>
    <row r="77" spans="1:15" s="613" customFormat="1" x14ac:dyDescent="0.2">
      <c r="A77" s="631">
        <v>63</v>
      </c>
      <c r="B77" s="631" t="s">
        <v>123</v>
      </c>
      <c r="C77" s="632">
        <f>'COEFIC 2023'!I70</f>
        <v>0.31352880257645754</v>
      </c>
      <c r="D77" s="633">
        <f t="shared" si="5"/>
        <v>133422.08392730783</v>
      </c>
      <c r="E77" s="634">
        <f>'COEFIC 2023'!P70</f>
        <v>0.41328818544046847</v>
      </c>
      <c r="F77" s="635">
        <f t="shared" si="6"/>
        <v>175874.65812030461</v>
      </c>
      <c r="G77" s="653">
        <f>FPART!J78</f>
        <v>0.90197034059299264</v>
      </c>
      <c r="H77" s="637">
        <f t="shared" si="7"/>
        <v>85296.265885204339</v>
      </c>
      <c r="I77" s="638">
        <f t="shared" si="8"/>
        <v>394593.00793281675</v>
      </c>
      <c r="M77" s="639"/>
      <c r="N77" s="640"/>
      <c r="O77" s="641"/>
    </row>
    <row r="78" spans="1:15" s="613" customFormat="1" x14ac:dyDescent="0.2">
      <c r="A78" s="631">
        <v>64</v>
      </c>
      <c r="B78" s="631" t="s">
        <v>74</v>
      </c>
      <c r="C78" s="632">
        <f>'COEFIC 2023'!I71</f>
        <v>0.56502148100822813</v>
      </c>
      <c r="D78" s="633">
        <f t="shared" si="5"/>
        <v>240444.71461733655</v>
      </c>
      <c r="E78" s="634">
        <f>'COEFIC 2023'!P71</f>
        <v>0.68085562816258149</v>
      </c>
      <c r="F78" s="635">
        <f t="shared" si="6"/>
        <v>289737.89972911723</v>
      </c>
      <c r="G78" s="653">
        <f>FPART!J79</f>
        <v>0.94826481243502747</v>
      </c>
      <c r="H78" s="637">
        <f t="shared" si="7"/>
        <v>89674.176556476799</v>
      </c>
      <c r="I78" s="638">
        <f t="shared" si="8"/>
        <v>619856.79090293054</v>
      </c>
      <c r="M78" s="639"/>
      <c r="N78" s="640"/>
      <c r="O78" s="641"/>
    </row>
    <row r="79" spans="1:15" s="613" customFormat="1" x14ac:dyDescent="0.2">
      <c r="A79" s="631">
        <v>65</v>
      </c>
      <c r="B79" s="631" t="s">
        <v>89</v>
      </c>
      <c r="C79" s="632">
        <f>'COEFIC 2023'!I72</f>
        <v>0.83508709273789883</v>
      </c>
      <c r="D79" s="633">
        <f t="shared" ref="D79:D110" si="9">$F$8*C79%</f>
        <v>355371.05126638763</v>
      </c>
      <c r="E79" s="634">
        <f>'COEFIC 2023'!P72</f>
        <v>0.61494319721037083</v>
      </c>
      <c r="F79" s="635">
        <f t="shared" ref="F79:F110" si="10">$F$9*E79%</f>
        <v>261688.88534162988</v>
      </c>
      <c r="G79" s="653">
        <f>FPART!J80</f>
        <v>1.204188788717512</v>
      </c>
      <c r="H79" s="637">
        <f t="shared" ref="H79:H110" si="11">$F$10*G79%</f>
        <v>113876.03613540487</v>
      </c>
      <c r="I79" s="638">
        <f t="shared" ref="I79:I110" si="12">D79+F79+H79</f>
        <v>730935.97274342238</v>
      </c>
      <c r="M79" s="639"/>
      <c r="N79" s="640"/>
      <c r="O79" s="641"/>
    </row>
    <row r="80" spans="1:15" s="613" customFormat="1" x14ac:dyDescent="0.2">
      <c r="A80" s="631">
        <v>66</v>
      </c>
      <c r="B80" s="631" t="s">
        <v>118</v>
      </c>
      <c r="C80" s="632">
        <f>'COEFIC 2023'!I73</f>
        <v>2.0717033148684965</v>
      </c>
      <c r="D80" s="633">
        <f t="shared" si="9"/>
        <v>881612.69802783243</v>
      </c>
      <c r="E80" s="634">
        <f>'COEFIC 2023'!P73</f>
        <v>1.3350772698902451</v>
      </c>
      <c r="F80" s="635">
        <f t="shared" si="10"/>
        <v>568141.71485663927</v>
      </c>
      <c r="G80" s="653">
        <f>FPART!J81</f>
        <v>1.2715202471937566</v>
      </c>
      <c r="H80" s="637">
        <f t="shared" si="11"/>
        <v>120243.34304801641</v>
      </c>
      <c r="I80" s="638">
        <f t="shared" si="12"/>
        <v>1569997.755932488</v>
      </c>
      <c r="M80" s="639"/>
      <c r="N80" s="640"/>
      <c r="O80" s="641"/>
    </row>
    <row r="81" spans="1:15" s="613" customFormat="1" x14ac:dyDescent="0.2">
      <c r="A81" s="631">
        <v>67</v>
      </c>
      <c r="B81" s="631" t="s">
        <v>120</v>
      </c>
      <c r="C81" s="632">
        <f>'COEFIC 2023'!I74</f>
        <v>0.35000082125215265</v>
      </c>
      <c r="D81" s="633">
        <f t="shared" si="9"/>
        <v>148942.74007359685</v>
      </c>
      <c r="E81" s="634">
        <f>'COEFIC 2023'!P74</f>
        <v>0.49564708763613402</v>
      </c>
      <c r="F81" s="635">
        <f t="shared" si="10"/>
        <v>210922.46320427724</v>
      </c>
      <c r="G81" s="653">
        <f>FPART!J82</f>
        <v>0.8654049337071944</v>
      </c>
      <c r="H81" s="637">
        <f t="shared" si="11"/>
        <v>81838.399780780965</v>
      </c>
      <c r="I81" s="638">
        <f t="shared" si="12"/>
        <v>441703.60305865505</v>
      </c>
      <c r="M81" s="639"/>
      <c r="N81" s="640"/>
      <c r="O81" s="641"/>
    </row>
    <row r="82" spans="1:15" s="613" customFormat="1" x14ac:dyDescent="0.2">
      <c r="A82" s="631">
        <v>68</v>
      </c>
      <c r="B82" s="631" t="s">
        <v>144</v>
      </c>
      <c r="C82" s="632">
        <f>'COEFIC 2023'!I75</f>
        <v>0.61886614137413598</v>
      </c>
      <c r="D82" s="633">
        <f t="shared" si="9"/>
        <v>263358.29300420778</v>
      </c>
      <c r="E82" s="634">
        <f>'COEFIC 2023'!P75</f>
        <v>0.67531065033607796</v>
      </c>
      <c r="F82" s="635">
        <f t="shared" si="10"/>
        <v>287378.23614840867</v>
      </c>
      <c r="G82" s="653">
        <f>FPART!J83</f>
        <v>0.99986875676695242</v>
      </c>
      <c r="H82" s="637">
        <f t="shared" si="11"/>
        <v>94554.185974045162</v>
      </c>
      <c r="I82" s="638">
        <f t="shared" si="12"/>
        <v>645290.71512666158</v>
      </c>
      <c r="M82" s="639"/>
      <c r="N82" s="640"/>
      <c r="O82" s="641"/>
    </row>
    <row r="83" spans="1:15" s="613" customFormat="1" x14ac:dyDescent="0.2">
      <c r="A83" s="631">
        <v>69</v>
      </c>
      <c r="B83" s="631" t="s">
        <v>84</v>
      </c>
      <c r="C83" s="632">
        <f>'COEFIC 2023'!I76</f>
        <v>2.2424395316251569</v>
      </c>
      <c r="D83" s="633">
        <f t="shared" si="9"/>
        <v>954269.44169648807</v>
      </c>
      <c r="E83" s="634">
        <f>'COEFIC 2023'!P76</f>
        <v>1.9355321382709125</v>
      </c>
      <c r="F83" s="635">
        <f t="shared" si="10"/>
        <v>823665.0963938405</v>
      </c>
      <c r="G83" s="653">
        <f>FPART!J84</f>
        <v>1.12226426101586</v>
      </c>
      <c r="H83" s="637">
        <f t="shared" si="11"/>
        <v>106128.71232344251</v>
      </c>
      <c r="I83" s="638">
        <f t="shared" si="12"/>
        <v>1884063.2504137713</v>
      </c>
      <c r="M83" s="639"/>
      <c r="N83" s="640"/>
      <c r="O83" s="641"/>
    </row>
    <row r="84" spans="1:15" s="613" customFormat="1" x14ac:dyDescent="0.2">
      <c r="A84" s="631">
        <v>70</v>
      </c>
      <c r="B84" s="631" t="s">
        <v>53</v>
      </c>
      <c r="C84" s="632">
        <f>'COEFIC 2023'!I77</f>
        <v>0.32645825954347646</v>
      </c>
      <c r="D84" s="633">
        <f t="shared" si="9"/>
        <v>138924.2102978745</v>
      </c>
      <c r="E84" s="634">
        <f>'COEFIC 2023'!P77</f>
        <v>0.45201662211357152</v>
      </c>
      <c r="F84" s="635">
        <f t="shared" si="10"/>
        <v>192355.53224003431</v>
      </c>
      <c r="G84" s="653">
        <f>FPART!J85</f>
        <v>0.87684522131647236</v>
      </c>
      <c r="H84" s="637">
        <f t="shared" si="11"/>
        <v>82920.268850979701</v>
      </c>
      <c r="I84" s="638">
        <f t="shared" si="12"/>
        <v>414200.01138888852</v>
      </c>
      <c r="M84" s="639"/>
      <c r="N84" s="640"/>
      <c r="O84" s="641"/>
    </row>
    <row r="85" spans="1:15" s="613" customFormat="1" x14ac:dyDescent="0.2">
      <c r="A85" s="631">
        <v>71</v>
      </c>
      <c r="B85" s="631" t="s">
        <v>143</v>
      </c>
      <c r="C85" s="632">
        <f>'COEFIC 2023'!I78</f>
        <v>1.4584595920777386</v>
      </c>
      <c r="D85" s="633">
        <f t="shared" si="9"/>
        <v>620647.02349421324</v>
      </c>
      <c r="E85" s="634">
        <f>'COEFIC 2023'!P78</f>
        <v>1.0305721617264547</v>
      </c>
      <c r="F85" s="635">
        <f t="shared" si="10"/>
        <v>438559.66126583505</v>
      </c>
      <c r="G85" s="653">
        <f>FPART!J86</f>
        <v>1.2251911375010087</v>
      </c>
      <c r="H85" s="637">
        <f t="shared" si="11"/>
        <v>115862.15679306773</v>
      </c>
      <c r="I85" s="638">
        <f t="shared" si="12"/>
        <v>1175068.841553116</v>
      </c>
      <c r="M85" s="639"/>
      <c r="N85" s="640"/>
      <c r="O85" s="641"/>
    </row>
    <row r="86" spans="1:15" s="613" customFormat="1" x14ac:dyDescent="0.2">
      <c r="A86" s="631">
        <v>72</v>
      </c>
      <c r="B86" s="631" t="s">
        <v>132</v>
      </c>
      <c r="C86" s="632">
        <f>'COEFIC 2023'!I79</f>
        <v>0.29398721289340612</v>
      </c>
      <c r="D86" s="633">
        <f t="shared" si="9"/>
        <v>125106.16654638624</v>
      </c>
      <c r="E86" s="634">
        <f>'COEFIC 2023'!P79</f>
        <v>0.37946277923825678</v>
      </c>
      <c r="F86" s="635">
        <f t="shared" si="10"/>
        <v>161480.26708477538</v>
      </c>
      <c r="G86" s="653">
        <f>FPART!J87</f>
        <v>0.91277339179785055</v>
      </c>
      <c r="H86" s="637">
        <f t="shared" si="11"/>
        <v>86317.873677025113</v>
      </c>
      <c r="I86" s="638">
        <f t="shared" si="12"/>
        <v>372904.30730818678</v>
      </c>
      <c r="M86" s="639"/>
      <c r="N86" s="640"/>
      <c r="O86" s="641"/>
    </row>
    <row r="87" spans="1:15" s="613" customFormat="1" x14ac:dyDescent="0.2">
      <c r="A87" s="631">
        <v>73</v>
      </c>
      <c r="B87" s="631" t="s">
        <v>85</v>
      </c>
      <c r="C87" s="632">
        <f>'COEFIC 2023'!I80</f>
        <v>0.5722653461493592</v>
      </c>
      <c r="D87" s="633">
        <f t="shared" si="9"/>
        <v>243527.3391637126</v>
      </c>
      <c r="E87" s="634">
        <f>'COEFIC 2023'!P80</f>
        <v>0.54450577422167679</v>
      </c>
      <c r="F87" s="635">
        <f t="shared" si="10"/>
        <v>231714.26200752953</v>
      </c>
      <c r="G87" s="653">
        <f>FPART!J88</f>
        <v>1.0714530756763703</v>
      </c>
      <c r="H87" s="637">
        <f t="shared" si="11"/>
        <v>101323.67142618842</v>
      </c>
      <c r="I87" s="638">
        <f t="shared" si="12"/>
        <v>576565.27259743051</v>
      </c>
      <c r="M87" s="639"/>
      <c r="N87" s="640"/>
      <c r="O87" s="641"/>
    </row>
    <row r="88" spans="1:15" s="613" customFormat="1" x14ac:dyDescent="0.2">
      <c r="A88" s="631">
        <v>74</v>
      </c>
      <c r="B88" s="652" t="s">
        <v>133</v>
      </c>
      <c r="C88" s="632">
        <f>'COEFIC 2023'!I81</f>
        <v>0.22222240940220003</v>
      </c>
      <c r="D88" s="633">
        <f t="shared" si="9"/>
        <v>94566.676854381047</v>
      </c>
      <c r="E88" s="634">
        <f>'COEFIC 2023'!P81</f>
        <v>0.30271862627818635</v>
      </c>
      <c r="F88" s="635">
        <f t="shared" si="10"/>
        <v>128821.81678283963</v>
      </c>
      <c r="G88" s="653">
        <f>FPART!J89</f>
        <v>0.88515068741753156</v>
      </c>
      <c r="H88" s="637">
        <f t="shared" si="11"/>
        <v>83705.68851831682</v>
      </c>
      <c r="I88" s="638">
        <f t="shared" si="12"/>
        <v>307094.18215553748</v>
      </c>
      <c r="M88" s="639"/>
      <c r="N88" s="640"/>
      <c r="O88" s="641"/>
    </row>
    <row r="89" spans="1:15" s="613" customFormat="1" x14ac:dyDescent="0.2">
      <c r="A89" s="631">
        <v>75</v>
      </c>
      <c r="B89" s="631" t="s">
        <v>146</v>
      </c>
      <c r="C89" s="632">
        <f>'COEFIC 2023'!I82</f>
        <v>1.6621932991720516</v>
      </c>
      <c r="D89" s="633">
        <f t="shared" si="9"/>
        <v>707345.83886104135</v>
      </c>
      <c r="E89" s="634">
        <f>'COEFIC 2023'!P82</f>
        <v>1.0263852879652673</v>
      </c>
      <c r="F89" s="635">
        <f t="shared" si="10"/>
        <v>436777.93844557845</v>
      </c>
      <c r="G89" s="653">
        <f>FPART!J90</f>
        <v>1.2927027552766872</v>
      </c>
      <c r="H89" s="637">
        <f t="shared" si="11"/>
        <v>122246.50075758067</v>
      </c>
      <c r="I89" s="638">
        <f t="shared" si="12"/>
        <v>1266370.2780642004</v>
      </c>
      <c r="M89" s="639"/>
      <c r="N89" s="640"/>
      <c r="O89" s="641"/>
    </row>
    <row r="90" spans="1:15" s="613" customFormat="1" x14ac:dyDescent="0.2">
      <c r="A90" s="631">
        <v>76</v>
      </c>
      <c r="B90" s="631" t="s">
        <v>148</v>
      </c>
      <c r="C90" s="632">
        <f>'COEFIC 2023'!I83</f>
        <v>1.6525488508155455</v>
      </c>
      <c r="D90" s="633">
        <f t="shared" si="9"/>
        <v>703241.64687778463</v>
      </c>
      <c r="E90" s="634">
        <f>'COEFIC 2023'!P83</f>
        <v>1.8504233032214761</v>
      </c>
      <c r="F90" s="635">
        <f t="shared" si="10"/>
        <v>787447.05824357457</v>
      </c>
      <c r="G90" s="653">
        <f>FPART!J91</f>
        <v>0.98641008576890343</v>
      </c>
      <c r="H90" s="637">
        <f t="shared" si="11"/>
        <v>93281.445254925362</v>
      </c>
      <c r="I90" s="638">
        <f t="shared" si="12"/>
        <v>1583970.1503762847</v>
      </c>
      <c r="M90" s="639"/>
      <c r="N90" s="640"/>
      <c r="O90" s="641"/>
    </row>
    <row r="91" spans="1:15" s="613" customFormat="1" x14ac:dyDescent="0.2">
      <c r="A91" s="631">
        <v>77</v>
      </c>
      <c r="B91" s="631" t="s">
        <v>45</v>
      </c>
      <c r="C91" s="632">
        <f>'COEFIC 2023'!I84</f>
        <v>0.37223780261562495</v>
      </c>
      <c r="D91" s="633">
        <f t="shared" si="9"/>
        <v>158405.68054154213</v>
      </c>
      <c r="E91" s="634">
        <f>'COEFIC 2023'!P84</f>
        <v>0.62678870776607709</v>
      </c>
      <c r="F91" s="635">
        <f t="shared" si="10"/>
        <v>266729.73865570407</v>
      </c>
      <c r="G91" s="653">
        <f>FPART!J92</f>
        <v>0.77908231415513252</v>
      </c>
      <c r="H91" s="637">
        <f t="shared" si="11"/>
        <v>73675.163388352274</v>
      </c>
      <c r="I91" s="638">
        <f t="shared" si="12"/>
        <v>498810.58258559846</v>
      </c>
      <c r="M91" s="639"/>
      <c r="N91" s="640"/>
      <c r="O91" s="641"/>
    </row>
    <row r="92" spans="1:15" s="613" customFormat="1" x14ac:dyDescent="0.2">
      <c r="A92" s="631">
        <v>78</v>
      </c>
      <c r="B92" s="631" t="s">
        <v>349</v>
      </c>
      <c r="C92" s="632">
        <f>'COEFIC 2023'!I85</f>
        <v>0.26979186101212799</v>
      </c>
      <c r="D92" s="633">
        <f t="shared" si="9"/>
        <v>114809.84211677533</v>
      </c>
      <c r="E92" s="634">
        <f>'COEFIC 2023'!P85</f>
        <v>0.40979046274032732</v>
      </c>
      <c r="F92" s="635">
        <f t="shared" si="10"/>
        <v>174386.20331864763</v>
      </c>
      <c r="G92" s="653">
        <f>FPART!J93</f>
        <v>0.83009281053141881</v>
      </c>
      <c r="H92" s="637">
        <f t="shared" si="11"/>
        <v>78499.052452140619</v>
      </c>
      <c r="I92" s="638">
        <f t="shared" si="12"/>
        <v>367695.09788756358</v>
      </c>
      <c r="M92" s="639"/>
      <c r="N92" s="640"/>
      <c r="O92" s="641"/>
    </row>
    <row r="93" spans="1:15" s="613" customFormat="1" x14ac:dyDescent="0.2">
      <c r="A93" s="631">
        <v>79</v>
      </c>
      <c r="B93" s="631" t="s">
        <v>138</v>
      </c>
      <c r="C93" s="632">
        <f>'COEFIC 2023'!I86</f>
        <v>1.0506973694240664</v>
      </c>
      <c r="D93" s="633">
        <f t="shared" si="9"/>
        <v>447123.9371104138</v>
      </c>
      <c r="E93" s="634">
        <f>'COEFIC 2023'!P86</f>
        <v>0.84314994921472297</v>
      </c>
      <c r="F93" s="635">
        <f t="shared" si="10"/>
        <v>358802.19731965126</v>
      </c>
      <c r="G93" s="653">
        <f>FPART!J94</f>
        <v>1.160038930477814</v>
      </c>
      <c r="H93" s="637">
        <f t="shared" si="11"/>
        <v>109700.93427481425</v>
      </c>
      <c r="I93" s="638">
        <f t="shared" si="12"/>
        <v>915627.06870487926</v>
      </c>
      <c r="M93" s="639"/>
      <c r="N93" s="640"/>
      <c r="O93" s="641"/>
    </row>
    <row r="94" spans="1:15" s="613" customFormat="1" x14ac:dyDescent="0.2">
      <c r="A94" s="631">
        <v>80</v>
      </c>
      <c r="B94" s="631" t="s">
        <v>93</v>
      </c>
      <c r="C94" s="632">
        <f>'COEFIC 2023'!I87</f>
        <v>0.41763830623271425</v>
      </c>
      <c r="D94" s="633">
        <f t="shared" si="9"/>
        <v>177725.85066359703</v>
      </c>
      <c r="E94" s="634">
        <f>'COEFIC 2023'!P87</f>
        <v>0.46314450232260923</v>
      </c>
      <c r="F94" s="635">
        <f t="shared" si="10"/>
        <v>197090.99818441496</v>
      </c>
      <c r="G94" s="653">
        <f>FPART!J95</f>
        <v>0.99145128306937969</v>
      </c>
      <c r="H94" s="637">
        <f t="shared" si="11"/>
        <v>93758.174129445222</v>
      </c>
      <c r="I94" s="638">
        <f t="shared" si="12"/>
        <v>468575.02297745721</v>
      </c>
      <c r="M94" s="639"/>
      <c r="N94" s="640"/>
      <c r="O94" s="641"/>
    </row>
    <row r="95" spans="1:15" s="613" customFormat="1" x14ac:dyDescent="0.2">
      <c r="A95" s="631">
        <v>81</v>
      </c>
      <c r="B95" s="631" t="s">
        <v>116</v>
      </c>
      <c r="C95" s="632">
        <f>'COEFIC 2023'!I88</f>
        <v>0.19112011633984341</v>
      </c>
      <c r="D95" s="633">
        <f t="shared" si="9"/>
        <v>81331.105764271997</v>
      </c>
      <c r="E95" s="634">
        <f>'COEFIC 2023'!P88</f>
        <v>0.43209989462611942</v>
      </c>
      <c r="F95" s="635">
        <f t="shared" si="10"/>
        <v>183879.97508371805</v>
      </c>
      <c r="G95" s="653">
        <f>FPART!J96</f>
        <v>0.64121680254968882</v>
      </c>
      <c r="H95" s="637">
        <f t="shared" si="11"/>
        <v>60637.691084588361</v>
      </c>
      <c r="I95" s="638">
        <f t="shared" si="12"/>
        <v>325848.77193257841</v>
      </c>
      <c r="M95" s="639"/>
      <c r="N95" s="640"/>
      <c r="O95" s="641"/>
    </row>
    <row r="96" spans="1:15" s="613" customFormat="1" x14ac:dyDescent="0.2">
      <c r="A96" s="631">
        <v>82</v>
      </c>
      <c r="B96" s="631" t="s">
        <v>152</v>
      </c>
      <c r="C96" s="632">
        <f>'COEFIC 2023'!I89</f>
        <v>1.6749332364115408</v>
      </c>
      <c r="D96" s="633">
        <f t="shared" si="9"/>
        <v>712767.31517080148</v>
      </c>
      <c r="E96" s="634">
        <f>'COEFIC 2023'!P89</f>
        <v>1.3119994634053675</v>
      </c>
      <c r="F96" s="635">
        <f t="shared" si="10"/>
        <v>558320.96152112191</v>
      </c>
      <c r="G96" s="653">
        <f>FPART!J97</f>
        <v>1.1724975552384336</v>
      </c>
      <c r="H96" s="637">
        <f t="shared" si="11"/>
        <v>110879.10402421771</v>
      </c>
      <c r="I96" s="638">
        <f t="shared" si="12"/>
        <v>1381967.3807161411</v>
      </c>
      <c r="M96" s="639"/>
      <c r="N96" s="640"/>
      <c r="O96" s="641"/>
    </row>
    <row r="97" spans="1:15" s="613" customFormat="1" x14ac:dyDescent="0.2">
      <c r="A97" s="631">
        <v>83</v>
      </c>
      <c r="B97" s="631" t="s">
        <v>153</v>
      </c>
      <c r="C97" s="632">
        <f>'COEFIC 2023'!I90</f>
        <v>0.70444482722749913</v>
      </c>
      <c r="D97" s="633">
        <f t="shared" si="9"/>
        <v>299776.27601720928</v>
      </c>
      <c r="E97" s="634">
        <f>'COEFIC 2023'!P90</f>
        <v>0.84846349141285227</v>
      </c>
      <c r="F97" s="635">
        <f t="shared" si="10"/>
        <v>361063.37354105187</v>
      </c>
      <c r="G97" s="653">
        <f>FPART!J98</f>
        <v>0.94850811469966656</v>
      </c>
      <c r="H97" s="637">
        <f t="shared" si="11"/>
        <v>89697.184823734773</v>
      </c>
      <c r="I97" s="638">
        <f t="shared" si="12"/>
        <v>750536.83438199596</v>
      </c>
      <c r="M97" s="639"/>
      <c r="N97" s="640"/>
      <c r="O97" s="641"/>
    </row>
    <row r="98" spans="1:15" s="613" customFormat="1" x14ac:dyDescent="0.2">
      <c r="A98" s="631">
        <v>84</v>
      </c>
      <c r="B98" s="631" t="s">
        <v>107</v>
      </c>
      <c r="C98" s="632">
        <f>'COEFIC 2023'!I91</f>
        <v>0.66786751981428749</v>
      </c>
      <c r="D98" s="633">
        <f t="shared" si="9"/>
        <v>284210.81428158336</v>
      </c>
      <c r="E98" s="634">
        <f>'COEFIC 2023'!P91</f>
        <v>0.50669760758141813</v>
      </c>
      <c r="F98" s="635">
        <f t="shared" si="10"/>
        <v>215625.00851260035</v>
      </c>
      <c r="G98" s="653">
        <f>FPART!J99</f>
        <v>1.1889212876884179</v>
      </c>
      <c r="H98" s="637">
        <f t="shared" si="11"/>
        <v>112432.24051533594</v>
      </c>
      <c r="I98" s="638">
        <f t="shared" si="12"/>
        <v>612268.06330951967</v>
      </c>
      <c r="M98" s="639"/>
      <c r="N98" s="640"/>
      <c r="O98" s="641"/>
    </row>
    <row r="99" spans="1:15" s="613" customFormat="1" x14ac:dyDescent="0.2">
      <c r="A99" s="631">
        <v>85</v>
      </c>
      <c r="B99" s="631" t="s">
        <v>124</v>
      </c>
      <c r="C99" s="632">
        <f>'COEFIC 2023'!I92</f>
        <v>0.74241194597592763</v>
      </c>
      <c r="D99" s="633">
        <f t="shared" si="9"/>
        <v>315933.17153208173</v>
      </c>
      <c r="E99" s="634">
        <f>'COEFIC 2023'!P92</f>
        <v>0.66451015921013734</v>
      </c>
      <c r="F99" s="635">
        <f t="shared" si="10"/>
        <v>282782.09052599821</v>
      </c>
      <c r="G99" s="653">
        <f>FPART!J100</f>
        <v>1.1033537639277704</v>
      </c>
      <c r="H99" s="637">
        <f t="shared" si="11"/>
        <v>104340.41096246135</v>
      </c>
      <c r="I99" s="638">
        <f t="shared" si="12"/>
        <v>703055.67302054132</v>
      </c>
      <c r="M99" s="639"/>
      <c r="N99" s="640"/>
      <c r="O99" s="641"/>
    </row>
    <row r="100" spans="1:15" s="613" customFormat="1" x14ac:dyDescent="0.2">
      <c r="A100" s="631">
        <v>86</v>
      </c>
      <c r="B100" s="631" t="s">
        <v>129</v>
      </c>
      <c r="C100" s="632">
        <f>'COEFIC 2023'!I93</f>
        <v>0.32711104971607841</v>
      </c>
      <c r="D100" s="633">
        <f t="shared" si="9"/>
        <v>139202.00495176303</v>
      </c>
      <c r="E100" s="634">
        <f>'COEFIC 2023'!P93</f>
        <v>0.39136182539384073</v>
      </c>
      <c r="F100" s="635">
        <f t="shared" si="10"/>
        <v>166543.9024566423</v>
      </c>
      <c r="G100" s="653">
        <f>FPART!J101</f>
        <v>0.9519731967183146</v>
      </c>
      <c r="H100" s="637">
        <f t="shared" si="11"/>
        <v>90024.865839257225</v>
      </c>
      <c r="I100" s="638">
        <f t="shared" si="12"/>
        <v>395770.77324766258</v>
      </c>
      <c r="M100" s="639"/>
      <c r="N100" s="640"/>
      <c r="O100" s="641"/>
    </row>
    <row r="101" spans="1:15" s="613" customFormat="1" x14ac:dyDescent="0.2">
      <c r="A101" s="631">
        <v>87</v>
      </c>
      <c r="B101" s="631" t="s">
        <v>350</v>
      </c>
      <c r="C101" s="632">
        <f>'COEFIC 2023'!I94</f>
        <v>0.32826922582875923</v>
      </c>
      <c r="D101" s="633">
        <f t="shared" si="9"/>
        <v>139694.86643446848</v>
      </c>
      <c r="E101" s="634">
        <f>'COEFIC 2023'!P94</f>
        <v>0.36366268944449609</v>
      </c>
      <c r="F101" s="635">
        <f t="shared" si="10"/>
        <v>154756.54381214859</v>
      </c>
      <c r="G101" s="653">
        <f>FPART!J102</f>
        <v>0.9919886218149192</v>
      </c>
      <c r="H101" s="637">
        <f t="shared" si="11"/>
        <v>93808.98842615461</v>
      </c>
      <c r="I101" s="638">
        <f t="shared" si="12"/>
        <v>388260.39867277164</v>
      </c>
      <c r="M101" s="639"/>
      <c r="N101" s="640"/>
      <c r="O101" s="641"/>
    </row>
    <row r="102" spans="1:15" s="613" customFormat="1" x14ac:dyDescent="0.2">
      <c r="A102" s="631">
        <v>88</v>
      </c>
      <c r="B102" s="631" t="s">
        <v>99</v>
      </c>
      <c r="C102" s="632">
        <f>'COEFIC 2023'!I95</f>
        <v>2.411385839844038</v>
      </c>
      <c r="D102" s="633">
        <f t="shared" si="9"/>
        <v>1026164.4903464168</v>
      </c>
      <c r="E102" s="634">
        <f>'COEFIC 2023'!P95</f>
        <v>1.5072208482992138</v>
      </c>
      <c r="F102" s="635">
        <f t="shared" si="10"/>
        <v>641397.36083649332</v>
      </c>
      <c r="G102" s="653">
        <f>FPART!J103</f>
        <v>1.2866929269784904</v>
      </c>
      <c r="H102" s="637">
        <f t="shared" si="11"/>
        <v>121678.17174566392</v>
      </c>
      <c r="I102" s="638">
        <f t="shared" si="12"/>
        <v>1789240.0229285741</v>
      </c>
      <c r="M102" s="639"/>
      <c r="N102" s="640"/>
      <c r="O102" s="641"/>
    </row>
    <row r="103" spans="1:15" s="613" customFormat="1" x14ac:dyDescent="0.2">
      <c r="A103" s="631">
        <v>89</v>
      </c>
      <c r="B103" s="631" t="s">
        <v>55</v>
      </c>
      <c r="C103" s="632">
        <f>'COEFIC 2023'!I96</f>
        <v>0.50694421339415929</v>
      </c>
      <c r="D103" s="633">
        <f t="shared" si="9"/>
        <v>215729.95153912337</v>
      </c>
      <c r="E103" s="634">
        <f>'COEFIC 2023'!P96</f>
        <v>0.8277868069583757</v>
      </c>
      <c r="F103" s="635">
        <f t="shared" si="10"/>
        <v>352264.41693498089</v>
      </c>
      <c r="G103" s="653">
        <f>FPART!J104</f>
        <v>0.79415687293111992</v>
      </c>
      <c r="H103" s="637">
        <f t="shared" si="11"/>
        <v>75100.713116088809</v>
      </c>
      <c r="I103" s="638">
        <f t="shared" si="12"/>
        <v>643095.08159019297</v>
      </c>
      <c r="M103" s="639"/>
      <c r="N103" s="640"/>
      <c r="O103" s="641"/>
    </row>
    <row r="104" spans="1:15" s="613" customFormat="1" x14ac:dyDescent="0.2">
      <c r="A104" s="631">
        <v>90</v>
      </c>
      <c r="B104" s="631" t="s">
        <v>147</v>
      </c>
      <c r="C104" s="632">
        <f>'COEFIC 2023'!I97</f>
        <v>0.34376772799117933</v>
      </c>
      <c r="D104" s="633">
        <f t="shared" si="9"/>
        <v>146290.24918485462</v>
      </c>
      <c r="E104" s="634">
        <f>'COEFIC 2023'!P97</f>
        <v>0.35072713773174047</v>
      </c>
      <c r="F104" s="635">
        <f t="shared" si="10"/>
        <v>149251.82382443891</v>
      </c>
      <c r="G104" s="653">
        <f>FPART!J105</f>
        <v>1.0349895076901878</v>
      </c>
      <c r="H104" s="637">
        <f t="shared" si="11"/>
        <v>97875.435879964309</v>
      </c>
      <c r="I104" s="638">
        <f t="shared" si="12"/>
        <v>393417.50888925785</v>
      </c>
      <c r="M104" s="639"/>
      <c r="N104" s="640"/>
      <c r="O104" s="641"/>
    </row>
    <row r="105" spans="1:15" s="613" customFormat="1" x14ac:dyDescent="0.2">
      <c r="A105" s="631">
        <v>91</v>
      </c>
      <c r="B105" s="631" t="s">
        <v>351</v>
      </c>
      <c r="C105" s="632">
        <f>'COEFIC 2023'!I98</f>
        <v>0.31447640121410547</v>
      </c>
      <c r="D105" s="633">
        <f t="shared" si="9"/>
        <v>133825.33423133957</v>
      </c>
      <c r="E105" s="634">
        <f>'COEFIC 2023'!P98</f>
        <v>0.3913826442102713</v>
      </c>
      <c r="F105" s="635">
        <f t="shared" si="10"/>
        <v>166552.76189746641</v>
      </c>
      <c r="G105" s="653">
        <f>FPART!J106</f>
        <v>0.93155812720200115</v>
      </c>
      <c r="H105" s="637">
        <f t="shared" si="11"/>
        <v>88094.282183498013</v>
      </c>
      <c r="I105" s="638">
        <f t="shared" si="12"/>
        <v>388472.37831230403</v>
      </c>
      <c r="M105" s="639"/>
      <c r="N105" s="640"/>
      <c r="O105" s="641"/>
    </row>
    <row r="106" spans="1:15" s="613" customFormat="1" x14ac:dyDescent="0.2">
      <c r="A106" s="631">
        <v>92</v>
      </c>
      <c r="B106" s="631" t="s">
        <v>352</v>
      </c>
      <c r="C106" s="632">
        <f>'COEFIC 2023'!I99</f>
        <v>0.27029724695220692</v>
      </c>
      <c r="D106" s="633">
        <f t="shared" si="9"/>
        <v>115024.90894559227</v>
      </c>
      <c r="E106" s="634">
        <f>'COEFIC 2023'!P99</f>
        <v>1.386545035984039</v>
      </c>
      <c r="F106" s="635">
        <f t="shared" si="10"/>
        <v>590043.80662902957</v>
      </c>
      <c r="G106" s="653">
        <f>FPART!J107</f>
        <v>0.34111462177289331</v>
      </c>
      <c r="H106" s="637">
        <f t="shared" si="11"/>
        <v>32258.049036227556</v>
      </c>
      <c r="I106" s="638">
        <f t="shared" si="12"/>
        <v>737326.76461084932</v>
      </c>
      <c r="M106" s="639"/>
      <c r="N106" s="640"/>
      <c r="O106" s="641"/>
    </row>
    <row r="107" spans="1:15" s="613" customFormat="1" x14ac:dyDescent="0.2">
      <c r="A107" s="631">
        <v>93</v>
      </c>
      <c r="B107" s="631" t="s">
        <v>353</v>
      </c>
      <c r="C107" s="632">
        <f>'COEFIC 2023'!I100</f>
        <v>0.60132503770389689</v>
      </c>
      <c r="D107" s="633">
        <f t="shared" si="9"/>
        <v>255893.68182068656</v>
      </c>
      <c r="E107" s="634">
        <f>'COEFIC 2023'!P100</f>
        <v>0.65567373347769853</v>
      </c>
      <c r="F107" s="635">
        <f t="shared" si="10"/>
        <v>279021.75231782557</v>
      </c>
      <c r="G107" s="653">
        <f>FPART!J108</f>
        <v>1.0002632586827527</v>
      </c>
      <c r="H107" s="637">
        <f t="shared" si="11"/>
        <v>94591.492677811286</v>
      </c>
      <c r="I107" s="638">
        <f t="shared" si="12"/>
        <v>629506.92681632342</v>
      </c>
      <c r="M107" s="639"/>
      <c r="N107" s="640"/>
      <c r="O107" s="641"/>
    </row>
    <row r="108" spans="1:15" s="613" customFormat="1" x14ac:dyDescent="0.2">
      <c r="A108" s="631">
        <v>94</v>
      </c>
      <c r="B108" s="631" t="s">
        <v>354</v>
      </c>
      <c r="C108" s="632">
        <f>'COEFIC 2023'!I101</f>
        <v>0.13519073897111003</v>
      </c>
      <c r="D108" s="633">
        <f t="shared" si="9"/>
        <v>57530.376708530872</v>
      </c>
      <c r="E108" s="634">
        <f>'COEFIC 2023'!P101</f>
        <v>0.28459801121905781</v>
      </c>
      <c r="F108" s="635">
        <f t="shared" si="10"/>
        <v>121110.59470893175</v>
      </c>
      <c r="G108" s="653">
        <f>FPART!J109</f>
        <v>0.67337351189936723</v>
      </c>
      <c r="H108" s="637">
        <f t="shared" si="11"/>
        <v>63678.641664936869</v>
      </c>
      <c r="I108" s="638">
        <f t="shared" si="12"/>
        <v>242319.6130823995</v>
      </c>
      <c r="M108" s="639"/>
      <c r="N108" s="640"/>
      <c r="O108" s="641"/>
    </row>
    <row r="109" spans="1:15" s="613" customFormat="1" x14ac:dyDescent="0.2">
      <c r="A109" s="631">
        <v>95</v>
      </c>
      <c r="B109" s="631" t="s">
        <v>100</v>
      </c>
      <c r="C109" s="632">
        <f>'COEFIC 2023'!I102</f>
        <v>0.25953673797802668</v>
      </c>
      <c r="D109" s="633">
        <f t="shared" si="9"/>
        <v>110445.77771536495</v>
      </c>
      <c r="E109" s="634">
        <f>'COEFIC 2023'!P102</f>
        <v>0.50154876438978779</v>
      </c>
      <c r="F109" s="635">
        <f t="shared" si="10"/>
        <v>213433.91990193044</v>
      </c>
      <c r="G109" s="653">
        <f>FPART!J110</f>
        <v>0.7130258503350696</v>
      </c>
      <c r="H109" s="637">
        <f t="shared" si="11"/>
        <v>67428.428381824007</v>
      </c>
      <c r="I109" s="638">
        <f t="shared" si="12"/>
        <v>391308.12599911937</v>
      </c>
      <c r="M109" s="639"/>
      <c r="N109" s="640"/>
      <c r="O109" s="641"/>
    </row>
    <row r="110" spans="1:15" s="613" customFormat="1" x14ac:dyDescent="0.2">
      <c r="A110" s="631">
        <v>96</v>
      </c>
      <c r="B110" s="631" t="s">
        <v>78</v>
      </c>
      <c r="C110" s="632">
        <f>'COEFIC 2023'!I103</f>
        <v>0.12573581034213366</v>
      </c>
      <c r="D110" s="633">
        <f t="shared" si="9"/>
        <v>53506.834786080675</v>
      </c>
      <c r="E110" s="634">
        <f>'COEFIC 2023'!P103</f>
        <v>1.3013400949509077</v>
      </c>
      <c r="F110" s="635">
        <f t="shared" si="10"/>
        <v>553784.87060744513</v>
      </c>
      <c r="G110" s="653">
        <f>FPART!J111</f>
        <v>0.18422636972178577</v>
      </c>
      <c r="H110" s="637">
        <f t="shared" si="11"/>
        <v>17421.660899098391</v>
      </c>
      <c r="I110" s="638">
        <f t="shared" si="12"/>
        <v>624713.36629262415</v>
      </c>
      <c r="M110" s="639"/>
      <c r="N110" s="640"/>
      <c r="O110" s="641"/>
    </row>
    <row r="111" spans="1:15" s="613" customFormat="1" x14ac:dyDescent="0.2">
      <c r="A111" s="631">
        <v>97</v>
      </c>
      <c r="B111" s="631" t="s">
        <v>130</v>
      </c>
      <c r="C111" s="632">
        <f>'COEFIC 2023'!I104</f>
        <v>0.61185391145554102</v>
      </c>
      <c r="D111" s="633">
        <f t="shared" ref="D111:D127" si="13">$F$8*C111%</f>
        <v>260374.24075437279</v>
      </c>
      <c r="E111" s="634">
        <f>'COEFIC 2023'!P104</f>
        <v>1.6393849867608183</v>
      </c>
      <c r="F111" s="635">
        <f t="shared" ref="F111:F127" si="14">$F$9*E111%</f>
        <v>697639.76864431938</v>
      </c>
      <c r="G111" s="653">
        <f>FPART!J112</f>
        <v>0.56828479898068007</v>
      </c>
      <c r="H111" s="637">
        <f t="shared" ref="H111:H127" si="15">$F$10*G111%</f>
        <v>53740.759680088944</v>
      </c>
      <c r="I111" s="638">
        <f t="shared" ref="I111:I127" si="16">D111+F111+H111</f>
        <v>1011754.7690787811</v>
      </c>
      <c r="M111" s="639"/>
      <c r="N111" s="640"/>
      <c r="O111" s="641"/>
    </row>
    <row r="112" spans="1:15" s="613" customFormat="1" x14ac:dyDescent="0.2">
      <c r="A112" s="631">
        <v>98</v>
      </c>
      <c r="B112" s="631" t="s">
        <v>355</v>
      </c>
      <c r="C112" s="632">
        <f>'COEFIC 2023'!I105</f>
        <v>0.54238440244219333</v>
      </c>
      <c r="D112" s="633">
        <f t="shared" si="13"/>
        <v>230811.51290991117</v>
      </c>
      <c r="E112" s="634">
        <f>'COEFIC 2023'!P105</f>
        <v>0.65675616703162876</v>
      </c>
      <c r="F112" s="635">
        <f t="shared" si="14"/>
        <v>279482.38157833181</v>
      </c>
      <c r="G112" s="653">
        <f>FPART!J113</f>
        <v>0.94575136814049388</v>
      </c>
      <c r="H112" s="637">
        <f t="shared" si="15"/>
        <v>89436.488682291005</v>
      </c>
      <c r="I112" s="638">
        <f t="shared" si="16"/>
        <v>599730.38317053393</v>
      </c>
      <c r="M112" s="639"/>
      <c r="N112" s="640"/>
      <c r="O112" s="641"/>
    </row>
    <row r="113" spans="1:15" s="613" customFormat="1" x14ac:dyDescent="0.2">
      <c r="A113" s="631">
        <v>99</v>
      </c>
      <c r="B113" s="631" t="s">
        <v>139</v>
      </c>
      <c r="C113" s="632">
        <f>'COEFIC 2023'!I106</f>
        <v>0.30173646397461618</v>
      </c>
      <c r="D113" s="633">
        <f t="shared" si="13"/>
        <v>128403.85792157927</v>
      </c>
      <c r="E113" s="634">
        <f>'COEFIC 2023'!P106</f>
        <v>1.0151448119377655</v>
      </c>
      <c r="F113" s="635">
        <f t="shared" si="14"/>
        <v>431994.55738584796</v>
      </c>
      <c r="G113" s="653">
        <f>FPART!J114</f>
        <v>0.47909435811536139</v>
      </c>
      <c r="H113" s="637">
        <f t="shared" si="15"/>
        <v>45306.323184687935</v>
      </c>
      <c r="I113" s="638">
        <f t="shared" si="16"/>
        <v>605704.73849211517</v>
      </c>
      <c r="M113" s="639"/>
      <c r="N113" s="640"/>
      <c r="O113" s="641"/>
    </row>
    <row r="114" spans="1:15" s="613" customFormat="1" x14ac:dyDescent="0.2">
      <c r="A114" s="631">
        <v>100</v>
      </c>
      <c r="B114" s="631" t="s">
        <v>125</v>
      </c>
      <c r="C114" s="632">
        <f>'COEFIC 2023'!I107</f>
        <v>0.31399207302152987</v>
      </c>
      <c r="D114" s="633">
        <f t="shared" si="13"/>
        <v>133619.22852039002</v>
      </c>
      <c r="E114" s="634">
        <f>'COEFIC 2023'!P107</f>
        <v>0.41005540499195375</v>
      </c>
      <c r="F114" s="635">
        <f t="shared" si="14"/>
        <v>174498.94941100632</v>
      </c>
      <c r="G114" s="653">
        <f>FPART!J115</f>
        <v>0.90675826255322967</v>
      </c>
      <c r="H114" s="637">
        <f t="shared" si="15"/>
        <v>85749.043372643122</v>
      </c>
      <c r="I114" s="638">
        <f t="shared" si="16"/>
        <v>393867.22130403947</v>
      </c>
      <c r="M114" s="639"/>
      <c r="N114" s="640"/>
      <c r="O114" s="641"/>
    </row>
    <row r="115" spans="1:15" s="613" customFormat="1" x14ac:dyDescent="0.2">
      <c r="A115" s="631">
        <v>101</v>
      </c>
      <c r="B115" s="631" t="s">
        <v>66</v>
      </c>
      <c r="C115" s="632">
        <f>'COEFIC 2023'!I108</f>
        <v>0.18646635414161672</v>
      </c>
      <c r="D115" s="633">
        <f t="shared" si="13"/>
        <v>79350.698715582694</v>
      </c>
      <c r="E115" s="634">
        <f>'COEFIC 2023'!P108</f>
        <v>1.1972559825788365</v>
      </c>
      <c r="F115" s="635">
        <f t="shared" si="14"/>
        <v>509491.90912420378</v>
      </c>
      <c r="G115" s="653">
        <f>FPART!J116</f>
        <v>0.28176783207365719</v>
      </c>
      <c r="H115" s="637">
        <f t="shared" si="15"/>
        <v>26645.825079626782</v>
      </c>
      <c r="I115" s="638">
        <f t="shared" si="16"/>
        <v>615488.4329194132</v>
      </c>
      <c r="M115" s="639"/>
      <c r="N115" s="640"/>
      <c r="O115" s="641"/>
    </row>
    <row r="116" spans="1:15" s="613" customFormat="1" x14ac:dyDescent="0.2">
      <c r="A116" s="631">
        <v>102</v>
      </c>
      <c r="B116" s="631" t="s">
        <v>117</v>
      </c>
      <c r="C116" s="632">
        <f>'COEFIC 2023'!I109</f>
        <v>7.5131095007081719</v>
      </c>
      <c r="D116" s="633">
        <f t="shared" si="13"/>
        <v>3197201.3994283327</v>
      </c>
      <c r="E116" s="634">
        <f>'COEFIC 2023'!P109</f>
        <v>3.2046435796815618</v>
      </c>
      <c r="F116" s="635">
        <f t="shared" si="14"/>
        <v>1363735.0735619057</v>
      </c>
      <c r="G116" s="653">
        <f>FPART!J117</f>
        <v>1.4657363346795347</v>
      </c>
      <c r="H116" s="637">
        <f t="shared" si="15"/>
        <v>138609.69756304397</v>
      </c>
      <c r="I116" s="638">
        <f t="shared" si="16"/>
        <v>4699546.1705532819</v>
      </c>
      <c r="M116" s="639"/>
      <c r="N116" s="640"/>
      <c r="O116" s="641"/>
    </row>
    <row r="117" spans="1:15" s="613" customFormat="1" x14ac:dyDescent="0.2">
      <c r="A117" s="631">
        <v>103</v>
      </c>
      <c r="B117" s="631" t="s">
        <v>356</v>
      </c>
      <c r="C117" s="632">
        <f>'COEFIC 2023'!I110</f>
        <v>0.49420427615467</v>
      </c>
      <c r="D117" s="633">
        <f t="shared" si="13"/>
        <v>210308.47522936307</v>
      </c>
      <c r="E117" s="634">
        <f>'COEFIC 2023'!P110</f>
        <v>0.56434491249142493</v>
      </c>
      <c r="F117" s="635">
        <f t="shared" si="14"/>
        <v>240156.80109650624</v>
      </c>
      <c r="G117" s="653">
        <f>FPART!J118</f>
        <v>0.97619221060691552</v>
      </c>
      <c r="H117" s="637">
        <f t="shared" si="15"/>
        <v>92315.175570241743</v>
      </c>
      <c r="I117" s="638">
        <f t="shared" si="16"/>
        <v>542780.45189611102</v>
      </c>
      <c r="M117" s="639"/>
      <c r="N117" s="640"/>
      <c r="O117" s="641"/>
    </row>
    <row r="118" spans="1:15" s="613" customFormat="1" x14ac:dyDescent="0.2">
      <c r="A118" s="631">
        <v>104</v>
      </c>
      <c r="B118" s="631" t="s">
        <v>109</v>
      </c>
      <c r="C118" s="632">
        <f>'COEFIC 2023'!I111</f>
        <v>0.33406010639216349</v>
      </c>
      <c r="D118" s="633">
        <f t="shared" si="13"/>
        <v>142159.17384799593</v>
      </c>
      <c r="E118" s="634">
        <f>'COEFIC 2023'!P111</f>
        <v>0.47064902069414494</v>
      </c>
      <c r="F118" s="635">
        <f t="shared" si="14"/>
        <v>200284.5436315095</v>
      </c>
      <c r="G118" s="653">
        <f>FPART!J119</f>
        <v>0.86801168304157472</v>
      </c>
      <c r="H118" s="637">
        <f t="shared" si="15"/>
        <v>82084.911195086665</v>
      </c>
      <c r="I118" s="638">
        <f t="shared" si="16"/>
        <v>424528.62867459212</v>
      </c>
      <c r="M118" s="639"/>
      <c r="N118" s="640"/>
      <c r="O118" s="641"/>
    </row>
    <row r="119" spans="1:15" s="613" customFormat="1" x14ac:dyDescent="0.2">
      <c r="A119" s="631">
        <v>105</v>
      </c>
      <c r="B119" s="631" t="s">
        <v>150</v>
      </c>
      <c r="C119" s="632">
        <f>'COEFIC 2023'!I112</f>
        <v>0.44183365811399233</v>
      </c>
      <c r="D119" s="633">
        <f t="shared" si="13"/>
        <v>188022.17509320794</v>
      </c>
      <c r="E119" s="634">
        <f>'COEFIC 2023'!P112</f>
        <v>0.4853513770445434</v>
      </c>
      <c r="F119" s="635">
        <f t="shared" si="14"/>
        <v>206541.12678046501</v>
      </c>
      <c r="G119" s="653">
        <f>FPART!J120</f>
        <v>0.99639666628438228</v>
      </c>
      <c r="H119" s="637">
        <f t="shared" si="15"/>
        <v>94225.842191938005</v>
      </c>
      <c r="I119" s="638">
        <f t="shared" si="16"/>
        <v>488789.14406561101</v>
      </c>
      <c r="M119" s="639"/>
      <c r="N119" s="640"/>
      <c r="O119" s="641"/>
    </row>
    <row r="120" spans="1:15" s="613" customFormat="1" x14ac:dyDescent="0.2">
      <c r="A120" s="631">
        <v>106</v>
      </c>
      <c r="B120" s="631" t="s">
        <v>357</v>
      </c>
      <c r="C120" s="632">
        <f>'COEFIC 2023'!I113</f>
        <v>0.68022841759871766</v>
      </c>
      <c r="D120" s="633">
        <f t="shared" si="13"/>
        <v>289470.99046973098</v>
      </c>
      <c r="E120" s="634">
        <f>'COEFIC 2023'!P113</f>
        <v>0.6649816513046064</v>
      </c>
      <c r="F120" s="635">
        <f t="shared" si="14"/>
        <v>282982.73383941106</v>
      </c>
      <c r="G120" s="653">
        <f>FPART!J121</f>
        <v>1.0573153678859981</v>
      </c>
      <c r="H120" s="637">
        <f t="shared" si="15"/>
        <v>99986.716508244994</v>
      </c>
      <c r="I120" s="638">
        <f t="shared" si="16"/>
        <v>672440.44081738696</v>
      </c>
      <c r="M120" s="639"/>
      <c r="N120" s="640"/>
      <c r="O120" s="641"/>
    </row>
    <row r="121" spans="1:15" s="613" customFormat="1" x14ac:dyDescent="0.2">
      <c r="A121" s="631">
        <v>107</v>
      </c>
      <c r="B121" s="631" t="s">
        <v>358</v>
      </c>
      <c r="C121" s="632">
        <f>'COEFIC 2023'!I114</f>
        <v>1.6178456829301266</v>
      </c>
      <c r="D121" s="633">
        <f t="shared" si="13"/>
        <v>688473.72463235504</v>
      </c>
      <c r="E121" s="634">
        <f>'COEFIC 2023'!P114</f>
        <v>1.0775803879663932</v>
      </c>
      <c r="F121" s="635">
        <f t="shared" si="14"/>
        <v>458563.99724746938</v>
      </c>
      <c r="G121" s="653">
        <f>FPART!J122</f>
        <v>1.2550168374600785</v>
      </c>
      <c r="H121" s="637">
        <f t="shared" si="15"/>
        <v>118682.67174730512</v>
      </c>
      <c r="I121" s="638">
        <f t="shared" si="16"/>
        <v>1265720.3936271297</v>
      </c>
      <c r="M121" s="639"/>
      <c r="N121" s="640"/>
      <c r="O121" s="641"/>
    </row>
    <row r="122" spans="1:15" s="613" customFormat="1" x14ac:dyDescent="0.2">
      <c r="A122" s="631">
        <v>108</v>
      </c>
      <c r="B122" s="631" t="s">
        <v>149</v>
      </c>
      <c r="C122" s="632">
        <f>'COEFIC 2023'!I115</f>
        <v>4.313890153523614</v>
      </c>
      <c r="D122" s="633">
        <f t="shared" si="13"/>
        <v>1835774.6063099122</v>
      </c>
      <c r="E122" s="634">
        <f>'COEFIC 2023'!P115</f>
        <v>2.6970472672578447</v>
      </c>
      <c r="F122" s="635">
        <f t="shared" si="14"/>
        <v>1147727.6214846</v>
      </c>
      <c r="G122" s="653">
        <f>FPART!J123</f>
        <v>1.2865683823402381</v>
      </c>
      <c r="H122" s="637">
        <f t="shared" si="15"/>
        <v>121666.39398302489</v>
      </c>
      <c r="I122" s="638">
        <f t="shared" si="16"/>
        <v>3105168.6217775373</v>
      </c>
      <c r="M122" s="639"/>
      <c r="N122" s="640"/>
      <c r="O122" s="641"/>
    </row>
    <row r="123" spans="1:15" s="613" customFormat="1" x14ac:dyDescent="0.2">
      <c r="A123" s="631">
        <v>109</v>
      </c>
      <c r="B123" s="631" t="s">
        <v>50</v>
      </c>
      <c r="C123" s="632">
        <f>'COEFIC 2023'!I116</f>
        <v>6.8058639930627357E-2</v>
      </c>
      <c r="D123" s="633">
        <f t="shared" si="13"/>
        <v>28962.33294734763</v>
      </c>
      <c r="E123" s="634">
        <f>'COEFIC 2023'!P116</f>
        <v>0.2211655189413736</v>
      </c>
      <c r="F123" s="635">
        <f t="shared" si="14"/>
        <v>94116.917449160319</v>
      </c>
      <c r="G123" s="653">
        <f>FPART!J124</f>
        <v>0.49202659964457895</v>
      </c>
      <c r="H123" s="637">
        <f t="shared" si="15"/>
        <v>46529.281260274569</v>
      </c>
      <c r="I123" s="638">
        <f t="shared" si="16"/>
        <v>169608.53165678252</v>
      </c>
      <c r="M123" s="639"/>
      <c r="N123" s="640"/>
      <c r="O123" s="641"/>
    </row>
    <row r="124" spans="1:15" s="613" customFormat="1" x14ac:dyDescent="0.2">
      <c r="A124" s="631">
        <v>110</v>
      </c>
      <c r="B124" s="631" t="s">
        <v>111</v>
      </c>
      <c r="C124" s="632">
        <f>'COEFIC 2023'!I117</f>
        <v>1.0319349163986367</v>
      </c>
      <c r="D124" s="633">
        <f t="shared" si="13"/>
        <v>439139.58109058498</v>
      </c>
      <c r="E124" s="634">
        <f>'COEFIC 2023'!P117</f>
        <v>0.93707100970791035</v>
      </c>
      <c r="F124" s="635">
        <f t="shared" si="14"/>
        <v>398770.27525280369</v>
      </c>
      <c r="G124" s="653">
        <f>FPART!J125</f>
        <v>1.0958349989493676</v>
      </c>
      <c r="H124" s="637">
        <f t="shared" si="15"/>
        <v>103629.38694330728</v>
      </c>
      <c r="I124" s="638">
        <f t="shared" si="16"/>
        <v>941539.24328669591</v>
      </c>
      <c r="M124" s="639"/>
      <c r="N124" s="640"/>
      <c r="O124" s="641"/>
    </row>
    <row r="125" spans="1:15" s="613" customFormat="1" x14ac:dyDescent="0.2">
      <c r="A125" s="631">
        <v>111</v>
      </c>
      <c r="B125" s="631" t="s">
        <v>140</v>
      </c>
      <c r="C125" s="632">
        <f>'COEFIC 2023'!I118</f>
        <v>0.38750466955550888</v>
      </c>
      <c r="D125" s="633">
        <f t="shared" si="13"/>
        <v>164902.49099538711</v>
      </c>
      <c r="E125" s="634">
        <f>'COEFIC 2023'!P118</f>
        <v>0.45366995431345297</v>
      </c>
      <c r="F125" s="635">
        <f t="shared" si="14"/>
        <v>193059.10724086218</v>
      </c>
      <c r="G125" s="653">
        <f>FPART!J126</f>
        <v>0.96323146383146219</v>
      </c>
      <c r="H125" s="637">
        <f t="shared" si="15"/>
        <v>91089.521850516248</v>
      </c>
      <c r="I125" s="638">
        <f t="shared" si="16"/>
        <v>449051.12008676556</v>
      </c>
      <c r="M125" s="639"/>
      <c r="N125" s="640"/>
      <c r="O125" s="641"/>
    </row>
    <row r="126" spans="1:15" s="613" customFormat="1" x14ac:dyDescent="0.2">
      <c r="A126" s="631">
        <v>112</v>
      </c>
      <c r="B126" s="631" t="s">
        <v>142</v>
      </c>
      <c r="C126" s="632">
        <f>'COEFIC 2023'!I119</f>
        <v>3.3072455918764265</v>
      </c>
      <c r="D126" s="633">
        <f t="shared" si="13"/>
        <v>1407397.3277780414</v>
      </c>
      <c r="E126" s="634">
        <f>'COEFIC 2023'!P119</f>
        <v>1.8287280295210968</v>
      </c>
      <c r="F126" s="635">
        <f t="shared" si="14"/>
        <v>778214.64130232087</v>
      </c>
      <c r="G126" s="653">
        <f>FPART!J127</f>
        <v>1.3464292708166699</v>
      </c>
      <c r="H126" s="637">
        <f t="shared" si="15"/>
        <v>127327.23451160974</v>
      </c>
      <c r="I126" s="638">
        <f t="shared" si="16"/>
        <v>2312939.2035919721</v>
      </c>
      <c r="M126" s="639"/>
      <c r="N126" s="640"/>
      <c r="O126" s="641"/>
    </row>
    <row r="127" spans="1:15" s="613" customFormat="1" x14ac:dyDescent="0.2">
      <c r="A127" s="631">
        <v>113</v>
      </c>
      <c r="B127" s="631" t="s">
        <v>101</v>
      </c>
      <c r="C127" s="632">
        <f>'COEFIC 2023'!I120</f>
        <v>0.55198673530369269</v>
      </c>
      <c r="D127" s="633">
        <f t="shared" si="13"/>
        <v>234897.78265743301</v>
      </c>
      <c r="E127" s="634">
        <f>'COEFIC 2023'!P120</f>
        <v>0.58979875485710986</v>
      </c>
      <c r="F127" s="635">
        <f t="shared" si="14"/>
        <v>250988.67575835236</v>
      </c>
      <c r="G127" s="653">
        <f>FPART!J128</f>
        <v>1.0108436899472564</v>
      </c>
      <c r="H127" s="637">
        <f t="shared" si="15"/>
        <v>95592.048059403896</v>
      </c>
      <c r="I127" s="638">
        <f t="shared" si="16"/>
        <v>581478.50647518924</v>
      </c>
      <c r="J127" s="643"/>
      <c r="K127" s="643"/>
      <c r="L127" s="643"/>
      <c r="M127" s="639"/>
      <c r="N127" s="640"/>
      <c r="O127" s="641"/>
    </row>
    <row r="128" spans="1:15" s="643" customFormat="1" ht="13.5" thickBot="1" x14ac:dyDescent="0.25">
      <c r="A128" s="644"/>
      <c r="B128" s="645" t="s">
        <v>156</v>
      </c>
      <c r="C128" s="654">
        <f t="shared" ref="C128:I128" si="17">SUM(C15:C127)</f>
        <v>100.00000000000004</v>
      </c>
      <c r="D128" s="647">
        <f t="shared" si="17"/>
        <v>42554968.739999995</v>
      </c>
      <c r="E128" s="654">
        <f t="shared" si="17"/>
        <v>99.999999999999915</v>
      </c>
      <c r="F128" s="647">
        <f t="shared" si="17"/>
        <v>42554968.73999998</v>
      </c>
      <c r="G128" s="663">
        <f t="shared" si="17"/>
        <v>100.00000000000006</v>
      </c>
      <c r="H128" s="647">
        <f t="shared" si="17"/>
        <v>9456659.7200000025</v>
      </c>
      <c r="I128" s="647">
        <f t="shared" si="17"/>
        <v>94566597.200000003</v>
      </c>
      <c r="M128" s="656"/>
      <c r="N128" s="657"/>
    </row>
    <row r="129" spans="1:10" s="613" customFormat="1" ht="13.5" thickTop="1" x14ac:dyDescent="0.2">
      <c r="D129" s="620"/>
      <c r="F129" s="620"/>
      <c r="H129" s="620"/>
      <c r="I129" s="620"/>
      <c r="J129" s="658"/>
    </row>
    <row r="130" spans="1:10" s="613" customFormat="1" x14ac:dyDescent="0.2">
      <c r="D130" s="620"/>
      <c r="E130" s="620"/>
      <c r="F130" s="620"/>
      <c r="G130" s="620"/>
      <c r="H130" s="620"/>
      <c r="I130" s="620"/>
    </row>
    <row r="131" spans="1:10" s="613" customFormat="1" x14ac:dyDescent="0.2">
      <c r="H131" s="620"/>
    </row>
    <row r="132" spans="1:10" s="613" customFormat="1" x14ac:dyDescent="0.2">
      <c r="D132" s="620"/>
    </row>
    <row r="133" spans="1:10" s="613" customFormat="1" x14ac:dyDescent="0.2"/>
    <row r="134" spans="1:10" s="613" customFormat="1" x14ac:dyDescent="0.2">
      <c r="C134" s="648" t="s">
        <v>7</v>
      </c>
      <c r="D134" s="648"/>
      <c r="I134" s="621"/>
    </row>
    <row r="135" spans="1:10" s="613" customFormat="1" x14ac:dyDescent="0.2">
      <c r="A135" s="613" t="s">
        <v>7</v>
      </c>
      <c r="B135" s="613" t="s">
        <v>7</v>
      </c>
      <c r="I135" s="621"/>
    </row>
    <row r="136" spans="1:10" s="613" customFormat="1" x14ac:dyDescent="0.2">
      <c r="A136" s="613" t="s">
        <v>7</v>
      </c>
      <c r="B136" s="613" t="s">
        <v>7</v>
      </c>
      <c r="I136" s="621"/>
    </row>
    <row r="137" spans="1:10" s="613" customFormat="1" x14ac:dyDescent="0.2">
      <c r="I137" s="621"/>
    </row>
    <row r="138" spans="1:10" s="613" customFormat="1" x14ac:dyDescent="0.2">
      <c r="I138" s="621"/>
    </row>
    <row r="139" spans="1:10" s="613" customFormat="1" x14ac:dyDescent="0.2">
      <c r="I139" s="621"/>
    </row>
    <row r="140" spans="1:10" s="613" customFormat="1" x14ac:dyDescent="0.2">
      <c r="I140" s="621"/>
    </row>
    <row r="141" spans="1:10" s="613" customFormat="1" x14ac:dyDescent="0.2">
      <c r="I141" s="621"/>
    </row>
    <row r="142" spans="1:10" s="613" customFormat="1" x14ac:dyDescent="0.2">
      <c r="I142" s="621"/>
    </row>
    <row r="143" spans="1:10" s="613" customFormat="1" x14ac:dyDescent="0.2">
      <c r="I143" s="621"/>
    </row>
    <row r="144" spans="1:10" s="613" customFormat="1" x14ac:dyDescent="0.2">
      <c r="I144" s="621"/>
    </row>
    <row r="145" spans="9:9" s="613" customFormat="1" x14ac:dyDescent="0.2">
      <c r="I145" s="621"/>
    </row>
    <row r="146" spans="9:9" s="613" customFormat="1" x14ac:dyDescent="0.2">
      <c r="I146" s="621"/>
    </row>
    <row r="147" spans="9:9" s="613" customFormat="1" x14ac:dyDescent="0.2">
      <c r="I147" s="621"/>
    </row>
    <row r="148" spans="9:9" s="613" customFormat="1" x14ac:dyDescent="0.2">
      <c r="I148" s="621"/>
    </row>
    <row r="149" spans="9:9" s="613" customFormat="1" x14ac:dyDescent="0.2">
      <c r="I149" s="621"/>
    </row>
    <row r="150" spans="9:9" s="613" customFormat="1" x14ac:dyDescent="0.2">
      <c r="I150" s="621"/>
    </row>
    <row r="151" spans="9:9" s="613" customFormat="1" x14ac:dyDescent="0.2">
      <c r="I151" s="621"/>
    </row>
    <row r="152" spans="9:9" s="613" customFormat="1" x14ac:dyDescent="0.2">
      <c r="I152" s="621"/>
    </row>
    <row r="153" spans="9:9" s="613" customFormat="1" x14ac:dyDescent="0.2">
      <c r="I153" s="621"/>
    </row>
    <row r="154" spans="9:9" s="613" customFormat="1" x14ac:dyDescent="0.2">
      <c r="I154" s="621"/>
    </row>
    <row r="155" spans="9:9" s="613" customFormat="1" x14ac:dyDescent="0.2">
      <c r="I155" s="621"/>
    </row>
    <row r="156" spans="9:9" s="613" customFormat="1" x14ac:dyDescent="0.2">
      <c r="I156" s="621"/>
    </row>
    <row r="157" spans="9:9" s="613" customFormat="1" x14ac:dyDescent="0.2">
      <c r="I157" s="621"/>
    </row>
    <row r="158" spans="9:9" s="613" customFormat="1" x14ac:dyDescent="0.2">
      <c r="I158" s="621"/>
    </row>
    <row r="159" spans="9:9" s="613" customFormat="1" x14ac:dyDescent="0.2">
      <c r="I159" s="621"/>
    </row>
    <row r="160" spans="9:9" s="613" customFormat="1" x14ac:dyDescent="0.2">
      <c r="I160" s="621"/>
    </row>
    <row r="161" spans="9:9" s="613" customFormat="1" x14ac:dyDescent="0.2">
      <c r="I161" s="621"/>
    </row>
    <row r="162" spans="9:9" s="613" customFormat="1" x14ac:dyDescent="0.2">
      <c r="I162" s="621"/>
    </row>
    <row r="163" spans="9:9" s="613" customFormat="1" x14ac:dyDescent="0.2">
      <c r="I163" s="621"/>
    </row>
    <row r="164" spans="9:9" s="613" customFormat="1" x14ac:dyDescent="0.2">
      <c r="I164" s="621"/>
    </row>
    <row r="165" spans="9:9" s="613" customFormat="1" x14ac:dyDescent="0.2">
      <c r="I165" s="621"/>
    </row>
    <row r="166" spans="9:9" s="613" customFormat="1" x14ac:dyDescent="0.2">
      <c r="I166" s="621"/>
    </row>
    <row r="167" spans="9:9" s="613" customFormat="1" x14ac:dyDescent="0.2">
      <c r="I167" s="621"/>
    </row>
    <row r="168" spans="9:9" s="613" customFormat="1" x14ac:dyDescent="0.2">
      <c r="I168" s="621"/>
    </row>
    <row r="169" spans="9:9" s="613" customFormat="1" x14ac:dyDescent="0.2">
      <c r="I169" s="621"/>
    </row>
    <row r="170" spans="9:9" s="613" customFormat="1" x14ac:dyDescent="0.2">
      <c r="I170" s="621"/>
    </row>
    <row r="171" spans="9:9" s="613" customFormat="1" x14ac:dyDescent="0.2">
      <c r="I171" s="621"/>
    </row>
    <row r="172" spans="9:9" s="613" customFormat="1" x14ac:dyDescent="0.2">
      <c r="I172" s="621"/>
    </row>
    <row r="173" spans="9:9" s="613" customFormat="1" x14ac:dyDescent="0.2">
      <c r="I173" s="621"/>
    </row>
    <row r="174" spans="9:9" s="613" customFormat="1" x14ac:dyDescent="0.2">
      <c r="I174" s="621"/>
    </row>
    <row r="175" spans="9:9" s="613" customFormat="1" x14ac:dyDescent="0.2">
      <c r="I175" s="621"/>
    </row>
    <row r="176" spans="9:9" s="613" customFormat="1" x14ac:dyDescent="0.2">
      <c r="I176" s="621"/>
    </row>
    <row r="177" spans="9:9" s="613" customFormat="1" x14ac:dyDescent="0.2">
      <c r="I177" s="621"/>
    </row>
    <row r="178" spans="9:9" s="613" customFormat="1" x14ac:dyDescent="0.2">
      <c r="I178" s="621"/>
    </row>
    <row r="179" spans="9:9" s="613" customFormat="1" x14ac:dyDescent="0.2">
      <c r="I179" s="621"/>
    </row>
    <row r="180" spans="9:9" s="613" customFormat="1" x14ac:dyDescent="0.2">
      <c r="I180" s="621"/>
    </row>
    <row r="181" spans="9:9" s="613" customFormat="1" x14ac:dyDescent="0.2">
      <c r="I181" s="621"/>
    </row>
    <row r="182" spans="9:9" s="613" customFormat="1" x14ac:dyDescent="0.2">
      <c r="I182" s="621"/>
    </row>
    <row r="183" spans="9:9" s="613" customFormat="1" x14ac:dyDescent="0.2">
      <c r="I183" s="621"/>
    </row>
    <row r="184" spans="9:9" s="613" customFormat="1" x14ac:dyDescent="0.2">
      <c r="I184" s="621"/>
    </row>
    <row r="185" spans="9:9" s="613" customFormat="1" x14ac:dyDescent="0.2">
      <c r="I185" s="621"/>
    </row>
    <row r="186" spans="9:9" s="613" customFormat="1" x14ac:dyDescent="0.2">
      <c r="I186" s="621"/>
    </row>
    <row r="187" spans="9:9" s="613" customFormat="1" x14ac:dyDescent="0.2">
      <c r="I187" s="621"/>
    </row>
    <row r="188" spans="9:9" s="613" customFormat="1" x14ac:dyDescent="0.2">
      <c r="I188" s="621"/>
    </row>
    <row r="189" spans="9:9" s="613" customFormat="1" x14ac:dyDescent="0.2">
      <c r="I189" s="621"/>
    </row>
    <row r="190" spans="9:9" s="613" customFormat="1" x14ac:dyDescent="0.2">
      <c r="I190" s="621"/>
    </row>
    <row r="191" spans="9:9" s="613" customFormat="1" x14ac:dyDescent="0.2">
      <c r="I191" s="621"/>
    </row>
    <row r="192" spans="9:9" s="613" customFormat="1" x14ac:dyDescent="0.2">
      <c r="I192" s="621"/>
    </row>
    <row r="193" spans="9:9" s="613" customFormat="1" x14ac:dyDescent="0.2">
      <c r="I193" s="621"/>
    </row>
    <row r="194" spans="9:9" s="613" customFormat="1" x14ac:dyDescent="0.2">
      <c r="I194" s="621"/>
    </row>
    <row r="195" spans="9:9" s="613" customFormat="1" x14ac:dyDescent="0.2">
      <c r="I195" s="621"/>
    </row>
    <row r="196" spans="9:9" s="613" customFormat="1" x14ac:dyDescent="0.2">
      <c r="I196" s="621"/>
    </row>
    <row r="197" spans="9:9" s="613" customFormat="1" x14ac:dyDescent="0.2">
      <c r="I197" s="621"/>
    </row>
    <row r="198" spans="9:9" s="613" customFormat="1" x14ac:dyDescent="0.2">
      <c r="I198" s="621"/>
    </row>
    <row r="199" spans="9:9" s="613" customFormat="1" x14ac:dyDescent="0.2">
      <c r="I199" s="621"/>
    </row>
    <row r="200" spans="9:9" s="613" customFormat="1" x14ac:dyDescent="0.2">
      <c r="I200" s="621"/>
    </row>
    <row r="201" spans="9:9" s="613" customFormat="1" x14ac:dyDescent="0.2">
      <c r="I201" s="621"/>
    </row>
    <row r="202" spans="9:9" s="613" customFormat="1" x14ac:dyDescent="0.2">
      <c r="I202" s="621"/>
    </row>
    <row r="203" spans="9:9" s="613" customFormat="1" x14ac:dyDescent="0.2">
      <c r="I203" s="621"/>
    </row>
    <row r="204" spans="9:9" s="613" customFormat="1" x14ac:dyDescent="0.2">
      <c r="I204" s="621"/>
    </row>
    <row r="205" spans="9:9" s="613" customFormat="1" x14ac:dyDescent="0.2">
      <c r="I205" s="621"/>
    </row>
    <row r="206" spans="9:9" s="613" customFormat="1" x14ac:dyDescent="0.2">
      <c r="I206" s="621"/>
    </row>
    <row r="207" spans="9:9" s="613" customFormat="1" x14ac:dyDescent="0.2">
      <c r="I207" s="621"/>
    </row>
    <row r="208" spans="9:9" s="613" customFormat="1" x14ac:dyDescent="0.2">
      <c r="I208" s="621"/>
    </row>
    <row r="209" spans="9:9" s="613" customFormat="1" x14ac:dyDescent="0.2">
      <c r="I209" s="621"/>
    </row>
    <row r="210" spans="9:9" s="613" customFormat="1" x14ac:dyDescent="0.2">
      <c r="I210" s="621"/>
    </row>
    <row r="211" spans="9:9" s="613" customFormat="1" x14ac:dyDescent="0.2">
      <c r="I211" s="621"/>
    </row>
    <row r="212" spans="9:9" s="613" customFormat="1" x14ac:dyDescent="0.2">
      <c r="I212" s="621"/>
    </row>
    <row r="213" spans="9:9" s="613" customFormat="1" x14ac:dyDescent="0.2">
      <c r="I213" s="621"/>
    </row>
    <row r="214" spans="9:9" s="613" customFormat="1" x14ac:dyDescent="0.2">
      <c r="I214" s="621"/>
    </row>
    <row r="215" spans="9:9" s="613" customFormat="1" x14ac:dyDescent="0.2">
      <c r="I215" s="621"/>
    </row>
    <row r="216" spans="9:9" s="613" customFormat="1" x14ac:dyDescent="0.2">
      <c r="I216" s="621"/>
    </row>
    <row r="217" spans="9:9" s="613" customFormat="1" x14ac:dyDescent="0.2">
      <c r="I217" s="621"/>
    </row>
    <row r="218" spans="9:9" s="613" customFormat="1" x14ac:dyDescent="0.2">
      <c r="I218" s="621"/>
    </row>
    <row r="219" spans="9:9" s="613" customFormat="1" x14ac:dyDescent="0.2">
      <c r="I219" s="621"/>
    </row>
    <row r="220" spans="9:9" s="613" customFormat="1" x14ac:dyDescent="0.2">
      <c r="I220" s="621"/>
    </row>
    <row r="221" spans="9:9" s="613" customFormat="1" x14ac:dyDescent="0.2">
      <c r="I221" s="621"/>
    </row>
    <row r="222" spans="9:9" s="613" customFormat="1" x14ac:dyDescent="0.2">
      <c r="I222" s="621"/>
    </row>
    <row r="223" spans="9:9" s="613" customFormat="1" x14ac:dyDescent="0.2">
      <c r="I223" s="621"/>
    </row>
    <row r="224" spans="9:9" s="613" customFormat="1" x14ac:dyDescent="0.2">
      <c r="I224" s="621"/>
    </row>
    <row r="225" spans="9:9" s="613" customFormat="1" x14ac:dyDescent="0.2">
      <c r="I225" s="621"/>
    </row>
    <row r="226" spans="9:9" s="613" customFormat="1" x14ac:dyDescent="0.2">
      <c r="I226" s="621"/>
    </row>
    <row r="227" spans="9:9" s="613" customFormat="1" x14ac:dyDescent="0.2">
      <c r="I227" s="621"/>
    </row>
    <row r="228" spans="9:9" s="613" customFormat="1" x14ac:dyDescent="0.2">
      <c r="I228" s="621"/>
    </row>
    <row r="229" spans="9:9" s="613" customFormat="1" x14ac:dyDescent="0.2">
      <c r="I229" s="621"/>
    </row>
    <row r="230" spans="9:9" s="613" customFormat="1" x14ac:dyDescent="0.2">
      <c r="I230" s="621"/>
    </row>
    <row r="231" spans="9:9" s="613" customFormat="1" x14ac:dyDescent="0.2">
      <c r="I231" s="621"/>
    </row>
    <row r="232" spans="9:9" s="613" customFormat="1" x14ac:dyDescent="0.2">
      <c r="I232" s="621"/>
    </row>
    <row r="233" spans="9:9" s="613" customFormat="1" x14ac:dyDescent="0.2">
      <c r="I233" s="621"/>
    </row>
    <row r="234" spans="9:9" s="613" customFormat="1" x14ac:dyDescent="0.2">
      <c r="I234" s="621"/>
    </row>
    <row r="235" spans="9:9" s="613" customFormat="1" x14ac:dyDescent="0.2">
      <c r="I235" s="621"/>
    </row>
    <row r="236" spans="9:9" s="613" customFormat="1" x14ac:dyDescent="0.2">
      <c r="I236" s="621"/>
    </row>
    <row r="237" spans="9:9" s="613" customFormat="1" x14ac:dyDescent="0.2">
      <c r="I237" s="621"/>
    </row>
    <row r="238" spans="9:9" s="613" customFormat="1" x14ac:dyDescent="0.2">
      <c r="I238" s="621"/>
    </row>
    <row r="239" spans="9:9" s="613" customFormat="1" x14ac:dyDescent="0.2">
      <c r="I239" s="621"/>
    </row>
    <row r="240" spans="9:9" s="613" customFormat="1" x14ac:dyDescent="0.2">
      <c r="I240" s="621"/>
    </row>
    <row r="241" spans="9:9" s="613" customFormat="1" x14ac:dyDescent="0.2">
      <c r="I241" s="621"/>
    </row>
    <row r="242" spans="9:9" s="613" customFormat="1" x14ac:dyDescent="0.2">
      <c r="I242" s="621"/>
    </row>
    <row r="243" spans="9:9" s="613" customFormat="1" x14ac:dyDescent="0.2">
      <c r="I243" s="621"/>
    </row>
    <row r="244" spans="9:9" s="613" customFormat="1" x14ac:dyDescent="0.2">
      <c r="I244" s="621"/>
    </row>
    <row r="245" spans="9:9" s="613" customFormat="1" x14ac:dyDescent="0.2">
      <c r="I245" s="621"/>
    </row>
    <row r="246" spans="9:9" s="613" customFormat="1" x14ac:dyDescent="0.2">
      <c r="I246" s="621"/>
    </row>
    <row r="247" spans="9:9" s="613" customFormat="1" x14ac:dyDescent="0.2">
      <c r="I247" s="621"/>
    </row>
    <row r="248" spans="9:9" s="613" customFormat="1" x14ac:dyDescent="0.2">
      <c r="I248" s="621"/>
    </row>
    <row r="249" spans="9:9" s="613" customFormat="1" x14ac:dyDescent="0.2">
      <c r="I249" s="621"/>
    </row>
    <row r="250" spans="9:9" s="613" customFormat="1" x14ac:dyDescent="0.2">
      <c r="I250" s="621"/>
    </row>
    <row r="251" spans="9:9" s="613" customFormat="1" x14ac:dyDescent="0.2">
      <c r="I251" s="621"/>
    </row>
    <row r="252" spans="9:9" s="613" customFormat="1" x14ac:dyDescent="0.2">
      <c r="I252" s="621"/>
    </row>
    <row r="253" spans="9:9" s="613" customFormat="1" x14ac:dyDescent="0.2">
      <c r="I253" s="621"/>
    </row>
    <row r="254" spans="9:9" s="613" customFormat="1" x14ac:dyDescent="0.2">
      <c r="I254" s="621"/>
    </row>
    <row r="255" spans="9:9" s="613" customFormat="1" x14ac:dyDescent="0.2">
      <c r="I255" s="621"/>
    </row>
    <row r="256" spans="9:9" s="613" customFormat="1" x14ac:dyDescent="0.2">
      <c r="I256" s="621"/>
    </row>
    <row r="257" spans="9:9" s="613" customFormat="1" x14ac:dyDescent="0.2">
      <c r="I257" s="621"/>
    </row>
    <row r="258" spans="9:9" s="613" customFormat="1" x14ac:dyDescent="0.2">
      <c r="I258" s="621"/>
    </row>
    <row r="259" spans="9:9" s="613" customFormat="1" x14ac:dyDescent="0.2">
      <c r="I259" s="621"/>
    </row>
    <row r="260" spans="9:9" s="613" customFormat="1" x14ac:dyDescent="0.2">
      <c r="I260" s="621"/>
    </row>
    <row r="261" spans="9:9" s="613" customFormat="1" x14ac:dyDescent="0.2">
      <c r="I261" s="621"/>
    </row>
    <row r="262" spans="9:9" s="613" customFormat="1" x14ac:dyDescent="0.2">
      <c r="I262" s="621"/>
    </row>
    <row r="263" spans="9:9" s="613" customFormat="1" x14ac:dyDescent="0.2">
      <c r="I263" s="621"/>
    </row>
    <row r="264" spans="9:9" s="613" customFormat="1" x14ac:dyDescent="0.2">
      <c r="I264" s="621"/>
    </row>
    <row r="265" spans="9:9" s="613" customFormat="1" x14ac:dyDescent="0.2">
      <c r="I265" s="621"/>
    </row>
    <row r="266" spans="9:9" s="613" customFormat="1" x14ac:dyDescent="0.2">
      <c r="I266" s="621"/>
    </row>
    <row r="267" spans="9:9" s="613" customFormat="1" x14ac:dyDescent="0.2">
      <c r="I267" s="621"/>
    </row>
    <row r="268" spans="9:9" s="613" customFormat="1" x14ac:dyDescent="0.2">
      <c r="I268" s="621"/>
    </row>
    <row r="269" spans="9:9" s="613" customFormat="1" x14ac:dyDescent="0.2">
      <c r="I269" s="621"/>
    </row>
    <row r="270" spans="9:9" s="613" customFormat="1" x14ac:dyDescent="0.2">
      <c r="I270" s="621"/>
    </row>
    <row r="271" spans="9:9" s="613" customFormat="1" x14ac:dyDescent="0.2">
      <c r="I271" s="621"/>
    </row>
    <row r="272" spans="9:9" s="613" customFormat="1" x14ac:dyDescent="0.2">
      <c r="I272" s="621"/>
    </row>
    <row r="273" spans="9:9" s="613" customFormat="1" x14ac:dyDescent="0.2">
      <c r="I273" s="621"/>
    </row>
    <row r="274" spans="9:9" s="613" customFormat="1" x14ac:dyDescent="0.2">
      <c r="I274" s="621"/>
    </row>
    <row r="275" spans="9:9" s="613" customFormat="1" x14ac:dyDescent="0.2">
      <c r="I275" s="621"/>
    </row>
    <row r="276" spans="9:9" s="613" customFormat="1" x14ac:dyDescent="0.2">
      <c r="I276" s="621"/>
    </row>
    <row r="277" spans="9:9" s="613" customFormat="1" x14ac:dyDescent="0.2">
      <c r="I277" s="621"/>
    </row>
    <row r="278" spans="9:9" s="613" customFormat="1" x14ac:dyDescent="0.2">
      <c r="I278" s="621"/>
    </row>
    <row r="279" spans="9:9" s="613" customFormat="1" x14ac:dyDescent="0.2">
      <c r="I279" s="621"/>
    </row>
    <row r="280" spans="9:9" s="613" customFormat="1" x14ac:dyDescent="0.2">
      <c r="I280" s="621"/>
    </row>
    <row r="281" spans="9:9" s="613" customFormat="1" x14ac:dyDescent="0.2">
      <c r="I281" s="621"/>
    </row>
    <row r="282" spans="9:9" s="613" customFormat="1" x14ac:dyDescent="0.2">
      <c r="I282" s="621"/>
    </row>
    <row r="283" spans="9:9" s="613" customFormat="1" x14ac:dyDescent="0.2">
      <c r="I283" s="621"/>
    </row>
    <row r="284" spans="9:9" s="613" customFormat="1" x14ac:dyDescent="0.2">
      <c r="I284" s="621"/>
    </row>
    <row r="285" spans="9:9" s="613" customFormat="1" x14ac:dyDescent="0.2">
      <c r="I285" s="621"/>
    </row>
    <row r="286" spans="9:9" s="613" customFormat="1" x14ac:dyDescent="0.2">
      <c r="I286" s="621"/>
    </row>
    <row r="287" spans="9:9" s="613" customFormat="1" x14ac:dyDescent="0.2">
      <c r="I287" s="621"/>
    </row>
    <row r="288" spans="9:9" s="613" customFormat="1" x14ac:dyDescent="0.2">
      <c r="I288" s="621"/>
    </row>
    <row r="289" spans="9:9" s="613" customFormat="1" x14ac:dyDescent="0.2">
      <c r="I289" s="621"/>
    </row>
    <row r="290" spans="9:9" s="613" customFormat="1" x14ac:dyDescent="0.2">
      <c r="I290" s="621"/>
    </row>
    <row r="291" spans="9:9" s="613" customFormat="1" x14ac:dyDescent="0.2">
      <c r="I291" s="621"/>
    </row>
    <row r="292" spans="9:9" s="613" customFormat="1" x14ac:dyDescent="0.2">
      <c r="I292" s="621"/>
    </row>
    <row r="293" spans="9:9" s="613" customFormat="1" x14ac:dyDescent="0.2">
      <c r="I293" s="621"/>
    </row>
    <row r="294" spans="9:9" s="613" customFormat="1" x14ac:dyDescent="0.2">
      <c r="I294" s="621"/>
    </row>
    <row r="295" spans="9:9" s="613" customFormat="1" x14ac:dyDescent="0.2">
      <c r="I295" s="621"/>
    </row>
    <row r="296" spans="9:9" s="613" customFormat="1" x14ac:dyDescent="0.2">
      <c r="I296" s="621"/>
    </row>
    <row r="297" spans="9:9" s="613" customFormat="1" x14ac:dyDescent="0.2">
      <c r="I297" s="621"/>
    </row>
    <row r="298" spans="9:9" s="613" customFormat="1" x14ac:dyDescent="0.2">
      <c r="I298" s="621"/>
    </row>
    <row r="299" spans="9:9" s="613" customFormat="1" x14ac:dyDescent="0.2">
      <c r="I299" s="621"/>
    </row>
    <row r="300" spans="9:9" s="613" customFormat="1" x14ac:dyDescent="0.2">
      <c r="I300" s="621"/>
    </row>
    <row r="301" spans="9:9" s="613" customFormat="1" x14ac:dyDescent="0.2">
      <c r="I301" s="621"/>
    </row>
    <row r="302" spans="9:9" s="613" customFormat="1" x14ac:dyDescent="0.2">
      <c r="I302" s="621"/>
    </row>
    <row r="303" spans="9:9" s="613" customFormat="1" x14ac:dyDescent="0.2">
      <c r="I303" s="621"/>
    </row>
    <row r="304" spans="9:9" s="613" customFormat="1" x14ac:dyDescent="0.2">
      <c r="I304" s="621"/>
    </row>
    <row r="305" spans="9:9" s="613" customFormat="1" x14ac:dyDescent="0.2">
      <c r="I305" s="621"/>
    </row>
    <row r="306" spans="9:9" s="613" customFormat="1" x14ac:dyDescent="0.2">
      <c r="I306" s="621"/>
    </row>
    <row r="307" spans="9:9" s="613" customFormat="1" x14ac:dyDescent="0.2">
      <c r="I307" s="621"/>
    </row>
    <row r="308" spans="9:9" s="613" customFormat="1" x14ac:dyDescent="0.2">
      <c r="I308" s="621"/>
    </row>
    <row r="309" spans="9:9" s="613" customFormat="1" x14ac:dyDescent="0.2">
      <c r="I309" s="621"/>
    </row>
    <row r="310" spans="9:9" s="613" customFormat="1" x14ac:dyDescent="0.2">
      <c r="I310" s="621"/>
    </row>
    <row r="311" spans="9:9" s="613" customFormat="1" x14ac:dyDescent="0.2">
      <c r="I311" s="621"/>
    </row>
    <row r="312" spans="9:9" s="613" customFormat="1" x14ac:dyDescent="0.2">
      <c r="I312" s="621"/>
    </row>
    <row r="313" spans="9:9" s="613" customFormat="1" x14ac:dyDescent="0.2">
      <c r="I313" s="621"/>
    </row>
    <row r="314" spans="9:9" s="613" customFormat="1" x14ac:dyDescent="0.2">
      <c r="I314" s="621"/>
    </row>
    <row r="315" spans="9:9" s="613" customFormat="1" x14ac:dyDescent="0.2">
      <c r="I315" s="621"/>
    </row>
    <row r="316" spans="9:9" s="613" customFormat="1" x14ac:dyDescent="0.2">
      <c r="I316" s="621"/>
    </row>
    <row r="317" spans="9:9" s="613" customFormat="1" x14ac:dyDescent="0.2">
      <c r="I317" s="621"/>
    </row>
    <row r="318" spans="9:9" s="613" customFormat="1" x14ac:dyDescent="0.2">
      <c r="I318" s="621"/>
    </row>
    <row r="319" spans="9:9" s="613" customFormat="1" x14ac:dyDescent="0.2">
      <c r="I319" s="621"/>
    </row>
    <row r="320" spans="9:9" s="613" customFormat="1" x14ac:dyDescent="0.2">
      <c r="I320" s="621"/>
    </row>
    <row r="321" spans="9:9" s="613" customFormat="1" x14ac:dyDescent="0.2">
      <c r="I321" s="621"/>
    </row>
    <row r="322" spans="9:9" s="613" customFormat="1" x14ac:dyDescent="0.2">
      <c r="I322" s="621"/>
    </row>
    <row r="323" spans="9:9" s="613" customFormat="1" x14ac:dyDescent="0.2">
      <c r="I323" s="621"/>
    </row>
    <row r="324" spans="9:9" s="613" customFormat="1" x14ac:dyDescent="0.2">
      <c r="I324" s="621"/>
    </row>
    <row r="325" spans="9:9" s="613" customFormat="1" x14ac:dyDescent="0.2">
      <c r="I325" s="621"/>
    </row>
    <row r="326" spans="9:9" s="613" customFormat="1" x14ac:dyDescent="0.2">
      <c r="I326" s="621"/>
    </row>
    <row r="327" spans="9:9" s="613" customFormat="1" x14ac:dyDescent="0.2">
      <c r="I327" s="621"/>
    </row>
    <row r="328" spans="9:9" s="613" customFormat="1" x14ac:dyDescent="0.2">
      <c r="I328" s="621"/>
    </row>
    <row r="329" spans="9:9" s="613" customFormat="1" x14ac:dyDescent="0.2">
      <c r="I329" s="621"/>
    </row>
    <row r="330" spans="9:9" s="613" customFormat="1" x14ac:dyDescent="0.2">
      <c r="I330" s="621"/>
    </row>
    <row r="331" spans="9:9" s="613" customFormat="1" x14ac:dyDescent="0.2">
      <c r="I331" s="621"/>
    </row>
    <row r="332" spans="9:9" s="613" customFormat="1" x14ac:dyDescent="0.2">
      <c r="I332" s="621"/>
    </row>
    <row r="333" spans="9:9" s="613" customFormat="1" x14ac:dyDescent="0.2">
      <c r="I333" s="621"/>
    </row>
    <row r="334" spans="9:9" s="613" customFormat="1" x14ac:dyDescent="0.2">
      <c r="I334" s="621"/>
    </row>
    <row r="335" spans="9:9" s="613" customFormat="1" x14ac:dyDescent="0.2">
      <c r="I335" s="621"/>
    </row>
    <row r="336" spans="9:9" s="613" customFormat="1" x14ac:dyDescent="0.2">
      <c r="I336" s="621"/>
    </row>
    <row r="337" spans="9:9" s="613" customFormat="1" x14ac:dyDescent="0.2">
      <c r="I337" s="621"/>
    </row>
    <row r="338" spans="9:9" s="613" customFormat="1" x14ac:dyDescent="0.2">
      <c r="I338" s="621"/>
    </row>
    <row r="339" spans="9:9" s="613" customFormat="1" x14ac:dyDescent="0.2">
      <c r="I339" s="621"/>
    </row>
    <row r="340" spans="9:9" s="613" customFormat="1" x14ac:dyDescent="0.2">
      <c r="I340" s="621"/>
    </row>
    <row r="341" spans="9:9" s="613" customFormat="1" x14ac:dyDescent="0.2">
      <c r="I341" s="621"/>
    </row>
    <row r="342" spans="9:9" s="613" customFormat="1" x14ac:dyDescent="0.2">
      <c r="I342" s="621"/>
    </row>
    <row r="343" spans="9:9" s="613" customFormat="1" x14ac:dyDescent="0.2">
      <c r="I343" s="621"/>
    </row>
    <row r="344" spans="9:9" s="613" customFormat="1" x14ac:dyDescent="0.2">
      <c r="I344" s="621"/>
    </row>
    <row r="345" spans="9:9" s="613" customFormat="1" x14ac:dyDescent="0.2">
      <c r="I345" s="621"/>
    </row>
    <row r="346" spans="9:9" s="613" customFormat="1" x14ac:dyDescent="0.2">
      <c r="I346" s="621"/>
    </row>
    <row r="347" spans="9:9" s="613" customFormat="1" x14ac:dyDescent="0.2">
      <c r="I347" s="621"/>
    </row>
    <row r="348" spans="9:9" s="613" customFormat="1" x14ac:dyDescent="0.2">
      <c r="I348" s="621"/>
    </row>
    <row r="349" spans="9:9" s="613" customFormat="1" x14ac:dyDescent="0.2">
      <c r="I349" s="621"/>
    </row>
    <row r="350" spans="9:9" s="613" customFormat="1" x14ac:dyDescent="0.2">
      <c r="I350" s="621"/>
    </row>
    <row r="351" spans="9:9" s="613" customFormat="1" x14ac:dyDescent="0.2">
      <c r="I351" s="621"/>
    </row>
    <row r="352" spans="9:9" s="613" customFormat="1" x14ac:dyDescent="0.2">
      <c r="I352" s="621"/>
    </row>
    <row r="353" spans="9:9" s="613" customFormat="1" x14ac:dyDescent="0.2">
      <c r="I353" s="621"/>
    </row>
    <row r="354" spans="9:9" s="613" customFormat="1" x14ac:dyDescent="0.2">
      <c r="I354" s="621"/>
    </row>
    <row r="355" spans="9:9" s="613" customFormat="1" x14ac:dyDescent="0.2">
      <c r="I355" s="621"/>
    </row>
    <row r="356" spans="9:9" s="613" customFormat="1" x14ac:dyDescent="0.2">
      <c r="I356" s="621"/>
    </row>
    <row r="357" spans="9:9" s="613" customFormat="1" x14ac:dyDescent="0.2">
      <c r="I357" s="621"/>
    </row>
    <row r="358" spans="9:9" s="613" customFormat="1" x14ac:dyDescent="0.2">
      <c r="I358" s="621"/>
    </row>
    <row r="359" spans="9:9" s="613" customFormat="1" x14ac:dyDescent="0.2">
      <c r="I359" s="621"/>
    </row>
    <row r="360" spans="9:9" s="613" customFormat="1" x14ac:dyDescent="0.2">
      <c r="I360" s="621"/>
    </row>
    <row r="361" spans="9:9" s="613" customFormat="1" x14ac:dyDescent="0.2">
      <c r="I361" s="621"/>
    </row>
    <row r="362" spans="9:9" s="613" customFormat="1" x14ac:dyDescent="0.2">
      <c r="I362" s="621"/>
    </row>
    <row r="363" spans="9:9" s="613" customFormat="1" x14ac:dyDescent="0.2">
      <c r="I363" s="621"/>
    </row>
    <row r="364" spans="9:9" s="613" customFormat="1" x14ac:dyDescent="0.2">
      <c r="I364" s="621"/>
    </row>
    <row r="365" spans="9:9" s="613" customFormat="1" x14ac:dyDescent="0.2">
      <c r="I365" s="621"/>
    </row>
    <row r="366" spans="9:9" s="613" customFormat="1" x14ac:dyDescent="0.2">
      <c r="I366" s="621"/>
    </row>
    <row r="367" spans="9:9" s="613" customFormat="1" x14ac:dyDescent="0.2">
      <c r="I367" s="621"/>
    </row>
    <row r="368" spans="9:9" s="613" customFormat="1" x14ac:dyDescent="0.2">
      <c r="I368" s="621"/>
    </row>
    <row r="369" spans="9:9" s="613" customFormat="1" x14ac:dyDescent="0.2">
      <c r="I369" s="621"/>
    </row>
    <row r="370" spans="9:9" s="613" customFormat="1" x14ac:dyDescent="0.2">
      <c r="I370" s="621"/>
    </row>
    <row r="371" spans="9:9" s="613" customFormat="1" x14ac:dyDescent="0.2">
      <c r="I371" s="621"/>
    </row>
    <row r="372" spans="9:9" s="613" customFormat="1" x14ac:dyDescent="0.2">
      <c r="I372" s="621"/>
    </row>
    <row r="373" spans="9:9" s="613" customFormat="1" x14ac:dyDescent="0.2">
      <c r="I373" s="621"/>
    </row>
    <row r="374" spans="9:9" s="613" customFormat="1" x14ac:dyDescent="0.2">
      <c r="I374" s="621"/>
    </row>
    <row r="375" spans="9:9" s="613" customFormat="1" x14ac:dyDescent="0.2">
      <c r="I375" s="621"/>
    </row>
    <row r="376" spans="9:9" s="613" customFormat="1" x14ac:dyDescent="0.2">
      <c r="I376" s="621"/>
    </row>
    <row r="377" spans="9:9" s="613" customFormat="1" x14ac:dyDescent="0.2">
      <c r="I377" s="621"/>
    </row>
    <row r="378" spans="9:9" s="613" customFormat="1" x14ac:dyDescent="0.2">
      <c r="I378" s="621"/>
    </row>
    <row r="379" spans="9:9" s="613" customFormat="1" x14ac:dyDescent="0.2">
      <c r="I379" s="621"/>
    </row>
    <row r="380" spans="9:9" s="613" customFormat="1" x14ac:dyDescent="0.2">
      <c r="I380" s="621"/>
    </row>
    <row r="381" spans="9:9" s="613" customFormat="1" x14ac:dyDescent="0.2">
      <c r="I381" s="621"/>
    </row>
    <row r="382" spans="9:9" s="613" customFormat="1" x14ac:dyDescent="0.2">
      <c r="I382" s="621"/>
    </row>
    <row r="383" spans="9:9" s="613" customFormat="1" x14ac:dyDescent="0.2">
      <c r="I383" s="621"/>
    </row>
    <row r="384" spans="9:9" s="613" customFormat="1" x14ac:dyDescent="0.2">
      <c r="I384" s="621"/>
    </row>
    <row r="385" spans="9:9" s="613" customFormat="1" x14ac:dyDescent="0.2">
      <c r="I385" s="621"/>
    </row>
    <row r="386" spans="9:9" s="613" customFormat="1" x14ac:dyDescent="0.2">
      <c r="I386" s="621"/>
    </row>
    <row r="387" spans="9:9" s="613" customFormat="1" x14ac:dyDescent="0.2">
      <c r="I387" s="621"/>
    </row>
    <row r="388" spans="9:9" s="613" customFormat="1" x14ac:dyDescent="0.2">
      <c r="I388" s="621"/>
    </row>
    <row r="389" spans="9:9" s="613" customFormat="1" x14ac:dyDescent="0.2">
      <c r="I389" s="621"/>
    </row>
    <row r="390" spans="9:9" s="613" customFormat="1" x14ac:dyDescent="0.2">
      <c r="I390" s="621"/>
    </row>
    <row r="391" spans="9:9" s="613" customFormat="1" x14ac:dyDescent="0.2">
      <c r="I391" s="621"/>
    </row>
    <row r="392" spans="9:9" s="613" customFormat="1" x14ac:dyDescent="0.2">
      <c r="I392" s="621"/>
    </row>
    <row r="393" spans="9:9" s="613" customFormat="1" x14ac:dyDescent="0.2">
      <c r="I393" s="621"/>
    </row>
    <row r="394" spans="9:9" s="613" customFormat="1" x14ac:dyDescent="0.2">
      <c r="I394" s="621"/>
    </row>
    <row r="395" spans="9:9" s="613" customFormat="1" x14ac:dyDescent="0.2">
      <c r="I395" s="621"/>
    </row>
    <row r="396" spans="9:9" s="613" customFormat="1" x14ac:dyDescent="0.2">
      <c r="I396" s="621"/>
    </row>
    <row r="397" spans="9:9" s="613" customFormat="1" x14ac:dyDescent="0.2">
      <c r="I397" s="621"/>
    </row>
    <row r="398" spans="9:9" s="613" customFormat="1" x14ac:dyDescent="0.2">
      <c r="I398" s="621"/>
    </row>
    <row r="399" spans="9:9" s="613" customFormat="1" x14ac:dyDescent="0.2">
      <c r="I399" s="621"/>
    </row>
    <row r="400" spans="9:9" s="613" customFormat="1" x14ac:dyDescent="0.2">
      <c r="I400" s="621"/>
    </row>
    <row r="401" spans="9:9" s="613" customFormat="1" x14ac:dyDescent="0.2">
      <c r="I401" s="621"/>
    </row>
    <row r="402" spans="9:9" s="613" customFormat="1" x14ac:dyDescent="0.2">
      <c r="I402" s="621"/>
    </row>
    <row r="403" spans="9:9" s="613" customFormat="1" x14ac:dyDescent="0.2">
      <c r="I403" s="621"/>
    </row>
    <row r="404" spans="9:9" s="613" customFormat="1" x14ac:dyDescent="0.2">
      <c r="I404" s="621"/>
    </row>
    <row r="405" spans="9:9" s="613" customFormat="1" x14ac:dyDescent="0.2">
      <c r="I405" s="621"/>
    </row>
    <row r="406" spans="9:9" s="613" customFormat="1" x14ac:dyDescent="0.2">
      <c r="I406" s="621"/>
    </row>
    <row r="407" spans="9:9" s="613" customFormat="1" x14ac:dyDescent="0.2">
      <c r="I407" s="621"/>
    </row>
    <row r="408" spans="9:9" s="613" customFormat="1" x14ac:dyDescent="0.2">
      <c r="I408" s="621"/>
    </row>
    <row r="409" spans="9:9" s="613" customFormat="1" x14ac:dyDescent="0.2">
      <c r="I409" s="621"/>
    </row>
    <row r="410" spans="9:9" s="613" customFormat="1" x14ac:dyDescent="0.2">
      <c r="I410" s="621"/>
    </row>
    <row r="411" spans="9:9" s="613" customFormat="1" x14ac:dyDescent="0.2">
      <c r="I411" s="621"/>
    </row>
    <row r="412" spans="9:9" s="613" customFormat="1" x14ac:dyDescent="0.2">
      <c r="I412" s="621"/>
    </row>
    <row r="413" spans="9:9" s="613" customFormat="1" x14ac:dyDescent="0.2">
      <c r="I413" s="621"/>
    </row>
    <row r="414" spans="9:9" s="613" customFormat="1" x14ac:dyDescent="0.2">
      <c r="I414" s="621"/>
    </row>
    <row r="415" spans="9:9" s="613" customFormat="1" x14ac:dyDescent="0.2">
      <c r="I415" s="621"/>
    </row>
    <row r="416" spans="9:9" s="613" customFormat="1" x14ac:dyDescent="0.2">
      <c r="I416" s="621"/>
    </row>
    <row r="417" spans="9:9" s="613" customFormat="1" x14ac:dyDescent="0.2">
      <c r="I417" s="621"/>
    </row>
    <row r="418" spans="9:9" s="613" customFormat="1" x14ac:dyDescent="0.2">
      <c r="I418" s="621"/>
    </row>
    <row r="419" spans="9:9" s="613" customFormat="1" x14ac:dyDescent="0.2">
      <c r="I419" s="621"/>
    </row>
    <row r="420" spans="9:9" s="613" customFormat="1" x14ac:dyDescent="0.2">
      <c r="I420" s="621"/>
    </row>
    <row r="421" spans="9:9" s="613" customFormat="1" x14ac:dyDescent="0.2">
      <c r="I421" s="621"/>
    </row>
    <row r="422" spans="9:9" s="613" customFormat="1" x14ac:dyDescent="0.2">
      <c r="I422" s="621"/>
    </row>
    <row r="423" spans="9:9" s="613" customFormat="1" x14ac:dyDescent="0.2">
      <c r="I423" s="621"/>
    </row>
    <row r="424" spans="9:9" s="613" customFormat="1" x14ac:dyDescent="0.2">
      <c r="I424" s="621"/>
    </row>
    <row r="425" spans="9:9" s="613" customFormat="1" x14ac:dyDescent="0.2">
      <c r="I425" s="621"/>
    </row>
    <row r="426" spans="9:9" s="613" customFormat="1" x14ac:dyDescent="0.2">
      <c r="I426" s="621"/>
    </row>
    <row r="427" spans="9:9" s="613" customFormat="1" x14ac:dyDescent="0.2">
      <c r="I427" s="621"/>
    </row>
    <row r="428" spans="9:9" s="613" customFormat="1" x14ac:dyDescent="0.2">
      <c r="I428" s="621"/>
    </row>
    <row r="429" spans="9:9" s="613" customFormat="1" x14ac:dyDescent="0.2">
      <c r="I429" s="621"/>
    </row>
    <row r="430" spans="9:9" s="613" customFormat="1" x14ac:dyDescent="0.2">
      <c r="I430" s="621"/>
    </row>
    <row r="431" spans="9:9" s="613" customFormat="1" x14ac:dyDescent="0.2">
      <c r="I431" s="621"/>
    </row>
    <row r="432" spans="9:9" s="613" customFormat="1" x14ac:dyDescent="0.2">
      <c r="I432" s="621"/>
    </row>
    <row r="433" spans="9:9" s="613" customFormat="1" x14ac:dyDescent="0.2">
      <c r="I433" s="621"/>
    </row>
    <row r="434" spans="9:9" s="613" customFormat="1" x14ac:dyDescent="0.2">
      <c r="I434" s="621"/>
    </row>
    <row r="435" spans="9:9" s="613" customFormat="1" x14ac:dyDescent="0.2">
      <c r="I435" s="621"/>
    </row>
    <row r="436" spans="9:9" s="613" customFormat="1" x14ac:dyDescent="0.2">
      <c r="I436" s="621"/>
    </row>
    <row r="437" spans="9:9" s="613" customFormat="1" x14ac:dyDescent="0.2">
      <c r="I437" s="621"/>
    </row>
    <row r="438" spans="9:9" s="613" customFormat="1" x14ac:dyDescent="0.2">
      <c r="I438" s="621"/>
    </row>
    <row r="439" spans="9:9" s="613" customFormat="1" x14ac:dyDescent="0.2">
      <c r="I439" s="621"/>
    </row>
    <row r="440" spans="9:9" s="613" customFormat="1" x14ac:dyDescent="0.2">
      <c r="I440" s="621"/>
    </row>
    <row r="441" spans="9:9" s="613" customFormat="1" x14ac:dyDescent="0.2">
      <c r="I441" s="621"/>
    </row>
    <row r="442" spans="9:9" s="613" customFormat="1" x14ac:dyDescent="0.2">
      <c r="I442" s="621"/>
    </row>
    <row r="443" spans="9:9" s="613" customFormat="1" x14ac:dyDescent="0.2">
      <c r="I443" s="621"/>
    </row>
    <row r="444" spans="9:9" s="613" customFormat="1" x14ac:dyDescent="0.2">
      <c r="I444" s="621"/>
    </row>
    <row r="445" spans="9:9" s="613" customFormat="1" x14ac:dyDescent="0.2">
      <c r="I445" s="621"/>
    </row>
    <row r="446" spans="9:9" s="613" customFormat="1" x14ac:dyDescent="0.2">
      <c r="I446" s="621"/>
    </row>
    <row r="447" spans="9:9" s="613" customFormat="1" x14ac:dyDescent="0.2">
      <c r="I447" s="621"/>
    </row>
    <row r="448" spans="9:9" s="613" customFormat="1" x14ac:dyDescent="0.2">
      <c r="I448" s="621"/>
    </row>
    <row r="449" spans="9:9" s="613" customFormat="1" x14ac:dyDescent="0.2">
      <c r="I449" s="621"/>
    </row>
    <row r="450" spans="9:9" s="613" customFormat="1" x14ac:dyDescent="0.2">
      <c r="I450" s="621"/>
    </row>
    <row r="451" spans="9:9" s="613" customFormat="1" x14ac:dyDescent="0.2">
      <c r="I451" s="621"/>
    </row>
    <row r="452" spans="9:9" s="613" customFormat="1" x14ac:dyDescent="0.2">
      <c r="I452" s="621"/>
    </row>
    <row r="453" spans="9:9" s="613" customFormat="1" x14ac:dyDescent="0.2">
      <c r="I453" s="621"/>
    </row>
    <row r="454" spans="9:9" s="613" customFormat="1" x14ac:dyDescent="0.2">
      <c r="I454" s="621"/>
    </row>
    <row r="455" spans="9:9" s="613" customFormat="1" x14ac:dyDescent="0.2">
      <c r="I455" s="621"/>
    </row>
    <row r="456" spans="9:9" s="613" customFormat="1" x14ac:dyDescent="0.2">
      <c r="I456" s="621"/>
    </row>
    <row r="457" spans="9:9" s="613" customFormat="1" x14ac:dyDescent="0.2">
      <c r="I457" s="621"/>
    </row>
    <row r="458" spans="9:9" s="613" customFormat="1" x14ac:dyDescent="0.2">
      <c r="I458" s="621"/>
    </row>
    <row r="459" spans="9:9" s="613" customFormat="1" x14ac:dyDescent="0.2">
      <c r="I459" s="621"/>
    </row>
    <row r="460" spans="9:9" s="613" customFormat="1" x14ac:dyDescent="0.2">
      <c r="I460" s="621"/>
    </row>
    <row r="461" spans="9:9" s="613" customFormat="1" x14ac:dyDescent="0.2">
      <c r="I461" s="621"/>
    </row>
    <row r="462" spans="9:9" s="613" customFormat="1" x14ac:dyDescent="0.2">
      <c r="I462" s="621"/>
    </row>
    <row r="463" spans="9:9" s="613" customFormat="1" x14ac:dyDescent="0.2">
      <c r="I463" s="621"/>
    </row>
    <row r="464" spans="9:9" s="613" customFormat="1" x14ac:dyDescent="0.2">
      <c r="I464" s="621"/>
    </row>
    <row r="465" spans="9:9" s="613" customFormat="1" x14ac:dyDescent="0.2">
      <c r="I465" s="621"/>
    </row>
    <row r="466" spans="9:9" s="613" customFormat="1" x14ac:dyDescent="0.2">
      <c r="I466" s="621"/>
    </row>
    <row r="467" spans="9:9" s="613" customFormat="1" x14ac:dyDescent="0.2">
      <c r="I467" s="621"/>
    </row>
    <row r="468" spans="9:9" s="613" customFormat="1" x14ac:dyDescent="0.2">
      <c r="I468" s="621"/>
    </row>
    <row r="469" spans="9:9" s="613" customFormat="1" x14ac:dyDescent="0.2">
      <c r="I469" s="621"/>
    </row>
    <row r="470" spans="9:9" s="613" customFormat="1" x14ac:dyDescent="0.2">
      <c r="I470" s="621"/>
    </row>
    <row r="471" spans="9:9" s="613" customFormat="1" x14ac:dyDescent="0.2">
      <c r="I471" s="621"/>
    </row>
    <row r="472" spans="9:9" s="613" customFormat="1" x14ac:dyDescent="0.2">
      <c r="I472" s="621"/>
    </row>
    <row r="473" spans="9:9" s="613" customFormat="1" x14ac:dyDescent="0.2">
      <c r="I473" s="621"/>
    </row>
    <row r="474" spans="9:9" s="613" customFormat="1" x14ac:dyDescent="0.2">
      <c r="I474" s="621"/>
    </row>
    <row r="475" spans="9:9" s="613" customFormat="1" x14ac:dyDescent="0.2">
      <c r="I475" s="621"/>
    </row>
    <row r="476" spans="9:9" s="613" customFormat="1" x14ac:dyDescent="0.2">
      <c r="I476" s="621"/>
    </row>
    <row r="477" spans="9:9" s="613" customFormat="1" x14ac:dyDescent="0.2">
      <c r="I477" s="621"/>
    </row>
    <row r="478" spans="9:9" s="613" customFormat="1" x14ac:dyDescent="0.2">
      <c r="I478" s="621"/>
    </row>
    <row r="479" spans="9:9" s="613" customFormat="1" x14ac:dyDescent="0.2">
      <c r="I479" s="621"/>
    </row>
    <row r="480" spans="9:9" s="613" customFormat="1" x14ac:dyDescent="0.2">
      <c r="I480" s="621"/>
    </row>
    <row r="481" spans="9:9" s="613" customFormat="1" x14ac:dyDescent="0.2">
      <c r="I481" s="621"/>
    </row>
    <row r="482" spans="9:9" s="613" customFormat="1" x14ac:dyDescent="0.2">
      <c r="I482" s="621"/>
    </row>
    <row r="483" spans="9:9" s="613" customFormat="1" x14ac:dyDescent="0.2">
      <c r="I483" s="621"/>
    </row>
    <row r="484" spans="9:9" s="613" customFormat="1" x14ac:dyDescent="0.2">
      <c r="I484" s="621"/>
    </row>
    <row r="485" spans="9:9" s="613" customFormat="1" x14ac:dyDescent="0.2">
      <c r="I485" s="621"/>
    </row>
    <row r="486" spans="9:9" s="613" customFormat="1" x14ac:dyDescent="0.2">
      <c r="I486" s="621"/>
    </row>
    <row r="487" spans="9:9" s="613" customFormat="1" x14ac:dyDescent="0.2">
      <c r="I487" s="621"/>
    </row>
    <row r="488" spans="9:9" s="613" customFormat="1" x14ac:dyDescent="0.2">
      <c r="I488" s="621"/>
    </row>
    <row r="489" spans="9:9" s="613" customFormat="1" x14ac:dyDescent="0.2">
      <c r="I489" s="621"/>
    </row>
    <row r="490" spans="9:9" s="613" customFormat="1" x14ac:dyDescent="0.2">
      <c r="I490" s="621"/>
    </row>
    <row r="491" spans="9:9" s="613" customFormat="1" x14ac:dyDescent="0.2">
      <c r="I491" s="621"/>
    </row>
    <row r="492" spans="9:9" s="613" customFormat="1" x14ac:dyDescent="0.2">
      <c r="I492" s="621"/>
    </row>
    <row r="493" spans="9:9" s="613" customFormat="1" x14ac:dyDescent="0.2">
      <c r="I493" s="621"/>
    </row>
    <row r="494" spans="9:9" s="613" customFormat="1" x14ac:dyDescent="0.2">
      <c r="I494" s="621"/>
    </row>
    <row r="495" spans="9:9" s="613" customFormat="1" x14ac:dyDescent="0.2">
      <c r="I495" s="621"/>
    </row>
    <row r="496" spans="9:9" s="613" customFormat="1" x14ac:dyDescent="0.2">
      <c r="I496" s="621"/>
    </row>
    <row r="497" spans="9:9" s="613" customFormat="1" x14ac:dyDescent="0.2">
      <c r="I497" s="621"/>
    </row>
    <row r="498" spans="9:9" s="613" customFormat="1" x14ac:dyDescent="0.2">
      <c r="I498" s="621"/>
    </row>
    <row r="499" spans="9:9" s="613" customFormat="1" x14ac:dyDescent="0.2">
      <c r="I499" s="621"/>
    </row>
    <row r="500" spans="9:9" s="613" customFormat="1" x14ac:dyDescent="0.2">
      <c r="I500" s="621"/>
    </row>
    <row r="501" spans="9:9" s="613" customFormat="1" x14ac:dyDescent="0.2">
      <c r="I501" s="621"/>
    </row>
    <row r="502" spans="9:9" s="613" customFormat="1" x14ac:dyDescent="0.2">
      <c r="I502" s="621"/>
    </row>
    <row r="503" spans="9:9" s="613" customFormat="1" x14ac:dyDescent="0.2">
      <c r="I503" s="621"/>
    </row>
    <row r="504" spans="9:9" s="613" customFormat="1" x14ac:dyDescent="0.2">
      <c r="I504" s="621"/>
    </row>
    <row r="505" spans="9:9" s="613" customFormat="1" x14ac:dyDescent="0.2">
      <c r="I505" s="621"/>
    </row>
    <row r="506" spans="9:9" s="613" customFormat="1" x14ac:dyDescent="0.2">
      <c r="I506" s="621"/>
    </row>
    <row r="507" spans="9:9" s="613" customFormat="1" x14ac:dyDescent="0.2">
      <c r="I507" s="621"/>
    </row>
    <row r="508" spans="9:9" s="613" customFormat="1" x14ac:dyDescent="0.2">
      <c r="I508" s="621"/>
    </row>
    <row r="509" spans="9:9" s="613" customFormat="1" x14ac:dyDescent="0.2">
      <c r="I509" s="621"/>
    </row>
    <row r="510" spans="9:9" s="613" customFormat="1" x14ac:dyDescent="0.2">
      <c r="I510" s="621"/>
    </row>
    <row r="511" spans="9:9" s="613" customFormat="1" x14ac:dyDescent="0.2">
      <c r="I511" s="621"/>
    </row>
    <row r="512" spans="9:9" s="613" customFormat="1" x14ac:dyDescent="0.2">
      <c r="I512" s="621"/>
    </row>
    <row r="513" spans="9:9" s="613" customFormat="1" x14ac:dyDescent="0.2">
      <c r="I513" s="621"/>
    </row>
    <row r="514" spans="9:9" s="613" customFormat="1" x14ac:dyDescent="0.2">
      <c r="I514" s="621"/>
    </row>
    <row r="515" spans="9:9" s="613" customFormat="1" x14ac:dyDescent="0.2">
      <c r="I515" s="621"/>
    </row>
    <row r="516" spans="9:9" s="613" customFormat="1" x14ac:dyDescent="0.2">
      <c r="I516" s="621"/>
    </row>
    <row r="517" spans="9:9" s="613" customFormat="1" x14ac:dyDescent="0.2">
      <c r="I517" s="621"/>
    </row>
    <row r="518" spans="9:9" s="613" customFormat="1" x14ac:dyDescent="0.2">
      <c r="I518" s="621"/>
    </row>
    <row r="519" spans="9:9" s="613" customFormat="1" x14ac:dyDescent="0.2">
      <c r="I519" s="621"/>
    </row>
    <row r="520" spans="9:9" s="613" customFormat="1" x14ac:dyDescent="0.2">
      <c r="I520" s="621"/>
    </row>
    <row r="521" spans="9:9" s="613" customFormat="1" x14ac:dyDescent="0.2">
      <c r="I521" s="621"/>
    </row>
    <row r="522" spans="9:9" s="613" customFormat="1" x14ac:dyDescent="0.2">
      <c r="I522" s="621"/>
    </row>
    <row r="523" spans="9:9" s="613" customFormat="1" x14ac:dyDescent="0.2">
      <c r="I523" s="621"/>
    </row>
    <row r="524" spans="9:9" s="613" customFormat="1" x14ac:dyDescent="0.2">
      <c r="I524" s="621"/>
    </row>
    <row r="525" spans="9:9" s="613" customFormat="1" x14ac:dyDescent="0.2">
      <c r="I525" s="621"/>
    </row>
    <row r="526" spans="9:9" s="613" customFormat="1" x14ac:dyDescent="0.2">
      <c r="I526" s="621"/>
    </row>
    <row r="527" spans="9:9" s="613" customFormat="1" x14ac:dyDescent="0.2">
      <c r="I527" s="621"/>
    </row>
    <row r="528" spans="9:9" s="613" customFormat="1" x14ac:dyDescent="0.2">
      <c r="I528" s="621"/>
    </row>
    <row r="529" spans="9:9" s="613" customFormat="1" x14ac:dyDescent="0.2">
      <c r="I529" s="621"/>
    </row>
    <row r="530" spans="9:9" s="613" customFormat="1" x14ac:dyDescent="0.2">
      <c r="I530" s="621"/>
    </row>
    <row r="531" spans="9:9" s="613" customFormat="1" x14ac:dyDescent="0.2">
      <c r="I531" s="621"/>
    </row>
    <row r="532" spans="9:9" s="613" customFormat="1" x14ac:dyDescent="0.2">
      <c r="I532" s="621"/>
    </row>
    <row r="533" spans="9:9" s="613" customFormat="1" x14ac:dyDescent="0.2">
      <c r="I533" s="621"/>
    </row>
    <row r="534" spans="9:9" s="613" customFormat="1" x14ac:dyDescent="0.2">
      <c r="I534" s="621"/>
    </row>
    <row r="535" spans="9:9" s="613" customFormat="1" x14ac:dyDescent="0.2">
      <c r="I535" s="621"/>
    </row>
    <row r="536" spans="9:9" s="613" customFormat="1" x14ac:dyDescent="0.2">
      <c r="I536" s="621"/>
    </row>
    <row r="537" spans="9:9" s="613" customFormat="1" x14ac:dyDescent="0.2">
      <c r="I537" s="621"/>
    </row>
    <row r="538" spans="9:9" s="613" customFormat="1" x14ac:dyDescent="0.2">
      <c r="I538" s="621"/>
    </row>
    <row r="539" spans="9:9" s="613" customFormat="1" x14ac:dyDescent="0.2">
      <c r="I539" s="621"/>
    </row>
    <row r="540" spans="9:9" s="613" customFormat="1" x14ac:dyDescent="0.2">
      <c r="I540" s="621"/>
    </row>
    <row r="541" spans="9:9" s="613" customFormat="1" x14ac:dyDescent="0.2">
      <c r="I541" s="621"/>
    </row>
    <row r="542" spans="9:9" s="613" customFormat="1" x14ac:dyDescent="0.2">
      <c r="I542" s="621"/>
    </row>
    <row r="543" spans="9:9" s="613" customFormat="1" x14ac:dyDescent="0.2">
      <c r="I543" s="621"/>
    </row>
    <row r="544" spans="9:9" s="613" customFormat="1" x14ac:dyDescent="0.2">
      <c r="I544" s="621"/>
    </row>
    <row r="545" spans="9:9" s="613" customFormat="1" x14ac:dyDescent="0.2">
      <c r="I545" s="621"/>
    </row>
    <row r="546" spans="9:9" s="613" customFormat="1" x14ac:dyDescent="0.2">
      <c r="I546" s="621"/>
    </row>
    <row r="547" spans="9:9" s="613" customFormat="1" x14ac:dyDescent="0.2">
      <c r="I547" s="621"/>
    </row>
    <row r="548" spans="9:9" s="613" customFormat="1" x14ac:dyDescent="0.2">
      <c r="I548" s="621"/>
    </row>
    <row r="549" spans="9:9" s="613" customFormat="1" x14ac:dyDescent="0.2">
      <c r="I549" s="621"/>
    </row>
    <row r="550" spans="9:9" s="613" customFormat="1" x14ac:dyDescent="0.2">
      <c r="I550" s="621"/>
    </row>
    <row r="551" spans="9:9" s="613" customFormat="1" x14ac:dyDescent="0.2">
      <c r="I551" s="621"/>
    </row>
    <row r="552" spans="9:9" s="613" customFormat="1" x14ac:dyDescent="0.2">
      <c r="I552" s="621"/>
    </row>
    <row r="553" spans="9:9" s="613" customFormat="1" x14ac:dyDescent="0.2">
      <c r="I553" s="621"/>
    </row>
    <row r="554" spans="9:9" s="613" customFormat="1" x14ac:dyDescent="0.2">
      <c r="I554" s="621"/>
    </row>
    <row r="555" spans="9:9" s="613" customFormat="1" x14ac:dyDescent="0.2">
      <c r="I555" s="621"/>
    </row>
    <row r="556" spans="9:9" s="613" customFormat="1" x14ac:dyDescent="0.2">
      <c r="I556" s="621"/>
    </row>
    <row r="557" spans="9:9" s="613" customFormat="1" x14ac:dyDescent="0.2">
      <c r="I557" s="621"/>
    </row>
    <row r="558" spans="9:9" s="613" customFormat="1" x14ac:dyDescent="0.2">
      <c r="I558" s="621"/>
    </row>
    <row r="559" spans="9:9" s="613" customFormat="1" x14ac:dyDescent="0.2">
      <c r="I559" s="621"/>
    </row>
    <row r="560" spans="9:9" s="613" customFormat="1" x14ac:dyDescent="0.2">
      <c r="I560" s="621"/>
    </row>
    <row r="561" spans="9:9" s="613" customFormat="1" x14ac:dyDescent="0.2">
      <c r="I561" s="621"/>
    </row>
    <row r="562" spans="9:9" s="613" customFormat="1" x14ac:dyDescent="0.2">
      <c r="I562" s="621"/>
    </row>
    <row r="563" spans="9:9" s="613" customFormat="1" x14ac:dyDescent="0.2">
      <c r="I563" s="621"/>
    </row>
    <row r="564" spans="9:9" s="613" customFormat="1" x14ac:dyDescent="0.2">
      <c r="I564" s="621"/>
    </row>
    <row r="565" spans="9:9" s="613" customFormat="1" x14ac:dyDescent="0.2">
      <c r="I565" s="621"/>
    </row>
    <row r="566" spans="9:9" s="613" customFormat="1" x14ac:dyDescent="0.2">
      <c r="I566" s="621"/>
    </row>
    <row r="567" spans="9:9" s="613" customFormat="1" x14ac:dyDescent="0.2">
      <c r="I567" s="621"/>
    </row>
    <row r="568" spans="9:9" s="613" customFormat="1" x14ac:dyDescent="0.2">
      <c r="I568" s="621"/>
    </row>
    <row r="569" spans="9:9" s="613" customFormat="1" x14ac:dyDescent="0.2">
      <c r="I569" s="621"/>
    </row>
    <row r="570" spans="9:9" s="613" customFormat="1" x14ac:dyDescent="0.2">
      <c r="I570" s="621"/>
    </row>
    <row r="571" spans="9:9" s="613" customFormat="1" x14ac:dyDescent="0.2">
      <c r="I571" s="621"/>
    </row>
    <row r="572" spans="9:9" s="613" customFormat="1" x14ac:dyDescent="0.2">
      <c r="I572" s="621"/>
    </row>
    <row r="573" spans="9:9" s="613" customFormat="1" x14ac:dyDescent="0.2">
      <c r="I573" s="621"/>
    </row>
    <row r="574" spans="9:9" s="613" customFormat="1" x14ac:dyDescent="0.2">
      <c r="I574" s="621"/>
    </row>
    <row r="575" spans="9:9" s="613" customFormat="1" x14ac:dyDescent="0.2">
      <c r="I575" s="621"/>
    </row>
    <row r="576" spans="9:9" s="613" customFormat="1" x14ac:dyDescent="0.2">
      <c r="I576" s="621"/>
    </row>
    <row r="577" spans="9:9" s="613" customFormat="1" x14ac:dyDescent="0.2">
      <c r="I577" s="621"/>
    </row>
    <row r="578" spans="9:9" s="613" customFormat="1" x14ac:dyDescent="0.2">
      <c r="I578" s="621"/>
    </row>
    <row r="579" spans="9:9" s="613" customFormat="1" x14ac:dyDescent="0.2">
      <c r="I579" s="621"/>
    </row>
    <row r="580" spans="9:9" s="613" customFormat="1" x14ac:dyDescent="0.2">
      <c r="I580" s="621"/>
    </row>
    <row r="581" spans="9:9" s="613" customFormat="1" x14ac:dyDescent="0.2">
      <c r="I581" s="621"/>
    </row>
    <row r="582" spans="9:9" s="613" customFormat="1" x14ac:dyDescent="0.2">
      <c r="I582" s="621"/>
    </row>
    <row r="583" spans="9:9" s="613" customFormat="1" x14ac:dyDescent="0.2">
      <c r="I583" s="621"/>
    </row>
    <row r="584" spans="9:9" s="613" customFormat="1" x14ac:dyDescent="0.2">
      <c r="I584" s="621"/>
    </row>
    <row r="585" spans="9:9" s="613" customFormat="1" x14ac:dyDescent="0.2">
      <c r="I585" s="621"/>
    </row>
    <row r="586" spans="9:9" s="613" customFormat="1" x14ac:dyDescent="0.2">
      <c r="I586" s="621"/>
    </row>
    <row r="587" spans="9:9" s="613" customFormat="1" x14ac:dyDescent="0.2">
      <c r="I587" s="621"/>
    </row>
    <row r="588" spans="9:9" s="613" customFormat="1" x14ac:dyDescent="0.2">
      <c r="I588" s="621"/>
    </row>
    <row r="589" spans="9:9" s="613" customFormat="1" x14ac:dyDescent="0.2">
      <c r="I589" s="621"/>
    </row>
    <row r="590" spans="9:9" s="613" customFormat="1" x14ac:dyDescent="0.2">
      <c r="I590" s="621"/>
    </row>
    <row r="591" spans="9:9" s="613" customFormat="1" x14ac:dyDescent="0.2">
      <c r="I591" s="621"/>
    </row>
    <row r="592" spans="9:9" s="613" customFormat="1" x14ac:dyDescent="0.2">
      <c r="I592" s="621"/>
    </row>
    <row r="593" spans="9:9" s="613" customFormat="1" x14ac:dyDescent="0.2">
      <c r="I593" s="621"/>
    </row>
    <row r="594" spans="9:9" s="613" customFormat="1" x14ac:dyDescent="0.2">
      <c r="I594" s="621"/>
    </row>
    <row r="595" spans="9:9" s="613" customFormat="1" x14ac:dyDescent="0.2">
      <c r="I595" s="621"/>
    </row>
    <row r="596" spans="9:9" s="613" customFormat="1" x14ac:dyDescent="0.2">
      <c r="I596" s="621"/>
    </row>
    <row r="597" spans="9:9" s="613" customFormat="1" x14ac:dyDescent="0.2">
      <c r="I597" s="621"/>
    </row>
    <row r="598" spans="9:9" s="613" customFormat="1" x14ac:dyDescent="0.2">
      <c r="I598" s="621"/>
    </row>
    <row r="599" spans="9:9" s="613" customFormat="1" x14ac:dyDescent="0.2">
      <c r="I599" s="621"/>
    </row>
    <row r="600" spans="9:9" s="613" customFormat="1" x14ac:dyDescent="0.2">
      <c r="I600" s="621"/>
    </row>
    <row r="601" spans="9:9" s="613" customFormat="1" x14ac:dyDescent="0.2">
      <c r="I601" s="621"/>
    </row>
    <row r="602" spans="9:9" s="613" customFormat="1" x14ac:dyDescent="0.2">
      <c r="I602" s="621"/>
    </row>
    <row r="603" spans="9:9" s="613" customFormat="1" x14ac:dyDescent="0.2">
      <c r="I603" s="621"/>
    </row>
    <row r="604" spans="9:9" s="613" customFormat="1" x14ac:dyDescent="0.2">
      <c r="I604" s="621"/>
    </row>
    <row r="605" spans="9:9" s="613" customFormat="1" x14ac:dyDescent="0.2">
      <c r="I605" s="621"/>
    </row>
    <row r="606" spans="9:9" s="613" customFormat="1" x14ac:dyDescent="0.2">
      <c r="I606" s="621"/>
    </row>
    <row r="607" spans="9:9" s="613" customFormat="1" x14ac:dyDescent="0.2">
      <c r="I607" s="621"/>
    </row>
    <row r="608" spans="9:9" s="613" customFormat="1" x14ac:dyDescent="0.2">
      <c r="I608" s="621"/>
    </row>
    <row r="609" spans="9:9" s="613" customFormat="1" x14ac:dyDescent="0.2">
      <c r="I609" s="621"/>
    </row>
    <row r="610" spans="9:9" s="613" customFormat="1" x14ac:dyDescent="0.2">
      <c r="I610" s="621"/>
    </row>
    <row r="611" spans="9:9" s="613" customFormat="1" x14ac:dyDescent="0.2">
      <c r="I611" s="621"/>
    </row>
    <row r="612" spans="9:9" s="613" customFormat="1" x14ac:dyDescent="0.2">
      <c r="I612" s="621"/>
    </row>
    <row r="613" spans="9:9" s="613" customFormat="1" x14ac:dyDescent="0.2">
      <c r="I613" s="621"/>
    </row>
    <row r="614" spans="9:9" s="613" customFormat="1" x14ac:dyDescent="0.2">
      <c r="I614" s="621"/>
    </row>
    <row r="615" spans="9:9" s="613" customFormat="1" x14ac:dyDescent="0.2">
      <c r="I615" s="621"/>
    </row>
    <row r="616" spans="9:9" s="613" customFormat="1" x14ac:dyDescent="0.2">
      <c r="I616" s="621"/>
    </row>
    <row r="617" spans="9:9" s="613" customFormat="1" x14ac:dyDescent="0.2">
      <c r="I617" s="621"/>
    </row>
    <row r="618" spans="9:9" s="613" customFormat="1" x14ac:dyDescent="0.2">
      <c r="I618" s="621"/>
    </row>
    <row r="619" spans="9:9" s="613" customFormat="1" x14ac:dyDescent="0.2">
      <c r="I619" s="621"/>
    </row>
    <row r="620" spans="9:9" s="613" customFormat="1" x14ac:dyDescent="0.2">
      <c r="I620" s="621"/>
    </row>
    <row r="621" spans="9:9" s="613" customFormat="1" x14ac:dyDescent="0.2">
      <c r="I621" s="621"/>
    </row>
    <row r="622" spans="9:9" s="613" customFormat="1" x14ac:dyDescent="0.2">
      <c r="I622" s="621"/>
    </row>
    <row r="623" spans="9:9" s="613" customFormat="1" x14ac:dyDescent="0.2">
      <c r="I623" s="621"/>
    </row>
    <row r="624" spans="9:9" s="613" customFormat="1" x14ac:dyDescent="0.2">
      <c r="I624" s="621"/>
    </row>
    <row r="625" spans="9:9" s="613" customFormat="1" x14ac:dyDescent="0.2">
      <c r="I625" s="621"/>
    </row>
    <row r="626" spans="9:9" s="613" customFormat="1" x14ac:dyDescent="0.2">
      <c r="I626" s="621"/>
    </row>
    <row r="627" spans="9:9" s="613" customFormat="1" x14ac:dyDescent="0.2">
      <c r="I627" s="621"/>
    </row>
    <row r="628" spans="9:9" s="613" customFormat="1" x14ac:dyDescent="0.2">
      <c r="I628" s="621"/>
    </row>
    <row r="629" spans="9:9" s="613" customFormat="1" x14ac:dyDescent="0.2">
      <c r="I629" s="621"/>
    </row>
    <row r="630" spans="9:9" s="613" customFormat="1" x14ac:dyDescent="0.2">
      <c r="I630" s="621"/>
    </row>
    <row r="631" spans="9:9" s="613" customFormat="1" x14ac:dyDescent="0.2">
      <c r="I631" s="621"/>
    </row>
    <row r="632" spans="9:9" s="613" customFormat="1" x14ac:dyDescent="0.2">
      <c r="I632" s="621"/>
    </row>
    <row r="633" spans="9:9" s="613" customFormat="1" x14ac:dyDescent="0.2">
      <c r="I633" s="621"/>
    </row>
    <row r="634" spans="9:9" s="613" customFormat="1" x14ac:dyDescent="0.2">
      <c r="I634" s="621"/>
    </row>
    <row r="635" spans="9:9" s="613" customFormat="1" x14ac:dyDescent="0.2">
      <c r="I635" s="621"/>
    </row>
    <row r="636" spans="9:9" s="613" customFormat="1" x14ac:dyDescent="0.2">
      <c r="I636" s="621"/>
    </row>
    <row r="637" spans="9:9" s="613" customFormat="1" x14ac:dyDescent="0.2">
      <c r="I637" s="621"/>
    </row>
    <row r="638" spans="9:9" s="613" customFormat="1" x14ac:dyDescent="0.2">
      <c r="I638" s="621"/>
    </row>
    <row r="639" spans="9:9" s="613" customFormat="1" x14ac:dyDescent="0.2">
      <c r="I639" s="621"/>
    </row>
    <row r="640" spans="9:9" s="613" customFormat="1" x14ac:dyDescent="0.2">
      <c r="I640" s="621"/>
    </row>
    <row r="641" spans="9:9" s="613" customFormat="1" x14ac:dyDescent="0.2">
      <c r="I641" s="621"/>
    </row>
    <row r="642" spans="9:9" s="613" customFormat="1" x14ac:dyDescent="0.2">
      <c r="I642" s="621"/>
    </row>
    <row r="643" spans="9:9" s="613" customFormat="1" x14ac:dyDescent="0.2">
      <c r="I643" s="621"/>
    </row>
    <row r="644" spans="9:9" s="613" customFormat="1" x14ac:dyDescent="0.2">
      <c r="I644" s="621"/>
    </row>
    <row r="645" spans="9:9" s="613" customFormat="1" x14ac:dyDescent="0.2">
      <c r="I645" s="621"/>
    </row>
    <row r="646" spans="9:9" s="613" customFormat="1" x14ac:dyDescent="0.2">
      <c r="I646" s="621"/>
    </row>
    <row r="647" spans="9:9" s="613" customFormat="1" x14ac:dyDescent="0.2">
      <c r="I647" s="621"/>
    </row>
    <row r="648" spans="9:9" s="613" customFormat="1" x14ac:dyDescent="0.2">
      <c r="I648" s="621"/>
    </row>
    <row r="649" spans="9:9" s="613" customFormat="1" x14ac:dyDescent="0.2">
      <c r="I649" s="621"/>
    </row>
    <row r="650" spans="9:9" s="613" customFormat="1" x14ac:dyDescent="0.2">
      <c r="I650" s="621"/>
    </row>
    <row r="651" spans="9:9" s="613" customFormat="1" x14ac:dyDescent="0.2">
      <c r="I651" s="621"/>
    </row>
    <row r="652" spans="9:9" s="613" customFormat="1" x14ac:dyDescent="0.2">
      <c r="I652" s="621"/>
    </row>
    <row r="653" spans="9:9" s="613" customFormat="1" x14ac:dyDescent="0.2">
      <c r="I653" s="621"/>
    </row>
    <row r="654" spans="9:9" s="613" customFormat="1" x14ac:dyDescent="0.2">
      <c r="I654" s="621"/>
    </row>
    <row r="655" spans="9:9" s="613" customFormat="1" x14ac:dyDescent="0.2">
      <c r="I655" s="621"/>
    </row>
    <row r="656" spans="9:9" s="613" customFormat="1" x14ac:dyDescent="0.2">
      <c r="I656" s="621"/>
    </row>
    <row r="657" spans="9:9" s="613" customFormat="1" x14ac:dyDescent="0.2">
      <c r="I657" s="621"/>
    </row>
    <row r="658" spans="9:9" s="613" customFormat="1" x14ac:dyDescent="0.2">
      <c r="I658" s="621"/>
    </row>
    <row r="659" spans="9:9" s="613" customFormat="1" x14ac:dyDescent="0.2">
      <c r="I659" s="621"/>
    </row>
    <row r="660" spans="9:9" s="613" customFormat="1" x14ac:dyDescent="0.2">
      <c r="I660" s="621"/>
    </row>
    <row r="661" spans="9:9" s="613" customFormat="1" x14ac:dyDescent="0.2">
      <c r="I661" s="621"/>
    </row>
    <row r="662" spans="9:9" s="613" customFormat="1" x14ac:dyDescent="0.2">
      <c r="I662" s="621"/>
    </row>
    <row r="663" spans="9:9" s="613" customFormat="1" x14ac:dyDescent="0.2">
      <c r="I663" s="621"/>
    </row>
    <row r="664" spans="9:9" s="613" customFormat="1" x14ac:dyDescent="0.2">
      <c r="I664" s="621"/>
    </row>
    <row r="665" spans="9:9" s="613" customFormat="1" x14ac:dyDescent="0.2">
      <c r="I665" s="621"/>
    </row>
    <row r="666" spans="9:9" s="613" customFormat="1" x14ac:dyDescent="0.2">
      <c r="I666" s="621"/>
    </row>
    <row r="667" spans="9:9" s="613" customFormat="1" x14ac:dyDescent="0.2">
      <c r="I667" s="621"/>
    </row>
    <row r="668" spans="9:9" s="613" customFormat="1" x14ac:dyDescent="0.2">
      <c r="I668" s="621"/>
    </row>
    <row r="669" spans="9:9" s="613" customFormat="1" x14ac:dyDescent="0.2">
      <c r="I669" s="621"/>
    </row>
    <row r="670" spans="9:9" s="613" customFormat="1" x14ac:dyDescent="0.2">
      <c r="I670" s="621"/>
    </row>
    <row r="671" spans="9:9" s="613" customFormat="1" x14ac:dyDescent="0.2">
      <c r="I671" s="621"/>
    </row>
    <row r="672" spans="9:9" s="613" customFormat="1" x14ac:dyDescent="0.2">
      <c r="I672" s="621"/>
    </row>
    <row r="673" spans="9:9" s="613" customFormat="1" x14ac:dyDescent="0.2">
      <c r="I673" s="621"/>
    </row>
    <row r="674" spans="9:9" s="613" customFormat="1" x14ac:dyDescent="0.2">
      <c r="I674" s="621"/>
    </row>
    <row r="675" spans="9:9" s="613" customFormat="1" x14ac:dyDescent="0.2">
      <c r="I675" s="621"/>
    </row>
    <row r="676" spans="9:9" s="613" customFormat="1" x14ac:dyDescent="0.2">
      <c r="I676" s="621"/>
    </row>
    <row r="677" spans="9:9" s="613" customFormat="1" x14ac:dyDescent="0.2">
      <c r="I677" s="621"/>
    </row>
    <row r="678" spans="9:9" s="613" customFormat="1" x14ac:dyDescent="0.2">
      <c r="I678" s="621"/>
    </row>
    <row r="679" spans="9:9" s="613" customFormat="1" x14ac:dyDescent="0.2">
      <c r="I679" s="621"/>
    </row>
    <row r="680" spans="9:9" s="613" customFormat="1" x14ac:dyDescent="0.2">
      <c r="I680" s="621"/>
    </row>
    <row r="681" spans="9:9" s="613" customFormat="1" x14ac:dyDescent="0.2">
      <c r="I681" s="621"/>
    </row>
    <row r="682" spans="9:9" s="613" customFormat="1" x14ac:dyDescent="0.2">
      <c r="I682" s="621"/>
    </row>
    <row r="683" spans="9:9" s="613" customFormat="1" x14ac:dyDescent="0.2">
      <c r="I683" s="621"/>
    </row>
    <row r="684" spans="9:9" s="613" customFormat="1" x14ac:dyDescent="0.2">
      <c r="I684" s="621"/>
    </row>
    <row r="685" spans="9:9" s="613" customFormat="1" x14ac:dyDescent="0.2">
      <c r="I685" s="621"/>
    </row>
    <row r="686" spans="9:9" s="613" customFormat="1" x14ac:dyDescent="0.2">
      <c r="I686" s="621"/>
    </row>
    <row r="687" spans="9:9" s="613" customFormat="1" x14ac:dyDescent="0.2">
      <c r="I687" s="621"/>
    </row>
    <row r="688" spans="9:9" s="613" customFormat="1" x14ac:dyDescent="0.2">
      <c r="I688" s="621"/>
    </row>
    <row r="689" spans="9:9" s="613" customFormat="1" x14ac:dyDescent="0.2">
      <c r="I689" s="621"/>
    </row>
    <row r="690" spans="9:9" s="613" customFormat="1" x14ac:dyDescent="0.2">
      <c r="I690" s="621"/>
    </row>
    <row r="691" spans="9:9" s="613" customFormat="1" x14ac:dyDescent="0.2">
      <c r="I691" s="621"/>
    </row>
    <row r="692" spans="9:9" s="613" customFormat="1" x14ac:dyDescent="0.2">
      <c r="I692" s="621"/>
    </row>
    <row r="693" spans="9:9" s="613" customFormat="1" x14ac:dyDescent="0.2">
      <c r="I693" s="621"/>
    </row>
    <row r="694" spans="9:9" s="613" customFormat="1" x14ac:dyDescent="0.2">
      <c r="I694" s="621"/>
    </row>
    <row r="695" spans="9:9" s="613" customFormat="1" x14ac:dyDescent="0.2">
      <c r="I695" s="621"/>
    </row>
    <row r="696" spans="9:9" s="613" customFormat="1" x14ac:dyDescent="0.2">
      <c r="I696" s="621"/>
    </row>
    <row r="697" spans="9:9" s="613" customFormat="1" x14ac:dyDescent="0.2">
      <c r="I697" s="621"/>
    </row>
    <row r="698" spans="9:9" s="613" customFormat="1" x14ac:dyDescent="0.2">
      <c r="I698" s="621"/>
    </row>
    <row r="699" spans="9:9" s="613" customFormat="1" x14ac:dyDescent="0.2">
      <c r="I699" s="621"/>
    </row>
    <row r="700" spans="9:9" s="613" customFormat="1" x14ac:dyDescent="0.2">
      <c r="I700" s="621"/>
    </row>
    <row r="701" spans="9:9" s="613" customFormat="1" x14ac:dyDescent="0.2">
      <c r="I701" s="621"/>
    </row>
    <row r="702" spans="9:9" s="613" customFormat="1" x14ac:dyDescent="0.2">
      <c r="I702" s="621"/>
    </row>
    <row r="703" spans="9:9" s="613" customFormat="1" x14ac:dyDescent="0.2">
      <c r="I703" s="621"/>
    </row>
    <row r="704" spans="9:9" s="613" customFormat="1" x14ac:dyDescent="0.2">
      <c r="I704" s="621"/>
    </row>
    <row r="705" spans="9:9" s="613" customFormat="1" x14ac:dyDescent="0.2">
      <c r="I705" s="621"/>
    </row>
    <row r="706" spans="9:9" s="613" customFormat="1" x14ac:dyDescent="0.2">
      <c r="I706" s="621"/>
    </row>
    <row r="707" spans="9:9" s="613" customFormat="1" x14ac:dyDescent="0.2">
      <c r="I707" s="621"/>
    </row>
    <row r="708" spans="9:9" s="613" customFormat="1" x14ac:dyDescent="0.2">
      <c r="I708" s="621"/>
    </row>
    <row r="709" spans="9:9" s="613" customFormat="1" x14ac:dyDescent="0.2">
      <c r="I709" s="621"/>
    </row>
    <row r="710" spans="9:9" s="613" customFormat="1" x14ac:dyDescent="0.2">
      <c r="I710" s="621"/>
    </row>
    <row r="711" spans="9:9" s="613" customFormat="1" x14ac:dyDescent="0.2">
      <c r="I711" s="621"/>
    </row>
    <row r="712" spans="9:9" s="613" customFormat="1" x14ac:dyDescent="0.2">
      <c r="I712" s="621"/>
    </row>
    <row r="713" spans="9:9" s="613" customFormat="1" x14ac:dyDescent="0.2">
      <c r="I713" s="621"/>
    </row>
    <row r="714" spans="9:9" s="613" customFormat="1" x14ac:dyDescent="0.2">
      <c r="I714" s="621"/>
    </row>
    <row r="715" spans="9:9" s="613" customFormat="1" x14ac:dyDescent="0.2">
      <c r="I715" s="621"/>
    </row>
    <row r="716" spans="9:9" s="613" customFormat="1" x14ac:dyDescent="0.2">
      <c r="I716" s="621"/>
    </row>
    <row r="717" spans="9:9" s="613" customFormat="1" x14ac:dyDescent="0.2">
      <c r="I717" s="621"/>
    </row>
    <row r="718" spans="9:9" s="613" customFormat="1" x14ac:dyDescent="0.2">
      <c r="I718" s="621"/>
    </row>
    <row r="719" spans="9:9" s="613" customFormat="1" x14ac:dyDescent="0.2">
      <c r="I719" s="621"/>
    </row>
    <row r="720" spans="9:9" s="613" customFormat="1" x14ac:dyDescent="0.2">
      <c r="I720" s="621"/>
    </row>
    <row r="721" spans="9:9" s="613" customFormat="1" x14ac:dyDescent="0.2">
      <c r="I721" s="621"/>
    </row>
    <row r="722" spans="9:9" s="613" customFormat="1" x14ac:dyDescent="0.2">
      <c r="I722" s="621"/>
    </row>
    <row r="723" spans="9:9" s="613" customFormat="1" x14ac:dyDescent="0.2">
      <c r="I723" s="621"/>
    </row>
    <row r="724" spans="9:9" s="613" customFormat="1" x14ac:dyDescent="0.2">
      <c r="I724" s="621"/>
    </row>
    <row r="725" spans="9:9" s="613" customFormat="1" x14ac:dyDescent="0.2">
      <c r="I725" s="621"/>
    </row>
    <row r="726" spans="9:9" s="613" customFormat="1" x14ac:dyDescent="0.2">
      <c r="I726" s="621"/>
    </row>
    <row r="727" spans="9:9" s="613" customFormat="1" x14ac:dyDescent="0.2">
      <c r="I727" s="621"/>
    </row>
    <row r="728" spans="9:9" s="613" customFormat="1" x14ac:dyDescent="0.2">
      <c r="I728" s="621"/>
    </row>
    <row r="729" spans="9:9" s="613" customFormat="1" x14ac:dyDescent="0.2">
      <c r="I729" s="621"/>
    </row>
    <row r="730" spans="9:9" s="613" customFormat="1" x14ac:dyDescent="0.2">
      <c r="I730" s="621"/>
    </row>
    <row r="731" spans="9:9" s="613" customFormat="1" x14ac:dyDescent="0.2">
      <c r="I731" s="621"/>
    </row>
    <row r="732" spans="9:9" s="613" customFormat="1" x14ac:dyDescent="0.2">
      <c r="I732" s="621"/>
    </row>
    <row r="733" spans="9:9" s="613" customFormat="1" x14ac:dyDescent="0.2">
      <c r="I733" s="621"/>
    </row>
    <row r="734" spans="9:9" s="613" customFormat="1" x14ac:dyDescent="0.2">
      <c r="I734" s="621"/>
    </row>
    <row r="735" spans="9:9" s="613" customFormat="1" x14ac:dyDescent="0.2">
      <c r="I735" s="621"/>
    </row>
    <row r="736" spans="9:9" s="613" customFormat="1" x14ac:dyDescent="0.2">
      <c r="I736" s="621"/>
    </row>
    <row r="737" spans="9:9" s="613" customFormat="1" x14ac:dyDescent="0.2">
      <c r="I737" s="621"/>
    </row>
    <row r="738" spans="9:9" s="613" customFormat="1" x14ac:dyDescent="0.2">
      <c r="I738" s="621"/>
    </row>
    <row r="739" spans="9:9" s="613" customFormat="1" x14ac:dyDescent="0.2">
      <c r="I739" s="621"/>
    </row>
    <row r="740" spans="9:9" s="613" customFormat="1" x14ac:dyDescent="0.2">
      <c r="I740" s="621"/>
    </row>
    <row r="741" spans="9:9" s="613" customFormat="1" x14ac:dyDescent="0.2">
      <c r="I741" s="621"/>
    </row>
    <row r="742" spans="9:9" s="613" customFormat="1" x14ac:dyDescent="0.2">
      <c r="I742" s="621"/>
    </row>
    <row r="743" spans="9:9" s="613" customFormat="1" x14ac:dyDescent="0.2">
      <c r="I743" s="621"/>
    </row>
  </sheetData>
  <mergeCells count="2">
    <mergeCell ref="A4:I4"/>
    <mergeCell ref="B6:D6"/>
  </mergeCells>
  <printOptions horizontalCentered="1"/>
  <pageMargins left="0" right="0" top="1.3775590551181103" bottom="0.59015748031496074" header="0.98385826771653528" footer="0.19645669291338586"/>
  <pageSetup paperSize="0" scale="90" fitToWidth="0" fitToHeight="0" orientation="landscape" horizontalDpi="0" verticalDpi="0" copie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43"/>
  <sheetViews>
    <sheetView showGridLines="0" topLeftCell="A3" workbookViewId="0">
      <selection activeCell="A12" sqref="A12:I12"/>
    </sheetView>
  </sheetViews>
  <sheetFormatPr baseColWidth="10" defaultRowHeight="14.25" x14ac:dyDescent="0.2"/>
  <cols>
    <col min="1" max="1" width="6" style="613" customWidth="1"/>
    <col min="2" max="2" width="20.375" style="613" customWidth="1"/>
    <col min="3" max="4" width="12.5" style="613" customWidth="1"/>
    <col min="5" max="5" width="12.75" style="613" customWidth="1"/>
    <col min="6" max="6" width="16.25" style="613" customWidth="1"/>
    <col min="7" max="7" width="16.5" style="613" customWidth="1"/>
    <col min="8" max="8" width="11.5" style="613" customWidth="1"/>
    <col min="9" max="9" width="14.375" style="621" customWidth="1"/>
    <col min="10" max="10" width="8.375" style="613" customWidth="1"/>
    <col min="11" max="15" width="6.75" style="613" customWidth="1"/>
    <col min="16" max="1024" width="12.875" style="613" customWidth="1"/>
    <col min="1025" max="16384" width="11" style="402"/>
  </cols>
  <sheetData>
    <row r="1" spans="1:15" s="614" customFormat="1" ht="12.75" x14ac:dyDescent="0.2">
      <c r="A1" s="611"/>
      <c r="B1" s="611"/>
      <c r="C1" s="612" t="s">
        <v>0</v>
      </c>
      <c r="D1" s="611"/>
      <c r="E1" s="649"/>
      <c r="F1" s="611"/>
      <c r="G1" s="611"/>
      <c r="H1" s="611"/>
      <c r="I1" s="611"/>
    </row>
    <row r="2" spans="1:15" s="614" customFormat="1" ht="12.75" x14ac:dyDescent="0.2">
      <c r="A2" s="611"/>
      <c r="B2" s="611"/>
      <c r="C2" s="612" t="s">
        <v>163</v>
      </c>
      <c r="D2" s="611"/>
      <c r="E2" s="649"/>
      <c r="F2" s="611"/>
      <c r="G2" s="611"/>
      <c r="H2" s="611"/>
      <c r="I2" s="611"/>
    </row>
    <row r="3" spans="1:15" s="614" customFormat="1" ht="12.75" x14ac:dyDescent="0.2">
      <c r="A3" s="611"/>
      <c r="B3" s="611"/>
      <c r="C3" s="611"/>
      <c r="D3" s="611"/>
      <c r="E3" s="611"/>
      <c r="F3" s="611"/>
      <c r="G3" s="611"/>
      <c r="H3" s="611"/>
      <c r="I3" s="611"/>
    </row>
    <row r="4" spans="1:15" s="614" customFormat="1" ht="12.75" x14ac:dyDescent="0.2">
      <c r="A4" s="762" t="s">
        <v>530</v>
      </c>
      <c r="B4" s="762"/>
      <c r="C4" s="762"/>
      <c r="D4" s="762"/>
      <c r="E4" s="762"/>
      <c r="F4" s="762"/>
      <c r="G4" s="762"/>
      <c r="H4" s="762"/>
      <c r="I4" s="762"/>
    </row>
    <row r="5" spans="1:15" s="614" customFormat="1" x14ac:dyDescent="0.2">
      <c r="A5" s="763"/>
      <c r="B5" s="763"/>
      <c r="C5" s="763"/>
      <c r="D5" s="763"/>
      <c r="E5" s="763"/>
      <c r="F5" s="763"/>
      <c r="G5" s="763"/>
      <c r="H5" s="763"/>
      <c r="I5" s="763"/>
    </row>
    <row r="6" spans="1:15" s="614" customFormat="1" ht="12.75" x14ac:dyDescent="0.2">
      <c r="A6" s="613"/>
      <c r="B6" s="765" t="s">
        <v>386</v>
      </c>
      <c r="C6" s="765"/>
      <c r="D6" s="765"/>
      <c r="E6" s="615"/>
      <c r="F6" s="616"/>
      <c r="G6" s="613"/>
      <c r="H6" s="617"/>
      <c r="I6" s="615"/>
    </row>
    <row r="7" spans="1:15" s="614" customFormat="1" ht="12.75" x14ac:dyDescent="0.2">
      <c r="A7" s="613"/>
      <c r="B7" s="612" t="s">
        <v>314</v>
      </c>
      <c r="C7" s="613"/>
      <c r="D7" s="613"/>
      <c r="E7" s="613"/>
      <c r="F7" s="618">
        <f>'FONDOS PART 2024'!H16</f>
        <v>4577684.8</v>
      </c>
      <c r="G7" s="620"/>
      <c r="H7" s="617"/>
      <c r="I7" s="621"/>
    </row>
    <row r="8" spans="1:15" s="614" customFormat="1" ht="12.75" x14ac:dyDescent="0.2">
      <c r="A8" s="613"/>
      <c r="B8" s="612" t="s">
        <v>315</v>
      </c>
      <c r="C8" s="613"/>
      <c r="D8" s="613"/>
      <c r="E8" s="613"/>
      <c r="F8" s="619">
        <f>F7*0.45</f>
        <v>2059958.16</v>
      </c>
      <c r="G8" s="650"/>
      <c r="H8" s="617"/>
      <c r="I8" s="613"/>
    </row>
    <row r="9" spans="1:15" s="614" customFormat="1" ht="12.75" x14ac:dyDescent="0.2">
      <c r="A9" s="613"/>
      <c r="B9" s="612" t="s">
        <v>317</v>
      </c>
      <c r="C9" s="613"/>
      <c r="D9" s="613"/>
      <c r="E9" s="613"/>
      <c r="F9" s="619">
        <f>F7*0.45</f>
        <v>2059958.16</v>
      </c>
      <c r="G9" s="619"/>
      <c r="H9" s="622"/>
      <c r="I9" s="621"/>
    </row>
    <row r="10" spans="1:15" s="614" customFormat="1" ht="12.75" x14ac:dyDescent="0.2">
      <c r="A10" s="613"/>
      <c r="B10" s="612" t="s">
        <v>319</v>
      </c>
      <c r="C10" s="613"/>
      <c r="D10" s="613"/>
      <c r="E10" s="613"/>
      <c r="F10" s="619">
        <f>F7*0.1</f>
        <v>457768.48</v>
      </c>
      <c r="G10" s="619"/>
      <c r="H10" s="622"/>
      <c r="I10" s="621"/>
    </row>
    <row r="11" spans="1:15" s="613" customFormat="1" ht="12.75" x14ac:dyDescent="0.2">
      <c r="A11" s="624"/>
      <c r="B11" s="624"/>
      <c r="C11" s="625"/>
      <c r="D11" s="626"/>
      <c r="F11" s="627"/>
      <c r="G11" s="617"/>
      <c r="I11" s="621"/>
    </row>
    <row r="12" spans="1:15" s="613" customFormat="1" ht="25.5" x14ac:dyDescent="0.2">
      <c r="A12" s="722" t="s">
        <v>364</v>
      </c>
      <c r="B12" s="722" t="s">
        <v>29</v>
      </c>
      <c r="C12" s="722" t="s">
        <v>10</v>
      </c>
      <c r="D12" s="722" t="s">
        <v>365</v>
      </c>
      <c r="E12" s="722" t="s">
        <v>366</v>
      </c>
      <c r="F12" s="722" t="s">
        <v>539</v>
      </c>
      <c r="G12" s="722" t="s">
        <v>542</v>
      </c>
      <c r="H12" s="722" t="s">
        <v>540</v>
      </c>
      <c r="I12" s="722" t="s">
        <v>541</v>
      </c>
    </row>
    <row r="13" spans="1:15" s="613" customFormat="1" ht="12.75" x14ac:dyDescent="0.2">
      <c r="A13" s="651"/>
      <c r="B13" s="651"/>
      <c r="C13" s="624" t="s">
        <v>370</v>
      </c>
      <c r="D13" s="624" t="s">
        <v>371</v>
      </c>
      <c r="E13" s="624" t="s">
        <v>372</v>
      </c>
      <c r="F13" s="624" t="s">
        <v>373</v>
      </c>
      <c r="G13" s="624" t="s">
        <v>374</v>
      </c>
      <c r="H13" s="624" t="s">
        <v>375</v>
      </c>
      <c r="I13" s="624" t="s">
        <v>376</v>
      </c>
    </row>
    <row r="14" spans="1:15" s="613" customFormat="1" ht="12.75" x14ac:dyDescent="0.2">
      <c r="A14" s="651"/>
      <c r="B14" s="651"/>
      <c r="C14" s="628">
        <v>100</v>
      </c>
      <c r="D14" s="629">
        <f t="shared" ref="D14:I14" si="0">SUM(D15:D127)</f>
        <v>2059958.1600000004</v>
      </c>
      <c r="E14" s="630">
        <f t="shared" si="0"/>
        <v>99.999999999999915</v>
      </c>
      <c r="F14" s="629">
        <f t="shared" si="0"/>
        <v>2059958.1599999988</v>
      </c>
      <c r="G14" s="630">
        <f t="shared" si="0"/>
        <v>100.00000000000006</v>
      </c>
      <c r="H14" s="629">
        <f t="shared" si="0"/>
        <v>457768.48000000033</v>
      </c>
      <c r="I14" s="629">
        <f t="shared" si="0"/>
        <v>4577684.799999998</v>
      </c>
      <c r="M14" s="630"/>
      <c r="N14" s="630"/>
      <c r="O14" s="630"/>
    </row>
    <row r="15" spans="1:15" s="613" customFormat="1" ht="12.75" x14ac:dyDescent="0.2">
      <c r="A15" s="631">
        <v>1</v>
      </c>
      <c r="B15" s="631" t="s">
        <v>43</v>
      </c>
      <c r="C15" s="659">
        <f>'COEFIC 2023'!I8</f>
        <v>0.23797360453465957</v>
      </c>
      <c r="D15" s="660">
        <f t="shared" ref="D15:D46" si="1">$F$8*C15%</f>
        <v>4902.1566852578499</v>
      </c>
      <c r="E15" s="661">
        <f>+FPART!$F16</f>
        <v>0.39190942225476838</v>
      </c>
      <c r="F15" s="662">
        <f t="shared" ref="F15:F46" si="2">$F$9*E15%</f>
        <v>8073.1701235459577</v>
      </c>
      <c r="G15" s="636">
        <f>+FPART!J16</f>
        <v>0.78996666580088204</v>
      </c>
      <c r="H15" s="667">
        <f t="shared" ref="H15:H46" si="3">$F$10*G15%</f>
        <v>3616.2183985433776</v>
      </c>
      <c r="I15" s="642">
        <f t="shared" ref="I15:I28" si="4">D15+F15+H15</f>
        <v>16591.545207347186</v>
      </c>
      <c r="J15" s="640"/>
      <c r="M15" s="639"/>
      <c r="N15" s="640"/>
      <c r="O15" s="641"/>
    </row>
    <row r="16" spans="1:15" s="613" customFormat="1" ht="12.75" x14ac:dyDescent="0.2">
      <c r="A16" s="631">
        <v>2</v>
      </c>
      <c r="B16" s="631" t="s">
        <v>46</v>
      </c>
      <c r="C16" s="659">
        <f>'COEFIC 2023'!I9</f>
        <v>0.31068600666351365</v>
      </c>
      <c r="D16" s="660">
        <f t="shared" si="1"/>
        <v>6400.0017462431933</v>
      </c>
      <c r="E16" s="661">
        <f>+FPART!$F17</f>
        <v>1.2675015186709291</v>
      </c>
      <c r="F16" s="662">
        <f t="shared" si="2"/>
        <v>26110.000961985726</v>
      </c>
      <c r="G16" s="636">
        <f>+FPART!J17</f>
        <v>0.41162616179693873</v>
      </c>
      <c r="H16" s="667">
        <f t="shared" si="3"/>
        <v>1884.2948241401868</v>
      </c>
      <c r="I16" s="642">
        <f t="shared" si="4"/>
        <v>34394.297532369106</v>
      </c>
      <c r="J16" s="640"/>
      <c r="M16" s="639"/>
      <c r="N16" s="640"/>
      <c r="O16" s="641"/>
    </row>
    <row r="17" spans="1:15" s="613" customFormat="1" ht="12.75" x14ac:dyDescent="0.2">
      <c r="A17" s="631">
        <v>3</v>
      </c>
      <c r="B17" s="631" t="s">
        <v>49</v>
      </c>
      <c r="C17" s="659">
        <f>'COEFIC 2023'!I10</f>
        <v>0.48432819257562787</v>
      </c>
      <c r="D17" s="660">
        <f t="shared" si="1"/>
        <v>9976.9581241421602</v>
      </c>
      <c r="E17" s="661">
        <f>+FPART!$F18</f>
        <v>0.6143607387492529</v>
      </c>
      <c r="F17" s="662">
        <f t="shared" si="2"/>
        <v>12655.574169701516</v>
      </c>
      <c r="G17" s="636">
        <f>+FPART!J18</f>
        <v>0.92173246284482802</v>
      </c>
      <c r="H17" s="667">
        <f t="shared" si="3"/>
        <v>4219.4006848313338</v>
      </c>
      <c r="I17" s="642">
        <f t="shared" si="4"/>
        <v>26851.93297867501</v>
      </c>
      <c r="J17" s="640"/>
      <c r="M17" s="639"/>
      <c r="N17" s="640"/>
      <c r="O17" s="641"/>
    </row>
    <row r="18" spans="1:15" s="613" customFormat="1" ht="12.75" x14ac:dyDescent="0.2">
      <c r="A18" s="631">
        <v>4</v>
      </c>
      <c r="B18" s="631" t="s">
        <v>52</v>
      </c>
      <c r="C18" s="659">
        <f>'COEFIC 2023'!I11</f>
        <v>0.31466592094163509</v>
      </c>
      <c r="D18" s="660">
        <f t="shared" si="1"/>
        <v>6481.9863151763611</v>
      </c>
      <c r="E18" s="661">
        <f>+FPART!$F19</f>
        <v>0.39045222807652885</v>
      </c>
      <c r="F18" s="662">
        <f t="shared" si="2"/>
        <v>8043.1525331642661</v>
      </c>
      <c r="G18" s="636">
        <f>+FPART!J19</f>
        <v>0.93309894828124873</v>
      </c>
      <c r="H18" s="667">
        <f t="shared" si="3"/>
        <v>4271.4328724430579</v>
      </c>
      <c r="I18" s="642">
        <f t="shared" si="4"/>
        <v>18796.571720783686</v>
      </c>
      <c r="J18" s="640"/>
      <c r="M18" s="639"/>
      <c r="N18" s="640"/>
      <c r="O18" s="641"/>
    </row>
    <row r="19" spans="1:15" s="613" customFormat="1" ht="12.75" x14ac:dyDescent="0.2">
      <c r="A19" s="631">
        <v>5</v>
      </c>
      <c r="B19" s="631" t="s">
        <v>54</v>
      </c>
      <c r="C19" s="659">
        <f>'COEFIC 2023'!I12</f>
        <v>0.22936098580581471</v>
      </c>
      <c r="D19" s="660">
        <f t="shared" si="1"/>
        <v>4724.7403429633214</v>
      </c>
      <c r="E19" s="661">
        <f>+FPART!$F20</f>
        <v>0.41290602770742135</v>
      </c>
      <c r="F19" s="662">
        <f t="shared" si="2"/>
        <v>8505.6914108908877</v>
      </c>
      <c r="G19" s="636">
        <f>+FPART!J20</f>
        <v>0.74669597756376371</v>
      </c>
      <c r="H19" s="667">
        <f t="shared" si="3"/>
        <v>3418.1388267147818</v>
      </c>
      <c r="I19" s="642">
        <f t="shared" si="4"/>
        <v>16648.57058056899</v>
      </c>
      <c r="M19" s="639"/>
      <c r="N19" s="640"/>
      <c r="O19" s="641"/>
    </row>
    <row r="20" spans="1:15" s="613" customFormat="1" ht="12.75" x14ac:dyDescent="0.2">
      <c r="A20" s="631">
        <v>6</v>
      </c>
      <c r="B20" s="631" t="s">
        <v>57</v>
      </c>
      <c r="C20" s="659">
        <f>'COEFIC 2023'!I13</f>
        <v>2.6572982151874371</v>
      </c>
      <c r="D20" s="660">
        <f t="shared" si="1"/>
        <v>54739.231419287971</v>
      </c>
      <c r="E20" s="661">
        <f>+FPART!$F21</f>
        <v>2.3148565147498155</v>
      </c>
      <c r="F20" s="662">
        <f t="shared" si="2"/>
        <v>47685.075667880425</v>
      </c>
      <c r="G20" s="636">
        <f>+FPART!J21</f>
        <v>1.1174691526029661</v>
      </c>
      <c r="H20" s="667">
        <f t="shared" si="3"/>
        <v>5115.4215543394785</v>
      </c>
      <c r="I20" s="642">
        <f t="shared" si="4"/>
        <v>107539.72864150787</v>
      </c>
      <c r="M20" s="639"/>
      <c r="N20" s="640"/>
      <c r="O20" s="641"/>
    </row>
    <row r="21" spans="1:15" s="613" customFormat="1" ht="12.75" x14ac:dyDescent="0.2">
      <c r="A21" s="631">
        <v>7</v>
      </c>
      <c r="B21" s="631" t="s">
        <v>44</v>
      </c>
      <c r="C21" s="659">
        <f>'COEFIC 2023'!I14</f>
        <v>7.4312790939103937E-2</v>
      </c>
      <c r="D21" s="660">
        <f t="shared" si="1"/>
        <v>1530.8124008738121</v>
      </c>
      <c r="E21" s="661">
        <f>+FPART!$F22</f>
        <v>0.37653818456552185</v>
      </c>
      <c r="F21" s="662">
        <f t="shared" si="2"/>
        <v>7756.5290584733275</v>
      </c>
      <c r="G21" s="636">
        <f>+FPART!J22</f>
        <v>0.3446437770918015</v>
      </c>
      <c r="H21" s="667">
        <f t="shared" si="3"/>
        <v>1577.6705798077278</v>
      </c>
      <c r="I21" s="642">
        <f t="shared" si="4"/>
        <v>10865.012039154866</v>
      </c>
      <c r="L21" s="640"/>
      <c r="M21" s="639"/>
      <c r="N21" s="640"/>
      <c r="O21" s="641"/>
    </row>
    <row r="22" spans="1:15" s="613" customFormat="1" ht="12.75" x14ac:dyDescent="0.2">
      <c r="A22" s="631">
        <v>8</v>
      </c>
      <c r="B22" s="631" t="s">
        <v>59</v>
      </c>
      <c r="C22" s="659">
        <f>'COEFIC 2023'!I15</f>
        <v>0.51962097739113877</v>
      </c>
      <c r="D22" s="660">
        <f t="shared" si="1"/>
        <v>10703.974724840517</v>
      </c>
      <c r="E22" s="661">
        <f>+FPART!$F23</f>
        <v>2.3668185263996966</v>
      </c>
      <c r="F22" s="662">
        <f t="shared" si="2"/>
        <v>48755.471366962302</v>
      </c>
      <c r="G22" s="636">
        <f>+FPART!J23</f>
        <v>0.37641255317525624</v>
      </c>
      <c r="H22" s="667">
        <f t="shared" si="3"/>
        <v>1723.098023199562</v>
      </c>
      <c r="I22" s="642">
        <f t="shared" si="4"/>
        <v>61182.544115002383</v>
      </c>
      <c r="L22" s="640"/>
      <c r="M22" s="639"/>
      <c r="N22" s="640"/>
      <c r="O22" s="641"/>
    </row>
    <row r="23" spans="1:15" s="613" customFormat="1" ht="12.75" x14ac:dyDescent="0.2">
      <c r="A23" s="631">
        <v>9</v>
      </c>
      <c r="B23" s="631" t="s">
        <v>342</v>
      </c>
      <c r="C23" s="659">
        <f>'COEFIC 2023'!I16</f>
        <v>0.76372238644925527</v>
      </c>
      <c r="D23" s="660">
        <f t="shared" si="1"/>
        <v>15732.361619408168</v>
      </c>
      <c r="E23" s="661">
        <f>+FPART!$F24</f>
        <v>0.92206001121936687</v>
      </c>
      <c r="F23" s="662">
        <f t="shared" si="2"/>
        <v>18994.05044121026</v>
      </c>
      <c r="G23" s="636">
        <f>+FPART!J24</f>
        <v>0.9472702299654876</v>
      </c>
      <c r="H23" s="667">
        <f t="shared" si="3"/>
        <v>4336.3045332055171</v>
      </c>
      <c r="I23" s="642">
        <f t="shared" si="4"/>
        <v>39062.716593823949</v>
      </c>
      <c r="L23" s="640"/>
      <c r="M23" s="639"/>
      <c r="N23" s="640"/>
      <c r="O23" s="641"/>
    </row>
    <row r="24" spans="1:15" s="613" customFormat="1" ht="12.75" x14ac:dyDescent="0.2">
      <c r="A24" s="631">
        <v>10</v>
      </c>
      <c r="B24" s="631" t="s">
        <v>64</v>
      </c>
      <c r="C24" s="659">
        <f>'COEFIC 2023'!I17</f>
        <v>0.428146122236855</v>
      </c>
      <c r="D24" s="660">
        <f t="shared" si="1"/>
        <v>8819.6309817416695</v>
      </c>
      <c r="E24" s="661">
        <f>+FPART!$F25</f>
        <v>2.5709050555810502</v>
      </c>
      <c r="F24" s="662">
        <f t="shared" si="2"/>
        <v>52959.568478294379</v>
      </c>
      <c r="G24" s="636">
        <f>+FPART!J25</f>
        <v>0.29850253295498103</v>
      </c>
      <c r="H24" s="667">
        <f t="shared" si="3"/>
        <v>1366.4505078695156</v>
      </c>
      <c r="I24" s="642">
        <f t="shared" si="4"/>
        <v>63145.649967905563</v>
      </c>
      <c r="M24" s="639"/>
      <c r="N24" s="640"/>
      <c r="O24" s="641"/>
    </row>
    <row r="25" spans="1:15" s="613" customFormat="1" ht="12.75" x14ac:dyDescent="0.2">
      <c r="A25" s="631">
        <v>11</v>
      </c>
      <c r="B25" s="631" t="s">
        <v>343</v>
      </c>
      <c r="C25" s="659">
        <f>'COEFIC 2023'!I18</f>
        <v>0.24597554858590909</v>
      </c>
      <c r="D25" s="660">
        <f t="shared" si="1"/>
        <v>5066.9933847001985</v>
      </c>
      <c r="E25" s="661">
        <f>+FPART!$F26</f>
        <v>0.48150914529440353</v>
      </c>
      <c r="F25" s="662">
        <f t="shared" si="2"/>
        <v>9918.8869296383218</v>
      </c>
      <c r="G25" s="636">
        <f>+FPART!J26</f>
        <v>0.7069813546622179</v>
      </c>
      <c r="H25" s="667">
        <f t="shared" si="3"/>
        <v>3236.3378011206441</v>
      </c>
      <c r="I25" s="642">
        <f t="shared" si="4"/>
        <v>18222.218115459164</v>
      </c>
      <c r="M25" s="639"/>
      <c r="N25" s="640"/>
      <c r="O25" s="641"/>
    </row>
    <row r="26" spans="1:15" s="613" customFormat="1" ht="12.75" x14ac:dyDescent="0.2">
      <c r="A26" s="631">
        <v>12</v>
      </c>
      <c r="B26" s="631" t="s">
        <v>70</v>
      </c>
      <c r="C26" s="659">
        <f>'COEFIC 2023'!I19</f>
        <v>0.95892770580473663</v>
      </c>
      <c r="D26" s="660">
        <f t="shared" si="1"/>
        <v>19753.509524225465</v>
      </c>
      <c r="E26" s="661">
        <f>+FPART!$F27</f>
        <v>1.0229413737008273</v>
      </c>
      <c r="F26" s="662">
        <f t="shared" si="2"/>
        <v>21072.164299566288</v>
      </c>
      <c r="G26" s="636">
        <f>+FPART!J27</f>
        <v>1.0116977575122408</v>
      </c>
      <c r="H26" s="667">
        <f t="shared" si="3"/>
        <v>4631.2334467578703</v>
      </c>
      <c r="I26" s="642">
        <f t="shared" si="4"/>
        <v>45456.907270549622</v>
      </c>
      <c r="M26" s="639"/>
      <c r="N26" s="640"/>
      <c r="O26" s="641"/>
    </row>
    <row r="27" spans="1:15" s="613" customFormat="1" ht="12.75" x14ac:dyDescent="0.2">
      <c r="A27" s="631">
        <v>13</v>
      </c>
      <c r="B27" s="631" t="s">
        <v>73</v>
      </c>
      <c r="C27" s="659">
        <f>'COEFIC 2023'!I20</f>
        <v>0.19322589109017221</v>
      </c>
      <c r="D27" s="660">
        <f t="shared" si="1"/>
        <v>3980.3725107447153</v>
      </c>
      <c r="E27" s="661">
        <f>+FPART!$F28</f>
        <v>0.96514801886169921</v>
      </c>
      <c r="F27" s="662">
        <f t="shared" si="2"/>
        <v>19881.64537061991</v>
      </c>
      <c r="G27" s="636">
        <f>+FPART!J28</f>
        <v>0.34878390370081253</v>
      </c>
      <c r="H27" s="667">
        <f t="shared" si="3"/>
        <v>1596.6227744558732</v>
      </c>
      <c r="I27" s="642">
        <f t="shared" si="4"/>
        <v>25458.640655820502</v>
      </c>
      <c r="M27" s="639"/>
      <c r="N27" s="640"/>
      <c r="O27" s="641"/>
    </row>
    <row r="28" spans="1:15" s="613" customFormat="1" ht="12.75" x14ac:dyDescent="0.2">
      <c r="A28" s="631">
        <v>14</v>
      </c>
      <c r="B28" s="631" t="s">
        <v>75</v>
      </c>
      <c r="C28" s="659">
        <f>'COEFIC 2023'!I21</f>
        <v>0.35844497800097119</v>
      </c>
      <c r="D28" s="660">
        <f t="shared" si="1"/>
        <v>7383.8165734412105</v>
      </c>
      <c r="E28" s="661">
        <f>+FPART!$F29</f>
        <v>0.57115855003271865</v>
      </c>
      <c r="F28" s="662">
        <f t="shared" si="2"/>
        <v>11765.627157936671</v>
      </c>
      <c r="G28" s="636">
        <f>+FPART!J29</f>
        <v>0.80624051696347643</v>
      </c>
      <c r="H28" s="667">
        <f t="shared" si="3"/>
        <v>3690.714959647848</v>
      </c>
      <c r="I28" s="642">
        <f t="shared" si="4"/>
        <v>22840.158691025732</v>
      </c>
      <c r="M28" s="639"/>
      <c r="N28" s="640"/>
      <c r="O28" s="641"/>
    </row>
    <row r="29" spans="1:15" s="613" customFormat="1" ht="12.75" x14ac:dyDescent="0.2">
      <c r="A29" s="631">
        <v>15</v>
      </c>
      <c r="B29" s="652" t="s">
        <v>77</v>
      </c>
      <c r="C29" s="659">
        <f>'COEFIC 2023'!I22</f>
        <v>0.41342675673205659</v>
      </c>
      <c r="D29" s="660">
        <f t="shared" si="1"/>
        <v>8516.4182109253488</v>
      </c>
      <c r="E29" s="661">
        <f>+FPART!$F30</f>
        <v>2.4541796257109025</v>
      </c>
      <c r="F29" s="662">
        <f t="shared" si="2"/>
        <v>50555.073460889194</v>
      </c>
      <c r="G29" s="636">
        <f>+FPART!J30</f>
        <v>0.30145252425752023</v>
      </c>
      <c r="H29" s="667">
        <f t="shared" si="3"/>
        <v>1379.9546382152816</v>
      </c>
      <c r="I29" s="664">
        <f>D29+F29+H29</f>
        <v>60451.446310029824</v>
      </c>
      <c r="M29" s="639"/>
      <c r="N29" s="640"/>
      <c r="O29" s="641"/>
    </row>
    <row r="30" spans="1:15" s="613" customFormat="1" ht="12.75" x14ac:dyDescent="0.2">
      <c r="A30" s="631">
        <v>16</v>
      </c>
      <c r="B30" s="631" t="s">
        <v>79</v>
      </c>
      <c r="C30" s="659">
        <f>'COEFIC 2023'!I23</f>
        <v>0.44147567640643642</v>
      </c>
      <c r="D30" s="660">
        <f t="shared" si="1"/>
        <v>9094.214220549582</v>
      </c>
      <c r="E30" s="661">
        <f>+FPART!$F31</f>
        <v>0.50820227003137264</v>
      </c>
      <c r="F30" s="662">
        <f t="shared" si="2"/>
        <v>10468.754130816495</v>
      </c>
      <c r="G30" s="636">
        <f>+FPART!J31</f>
        <v>0.97200905439695728</v>
      </c>
      <c r="H30" s="667">
        <f t="shared" si="3"/>
        <v>4449.5510737753248</v>
      </c>
      <c r="I30" s="642">
        <f t="shared" ref="I30:I61" si="5">D30+F30+H30</f>
        <v>24012.519425141403</v>
      </c>
      <c r="M30" s="639"/>
      <c r="N30" s="640"/>
      <c r="O30" s="641"/>
    </row>
    <row r="31" spans="1:15" s="613" customFormat="1" ht="12.75" x14ac:dyDescent="0.2">
      <c r="A31" s="631">
        <v>17</v>
      </c>
      <c r="B31" s="631" t="s">
        <v>81</v>
      </c>
      <c r="C31" s="659">
        <f>'COEFIC 2023'!I24</f>
        <v>0.73849520494031606</v>
      </c>
      <c r="D31" s="660">
        <f t="shared" si="1"/>
        <v>15212.692235376762</v>
      </c>
      <c r="E31" s="661">
        <f>+FPART!$F32</f>
        <v>0.66896812392176042</v>
      </c>
      <c r="F31" s="662">
        <f t="shared" si="2"/>
        <v>13780.463456525216</v>
      </c>
      <c r="G31" s="636">
        <f>+FPART!J32</f>
        <v>1.0971107594620315</v>
      </c>
      <c r="H31" s="667">
        <f t="shared" si="3"/>
        <v>5022.227247505798</v>
      </c>
      <c r="I31" s="642">
        <f t="shared" si="5"/>
        <v>34015.382939407777</v>
      </c>
      <c r="M31" s="639"/>
      <c r="N31" s="640"/>
      <c r="O31" s="641"/>
    </row>
    <row r="32" spans="1:15" s="613" customFormat="1" ht="12.75" x14ac:dyDescent="0.2">
      <c r="A32" s="631">
        <v>18</v>
      </c>
      <c r="B32" s="631" t="s">
        <v>82</v>
      </c>
      <c r="C32" s="659">
        <f>'COEFIC 2023'!I25</f>
        <v>0.19971167732118497</v>
      </c>
      <c r="D32" s="660">
        <f t="shared" si="1"/>
        <v>4113.9769934506194</v>
      </c>
      <c r="E32" s="661">
        <f>+FPART!$F33</f>
        <v>0.28026543034401025</v>
      </c>
      <c r="F32" s="662">
        <f t="shared" si="2"/>
        <v>5773.3506020305549</v>
      </c>
      <c r="G32" s="636">
        <f>+FPART!J33</f>
        <v>0.87000714146065139</v>
      </c>
      <c r="H32" s="667">
        <f t="shared" si="3"/>
        <v>3982.6184673558737</v>
      </c>
      <c r="I32" s="642">
        <f t="shared" si="5"/>
        <v>13869.946062837047</v>
      </c>
      <c r="M32" s="639"/>
      <c r="N32" s="640"/>
      <c r="O32" s="641"/>
    </row>
    <row r="33" spans="1:15" s="613" customFormat="1" ht="12.75" x14ac:dyDescent="0.2">
      <c r="A33" s="631">
        <v>19</v>
      </c>
      <c r="B33" s="631" t="s">
        <v>344</v>
      </c>
      <c r="C33" s="659">
        <f>'COEFIC 2023'!I26</f>
        <v>0.42532438407141443</v>
      </c>
      <c r="D33" s="660">
        <f t="shared" si="1"/>
        <v>8761.5043561488419</v>
      </c>
      <c r="E33" s="661">
        <f>+FPART!$F34</f>
        <v>0.62493143387391448</v>
      </c>
      <c r="F33" s="662">
        <f t="shared" si="2"/>
        <v>12873.326066490705</v>
      </c>
      <c r="G33" s="636">
        <f>+FPART!J34</f>
        <v>0.84676923048551944</v>
      </c>
      <c r="H33" s="667">
        <f t="shared" si="3"/>
        <v>3876.2426355012585</v>
      </c>
      <c r="I33" s="642">
        <f t="shared" si="5"/>
        <v>25511.073058140806</v>
      </c>
      <c r="M33" s="639"/>
      <c r="N33" s="640"/>
      <c r="O33" s="641"/>
    </row>
    <row r="34" spans="1:15" s="613" customFormat="1" ht="12.75" x14ac:dyDescent="0.2">
      <c r="A34" s="631">
        <v>20</v>
      </c>
      <c r="B34" s="631" t="s">
        <v>87</v>
      </c>
      <c r="C34" s="659">
        <f>'COEFIC 2023'!I27</f>
        <v>0.62983722782334906</v>
      </c>
      <c r="D34" s="660">
        <f t="shared" si="1"/>
        <v>12974.38336926487</v>
      </c>
      <c r="E34" s="661">
        <f>+FPART!$F35</f>
        <v>0.53262041220293821</v>
      </c>
      <c r="F34" s="662">
        <f t="shared" si="2"/>
        <v>10971.757643000061</v>
      </c>
      <c r="G34" s="636">
        <f>+FPART!J35</f>
        <v>1.1328986870144744</v>
      </c>
      <c r="H34" s="667">
        <f t="shared" si="3"/>
        <v>5186.0530994861165</v>
      </c>
      <c r="I34" s="642">
        <f t="shared" si="5"/>
        <v>29132.194111751051</v>
      </c>
      <c r="M34" s="639"/>
      <c r="N34" s="640"/>
      <c r="O34" s="641"/>
    </row>
    <row r="35" spans="1:15" s="613" customFormat="1" ht="12.75" x14ac:dyDescent="0.2">
      <c r="A35" s="631">
        <v>21</v>
      </c>
      <c r="B35" s="631" t="s">
        <v>88</v>
      </c>
      <c r="C35" s="659">
        <f>'COEFIC 2023'!I28</f>
        <v>0.28510084344701853</v>
      </c>
      <c r="D35" s="660">
        <f t="shared" si="1"/>
        <v>5872.9580888156834</v>
      </c>
      <c r="E35" s="661">
        <f>+FPART!$F36</f>
        <v>0.29534014984136081</v>
      </c>
      <c r="F35" s="662">
        <f t="shared" si="2"/>
        <v>6083.8835164133388</v>
      </c>
      <c r="G35" s="636">
        <f>+FPART!J36</f>
        <v>1.0270233276278691</v>
      </c>
      <c r="H35" s="667">
        <f t="shared" si="3"/>
        <v>4701.3890761275161</v>
      </c>
      <c r="I35" s="642">
        <f t="shared" si="5"/>
        <v>16658.230681356537</v>
      </c>
      <c r="M35" s="639"/>
      <c r="N35" s="640"/>
      <c r="O35" s="641"/>
    </row>
    <row r="36" spans="1:15" s="613" customFormat="1" ht="12.75" x14ac:dyDescent="0.2">
      <c r="A36" s="631">
        <v>22</v>
      </c>
      <c r="B36" s="631" t="s">
        <v>91</v>
      </c>
      <c r="C36" s="659">
        <f>'COEFIC 2023'!I29</f>
        <v>0.52934965673765799</v>
      </c>
      <c r="D36" s="660">
        <f t="shared" si="1"/>
        <v>10904.381448899374</v>
      </c>
      <c r="E36" s="661">
        <f>+FPART!$F37</f>
        <v>0.58909725889407172</v>
      </c>
      <c r="F36" s="662">
        <f t="shared" si="2"/>
        <v>12135.157054924755</v>
      </c>
      <c r="G36" s="636">
        <f>+FPART!J37</f>
        <v>0.9896169889340688</v>
      </c>
      <c r="H36" s="667">
        <f t="shared" si="3"/>
        <v>4530.1546480652551</v>
      </c>
      <c r="I36" s="642">
        <f t="shared" si="5"/>
        <v>27569.693151889383</v>
      </c>
      <c r="M36" s="639"/>
      <c r="N36" s="640"/>
      <c r="O36" s="641"/>
    </row>
    <row r="37" spans="1:15" s="613" customFormat="1" ht="12.75" x14ac:dyDescent="0.2">
      <c r="A37" s="631">
        <v>23</v>
      </c>
      <c r="B37" s="631" t="s">
        <v>60</v>
      </c>
      <c r="C37" s="659">
        <f>'COEFIC 2023'!I30</f>
        <v>0.21935855574175284</v>
      </c>
      <c r="D37" s="660">
        <f t="shared" si="1"/>
        <v>4518.6944686603856</v>
      </c>
      <c r="E37" s="661">
        <f>+FPART!$F38</f>
        <v>0.33156680672772304</v>
      </c>
      <c r="F37" s="662">
        <f t="shared" si="2"/>
        <v>6830.1374910391596</v>
      </c>
      <c r="G37" s="636">
        <f>+FPART!J38</f>
        <v>0.83253345540973678</v>
      </c>
      <c r="H37" s="667">
        <f t="shared" si="3"/>
        <v>3811.0757443206294</v>
      </c>
      <c r="I37" s="642">
        <f t="shared" si="5"/>
        <v>15159.907704020176</v>
      </c>
      <c r="M37" s="639"/>
      <c r="N37" s="640"/>
      <c r="O37" s="641"/>
    </row>
    <row r="38" spans="1:15" s="613" customFormat="1" ht="12.75" x14ac:dyDescent="0.2">
      <c r="A38" s="631">
        <v>24</v>
      </c>
      <c r="B38" s="631" t="s">
        <v>95</v>
      </c>
      <c r="C38" s="659">
        <f>'COEFIC 2023'!I31</f>
        <v>0.43349479010269021</v>
      </c>
      <c r="D38" s="660">
        <f t="shared" si="1"/>
        <v>8929.811301895239</v>
      </c>
      <c r="E38" s="661">
        <f>+FPART!$F39</f>
        <v>0.37830699446529953</v>
      </c>
      <c r="F38" s="662">
        <f t="shared" si="2"/>
        <v>7792.9658023386855</v>
      </c>
      <c r="G38" s="636">
        <f>+FPART!J39</f>
        <v>1.1165386556009005</v>
      </c>
      <c r="H38" s="667">
        <f t="shared" si="3"/>
        <v>5111.1620323566767</v>
      </c>
      <c r="I38" s="642">
        <f t="shared" si="5"/>
        <v>21833.939136590598</v>
      </c>
      <c r="M38" s="639"/>
      <c r="N38" s="640"/>
      <c r="O38" s="641"/>
    </row>
    <row r="39" spans="1:15" s="613" customFormat="1" ht="12.75" x14ac:dyDescent="0.2">
      <c r="A39" s="631">
        <v>25</v>
      </c>
      <c r="B39" s="631" t="s">
        <v>97</v>
      </c>
      <c r="C39" s="659">
        <f>'COEFIC 2023'!I32</f>
        <v>0.8541022387333681</v>
      </c>
      <c r="D39" s="660">
        <f t="shared" si="1"/>
        <v>17594.148761530698</v>
      </c>
      <c r="E39" s="661">
        <f>+FPART!$F40</f>
        <v>0.57696638894395824</v>
      </c>
      <c r="F39" s="662">
        <f t="shared" si="2"/>
        <v>11885.266209508405</v>
      </c>
      <c r="G39" s="636">
        <f>+FPART!J40</f>
        <v>1.2479272892564075</v>
      </c>
      <c r="H39" s="667">
        <f t="shared" si="3"/>
        <v>5712.6177835342596</v>
      </c>
      <c r="I39" s="642">
        <f t="shared" si="5"/>
        <v>35192.03275457336</v>
      </c>
      <c r="M39" s="639"/>
      <c r="N39" s="640"/>
      <c r="O39" s="641"/>
    </row>
    <row r="40" spans="1:15" s="613" customFormat="1" ht="12.75" x14ac:dyDescent="0.2">
      <c r="A40" s="631">
        <v>26</v>
      </c>
      <c r="B40" s="631" t="s">
        <v>345</v>
      </c>
      <c r="C40" s="659">
        <f>'COEFIC 2023'!I33</f>
        <v>0.10050862883319442</v>
      </c>
      <c r="D40" s="660">
        <f t="shared" si="1"/>
        <v>2070.4357011535012</v>
      </c>
      <c r="E40" s="661">
        <f>+FPART!$F41</f>
        <v>0.94812774970318459</v>
      </c>
      <c r="F40" s="662">
        <f t="shared" si="2"/>
        <v>19531.034947235126</v>
      </c>
      <c r="G40" s="636">
        <f>+FPART!J41</f>
        <v>0.20040950302944549</v>
      </c>
      <c r="H40" s="667">
        <f t="shared" si="3"/>
        <v>917.41153579344655</v>
      </c>
      <c r="I40" s="642">
        <f t="shared" si="5"/>
        <v>22518.882184182072</v>
      </c>
      <c r="M40" s="639"/>
      <c r="N40" s="640"/>
      <c r="O40" s="641"/>
    </row>
    <row r="41" spans="1:15" s="613" customFormat="1" ht="12.75" x14ac:dyDescent="0.2">
      <c r="A41" s="631">
        <v>27</v>
      </c>
      <c r="B41" s="631" t="s">
        <v>71</v>
      </c>
      <c r="C41" s="659">
        <f>'COEFIC 2023'!I34</f>
        <v>0.10410950365625671</v>
      </c>
      <c r="D41" s="660">
        <f t="shared" si="1"/>
        <v>2144.6122159025585</v>
      </c>
      <c r="E41" s="661">
        <f>+FPART!$F42</f>
        <v>0.23628668401264072</v>
      </c>
      <c r="F41" s="662">
        <f t="shared" si="2"/>
        <v>4867.4068283118077</v>
      </c>
      <c r="G41" s="636">
        <f>+FPART!J42</f>
        <v>0.63950739550870017</v>
      </c>
      <c r="H41" s="667">
        <f t="shared" si="3"/>
        <v>2927.4632839077649</v>
      </c>
      <c r="I41" s="642">
        <f t="shared" si="5"/>
        <v>9939.4823281221325</v>
      </c>
      <c r="M41" s="639"/>
      <c r="N41" s="640"/>
      <c r="O41" s="641"/>
    </row>
    <row r="42" spans="1:15" s="613" customFormat="1" ht="12.75" x14ac:dyDescent="0.2">
      <c r="A42" s="631">
        <v>28</v>
      </c>
      <c r="B42" s="631" t="s">
        <v>72</v>
      </c>
      <c r="C42" s="659">
        <f>'COEFIC 2023'!I35</f>
        <v>0.11019519268470698</v>
      </c>
      <c r="D42" s="660">
        <f t="shared" si="1"/>
        <v>2269.9748636363447</v>
      </c>
      <c r="E42" s="661">
        <f>+FPART!$F43</f>
        <v>0.25822216015596905</v>
      </c>
      <c r="F42" s="662">
        <f t="shared" si="2"/>
        <v>5319.2684590611534</v>
      </c>
      <c r="G42" s="636">
        <f>+FPART!J43</f>
        <v>0.62540659063940485</v>
      </c>
      <c r="H42" s="667">
        <f t="shared" si="3"/>
        <v>2862.9142437898258</v>
      </c>
      <c r="I42" s="642">
        <f t="shared" si="5"/>
        <v>10452.157566487323</v>
      </c>
      <c r="M42" s="639"/>
      <c r="N42" s="640"/>
      <c r="O42" s="641"/>
    </row>
    <row r="43" spans="1:15" s="613" customFormat="1" ht="12.75" x14ac:dyDescent="0.2">
      <c r="A43" s="631">
        <v>29</v>
      </c>
      <c r="B43" s="631" t="s">
        <v>61</v>
      </c>
      <c r="C43" s="659">
        <f>'COEFIC 2023'!I36</f>
        <v>0.25989471968558259</v>
      </c>
      <c r="D43" s="660">
        <f t="shared" si="1"/>
        <v>5353.7224855722843</v>
      </c>
      <c r="E43" s="661">
        <f>+FPART!$F44</f>
        <v>0.80482357884115929</v>
      </c>
      <c r="F43" s="662">
        <f t="shared" si="2"/>
        <v>16579.028985942496</v>
      </c>
      <c r="G43" s="636">
        <f>+FPART!J44</f>
        <v>0.51039054519633531</v>
      </c>
      <c r="H43" s="667">
        <f t="shared" si="3"/>
        <v>2336.4070408089769</v>
      </c>
      <c r="I43" s="642">
        <f t="shared" si="5"/>
        <v>24269.158512323756</v>
      </c>
      <c r="M43" s="639"/>
      <c r="N43" s="640"/>
      <c r="O43" s="641"/>
    </row>
    <row r="44" spans="1:15" s="613" customFormat="1" ht="12.75" x14ac:dyDescent="0.2">
      <c r="A44" s="631">
        <v>30</v>
      </c>
      <c r="B44" s="631" t="s">
        <v>104</v>
      </c>
      <c r="C44" s="659">
        <f>'COEFIC 2023'!I37</f>
        <v>0.24953430791396478</v>
      </c>
      <c r="D44" s="660">
        <f t="shared" si="1"/>
        <v>5140.3023378732423</v>
      </c>
      <c r="E44" s="661">
        <f>+FPART!$F45</f>
        <v>0.37167013004425603</v>
      </c>
      <c r="F44" s="662">
        <f t="shared" si="2"/>
        <v>7656.2491721292636</v>
      </c>
      <c r="G44" s="636">
        <f>+FPART!J45</f>
        <v>0.83991550252888769</v>
      </c>
      <c r="H44" s="667">
        <f t="shared" si="3"/>
        <v>3844.8684292108505</v>
      </c>
      <c r="I44" s="642">
        <f t="shared" si="5"/>
        <v>16641.419939213356</v>
      </c>
      <c r="M44" s="639"/>
      <c r="N44" s="640"/>
      <c r="O44" s="641"/>
    </row>
    <row r="45" spans="1:15" s="613" customFormat="1" ht="12.75" x14ac:dyDescent="0.2">
      <c r="A45" s="631">
        <v>31</v>
      </c>
      <c r="B45" s="631" t="s">
        <v>48</v>
      </c>
      <c r="C45" s="659">
        <f>'COEFIC 2023'!I38</f>
        <v>0.33928242777297896</v>
      </c>
      <c r="D45" s="660">
        <f t="shared" si="1"/>
        <v>6989.0760563555859</v>
      </c>
      <c r="E45" s="661">
        <f>+FPART!$F46</f>
        <v>0.55583300952537551</v>
      </c>
      <c r="F45" s="662">
        <f t="shared" si="2"/>
        <v>11449.927435691548</v>
      </c>
      <c r="G45" s="636">
        <f>+FPART!J46</f>
        <v>0.79254184703312069</v>
      </c>
      <c r="H45" s="667">
        <f t="shared" si="3"/>
        <v>3628.0067665274414</v>
      </c>
      <c r="I45" s="642">
        <f t="shared" si="5"/>
        <v>22067.010258574574</v>
      </c>
      <c r="M45" s="639"/>
      <c r="N45" s="640"/>
      <c r="O45" s="641"/>
    </row>
    <row r="46" spans="1:15" s="613" customFormat="1" ht="12.75" x14ac:dyDescent="0.2">
      <c r="A46" s="631">
        <v>32</v>
      </c>
      <c r="B46" s="631" t="s">
        <v>83</v>
      </c>
      <c r="C46" s="659">
        <f>'COEFIC 2023'!I39</f>
        <v>0.33092250201417356</v>
      </c>
      <c r="D46" s="660">
        <f t="shared" si="1"/>
        <v>6816.8650835171329</v>
      </c>
      <c r="E46" s="661">
        <f>+FPART!$F47</f>
        <v>0.35285067758515876</v>
      </c>
      <c r="F46" s="662">
        <f t="shared" si="2"/>
        <v>7268.5763255307684</v>
      </c>
      <c r="G46" s="636">
        <f>+FPART!J47</f>
        <v>1.0119385015504034</v>
      </c>
      <c r="H46" s="667">
        <f t="shared" si="3"/>
        <v>4632.3354970820574</v>
      </c>
      <c r="I46" s="642">
        <f t="shared" si="5"/>
        <v>18717.776906129959</v>
      </c>
      <c r="M46" s="639"/>
      <c r="N46" s="640"/>
      <c r="O46" s="641"/>
    </row>
    <row r="47" spans="1:15" s="613" customFormat="1" ht="12.75" x14ac:dyDescent="0.2">
      <c r="A47" s="631">
        <v>33</v>
      </c>
      <c r="B47" s="631" t="s">
        <v>108</v>
      </c>
      <c r="C47" s="659">
        <f>'COEFIC 2023'!I40</f>
        <v>0.45202560790558383</v>
      </c>
      <c r="D47" s="660">
        <f t="shared" ref="D47:D78" si="6">$F$8*C47%</f>
        <v>9311.5383953406799</v>
      </c>
      <c r="E47" s="661">
        <f>+FPART!$F48</f>
        <v>0.49576725952589529</v>
      </c>
      <c r="F47" s="662">
        <f t="shared" ref="F47:F78" si="7">$F$9*E47%</f>
        <v>10212.598117212057</v>
      </c>
      <c r="G47" s="636">
        <f>+FPART!J48</f>
        <v>0.99721656830305083</v>
      </c>
      <c r="H47" s="667">
        <f t="shared" ref="H47:H78" si="8">$F$10*G47%</f>
        <v>4564.9431270290379</v>
      </c>
      <c r="I47" s="642">
        <f t="shared" si="5"/>
        <v>24089.079639581774</v>
      </c>
      <c r="M47" s="639"/>
      <c r="N47" s="640"/>
      <c r="O47" s="641"/>
    </row>
    <row r="48" spans="1:15" s="613" customFormat="1" ht="12.75" x14ac:dyDescent="0.2">
      <c r="A48" s="631">
        <v>34</v>
      </c>
      <c r="B48" s="631" t="s">
        <v>110</v>
      </c>
      <c r="C48" s="659">
        <f>'COEFIC 2023'!I41</f>
        <v>2.6472115541333623</v>
      </c>
      <c r="D48" s="660">
        <f t="shared" si="6"/>
        <v>54531.450421833011</v>
      </c>
      <c r="E48" s="661">
        <f>+FPART!$F49</f>
        <v>1.9717994179898699</v>
      </c>
      <c r="F48" s="662">
        <f t="shared" si="7"/>
        <v>40618.243009714832</v>
      </c>
      <c r="G48" s="636">
        <f>+FPART!J49</f>
        <v>1.1983385718274551</v>
      </c>
      <c r="H48" s="667">
        <f t="shared" si="8"/>
        <v>5485.6162655082489</v>
      </c>
      <c r="I48" s="642">
        <f t="shared" si="5"/>
        <v>100635.30969705609</v>
      </c>
      <c r="M48" s="639"/>
      <c r="N48" s="640"/>
      <c r="O48" s="641"/>
    </row>
    <row r="49" spans="1:15" s="613" customFormat="1" ht="12.75" x14ac:dyDescent="0.2">
      <c r="A49" s="631">
        <v>35</v>
      </c>
      <c r="B49" s="631" t="s">
        <v>112</v>
      </c>
      <c r="C49" s="659">
        <f>'COEFIC 2023'!I42</f>
        <v>0.64493563278320676</v>
      </c>
      <c r="D49" s="660">
        <f t="shared" si="6"/>
        <v>13285.404194265302</v>
      </c>
      <c r="E49" s="661">
        <f>+FPART!$F50</f>
        <v>1.3912005894388211</v>
      </c>
      <c r="F49" s="662">
        <f t="shared" si="7"/>
        <v>28658.150064113092</v>
      </c>
      <c r="G49" s="636">
        <f>+FPART!J50</f>
        <v>0.66229187199343809</v>
      </c>
      <c r="H49" s="667">
        <f t="shared" si="8"/>
        <v>3031.7634355879068</v>
      </c>
      <c r="I49" s="642">
        <f t="shared" si="5"/>
        <v>44975.317693966303</v>
      </c>
      <c r="M49" s="639"/>
      <c r="N49" s="640"/>
      <c r="O49" s="641"/>
    </row>
    <row r="50" spans="1:15" s="613" customFormat="1" ht="12.75" x14ac:dyDescent="0.2">
      <c r="A50" s="631">
        <v>36</v>
      </c>
      <c r="B50" s="631" t="s">
        <v>114</v>
      </c>
      <c r="C50" s="659">
        <f>'COEFIC 2023'!I43</f>
        <v>0.24519641192828742</v>
      </c>
      <c r="D50" s="660">
        <f t="shared" si="6"/>
        <v>5050.9434955439701</v>
      </c>
      <c r="E50" s="661">
        <f>+FPART!$F51</f>
        <v>0.38634093434527844</v>
      </c>
      <c r="F50" s="662">
        <f t="shared" si="7"/>
        <v>7958.4616024658053</v>
      </c>
      <c r="G50" s="636">
        <f>+FPART!J51</f>
        <v>0.81181104447788688</v>
      </c>
      <c r="H50" s="667">
        <f t="shared" si="8"/>
        <v>3716.2150787785467</v>
      </c>
      <c r="I50" s="642">
        <f t="shared" si="5"/>
        <v>16725.620176788321</v>
      </c>
      <c r="M50" s="639"/>
      <c r="N50" s="640"/>
      <c r="O50" s="641"/>
    </row>
    <row r="51" spans="1:15" s="613" customFormat="1" ht="12.75" x14ac:dyDescent="0.2">
      <c r="A51" s="631">
        <v>37</v>
      </c>
      <c r="B51" s="631" t="s">
        <v>92</v>
      </c>
      <c r="C51" s="659">
        <f>'COEFIC 2023'!I44</f>
        <v>0.16730380391362448</v>
      </c>
      <c r="D51" s="660">
        <f t="shared" si="6"/>
        <v>3446.3883607091066</v>
      </c>
      <c r="E51" s="661">
        <f>+FPART!$F52</f>
        <v>0.29726517420617776</v>
      </c>
      <c r="F51" s="662">
        <f t="shared" si="7"/>
        <v>6123.5382128983738</v>
      </c>
      <c r="G51" s="636">
        <f>+FPART!J52</f>
        <v>0.75300089428431383</v>
      </c>
      <c r="H51" s="667">
        <f t="shared" si="8"/>
        <v>3447.00074815171</v>
      </c>
      <c r="I51" s="642">
        <f t="shared" si="5"/>
        <v>13016.927321759191</v>
      </c>
      <c r="M51" s="639"/>
      <c r="N51" s="640"/>
      <c r="O51" s="641"/>
    </row>
    <row r="52" spans="1:15" s="613" customFormat="1" ht="12.75" x14ac:dyDescent="0.2">
      <c r="A52" s="631">
        <v>38</v>
      </c>
      <c r="B52" s="631" t="s">
        <v>51</v>
      </c>
      <c r="C52" s="659">
        <f>'COEFIC 2023'!I45</f>
        <v>0.88385683595551423</v>
      </c>
      <c r="D52" s="660">
        <f t="shared" si="6"/>
        <v>18207.081014983429</v>
      </c>
      <c r="E52" s="661">
        <f>+FPART!$F53</f>
        <v>1.9184634861274525</v>
      </c>
      <c r="F52" s="662">
        <f t="shared" si="7"/>
        <v>39519.545129102924</v>
      </c>
      <c r="G52" s="636">
        <f>+FPART!J53</f>
        <v>0.65948364803154547</v>
      </c>
      <c r="H52" s="667">
        <f t="shared" si="8"/>
        <v>3018.9082714425554</v>
      </c>
      <c r="I52" s="642">
        <f t="shared" si="5"/>
        <v>60745.534415528906</v>
      </c>
      <c r="M52" s="639"/>
      <c r="N52" s="640"/>
      <c r="O52" s="641"/>
    </row>
    <row r="53" spans="1:15" s="613" customFormat="1" ht="12.75" x14ac:dyDescent="0.2">
      <c r="A53" s="631">
        <v>39</v>
      </c>
      <c r="B53" s="631" t="s">
        <v>105</v>
      </c>
      <c r="C53" s="659">
        <f>'COEFIC 2023'!I46</f>
        <v>0.18983559374214284</v>
      </c>
      <c r="D53" s="660">
        <f t="shared" si="6"/>
        <v>3910.5338038757209</v>
      </c>
      <c r="E53" s="661">
        <f>+FPART!$F54</f>
        <v>0.31996796117075799</v>
      </c>
      <c r="F53" s="662">
        <f t="shared" si="7"/>
        <v>6591.2061255226608</v>
      </c>
      <c r="G53" s="636">
        <f>+FPART!J54</f>
        <v>0.77860048179540364</v>
      </c>
      <c r="H53" s="667">
        <f t="shared" si="8"/>
        <v>3564.1875907874955</v>
      </c>
      <c r="I53" s="642">
        <f t="shared" si="5"/>
        <v>14065.927520185876</v>
      </c>
      <c r="M53" s="639"/>
      <c r="N53" s="640"/>
      <c r="O53" s="641"/>
    </row>
    <row r="54" spans="1:15" s="613" customFormat="1" ht="12.75" x14ac:dyDescent="0.2">
      <c r="A54" s="631">
        <v>40</v>
      </c>
      <c r="B54" s="631" t="s">
        <v>96</v>
      </c>
      <c r="C54" s="659">
        <f>'COEFIC 2023'!I47</f>
        <v>0.38714668784795297</v>
      </c>
      <c r="D54" s="660">
        <f t="shared" si="6"/>
        <v>7975.0597874936348</v>
      </c>
      <c r="E54" s="661">
        <f>+FPART!$F55</f>
        <v>0.4670133881314788</v>
      </c>
      <c r="F54" s="662">
        <f t="shared" si="7"/>
        <v>9620.2803971068697</v>
      </c>
      <c r="G54" s="636">
        <f>+FPART!J55</f>
        <v>0.94771152584822815</v>
      </c>
      <c r="H54" s="667">
        <f t="shared" si="8"/>
        <v>4338.3246466602413</v>
      </c>
      <c r="I54" s="642">
        <f t="shared" si="5"/>
        <v>21933.664831260743</v>
      </c>
      <c r="M54" s="639"/>
      <c r="N54" s="640"/>
      <c r="O54" s="641"/>
    </row>
    <row r="55" spans="1:15" s="613" customFormat="1" ht="12.75" x14ac:dyDescent="0.2">
      <c r="A55" s="631">
        <v>41</v>
      </c>
      <c r="B55" s="631" t="s">
        <v>98</v>
      </c>
      <c r="C55" s="659">
        <f>'COEFIC 2023'!I48</f>
        <v>0.3378294431952521</v>
      </c>
      <c r="D55" s="660">
        <f t="shared" si="6"/>
        <v>6959.14518198316</v>
      </c>
      <c r="E55" s="661">
        <f>+FPART!$F56</f>
        <v>0.51242411214883699</v>
      </c>
      <c r="F55" s="662">
        <f t="shared" si="7"/>
        <v>10555.722312017519</v>
      </c>
      <c r="G55" s="636">
        <f>+FPART!J56</f>
        <v>0.83078552954091656</v>
      </c>
      <c r="H55" s="667">
        <f t="shared" si="8"/>
        <v>3803.0742906394044</v>
      </c>
      <c r="I55" s="642">
        <f t="shared" si="5"/>
        <v>21317.941784640083</v>
      </c>
      <c r="M55" s="639"/>
      <c r="N55" s="640"/>
      <c r="O55" s="641"/>
    </row>
    <row r="56" spans="1:15" s="613" customFormat="1" ht="12.75" x14ac:dyDescent="0.2">
      <c r="A56" s="631">
        <v>42</v>
      </c>
      <c r="B56" s="631" t="s">
        <v>122</v>
      </c>
      <c r="C56" s="659">
        <f>'COEFIC 2023'!I49</f>
        <v>0.30116790479202737</v>
      </c>
      <c r="D56" s="660">
        <f t="shared" si="6"/>
        <v>6203.9328300643992</v>
      </c>
      <c r="E56" s="661">
        <f>+FPART!$F57</f>
        <v>0.39561419725385255</v>
      </c>
      <c r="F56" s="662">
        <f t="shared" si="7"/>
        <v>8149.4869384492304</v>
      </c>
      <c r="G56" s="636">
        <f>+FPART!J57</f>
        <v>0.90375681182419565</v>
      </c>
      <c r="H56" s="667">
        <f t="shared" si="8"/>
        <v>4137.113820384081</v>
      </c>
      <c r="I56" s="642">
        <f t="shared" si="5"/>
        <v>18490.53358889771</v>
      </c>
      <c r="M56" s="639"/>
      <c r="N56" s="640"/>
      <c r="O56" s="641"/>
    </row>
    <row r="57" spans="1:15" s="613" customFormat="1" ht="12.75" x14ac:dyDescent="0.2">
      <c r="A57" s="631">
        <v>43</v>
      </c>
      <c r="B57" s="631" t="s">
        <v>346</v>
      </c>
      <c r="C57" s="659">
        <f>'COEFIC 2023'!I50</f>
        <v>1.4483729310236635</v>
      </c>
      <c r="D57" s="660">
        <f t="shared" si="6"/>
        <v>29835.876379853129</v>
      </c>
      <c r="E57" s="661">
        <f>+FPART!$F58</f>
        <v>1.9015322371627141</v>
      </c>
      <c r="F57" s="662">
        <f t="shared" si="7"/>
        <v>39170.768484463879</v>
      </c>
      <c r="G57" s="636">
        <f>+FPART!J58</f>
        <v>0.90404025564543489</v>
      </c>
      <c r="H57" s="667">
        <f t="shared" si="8"/>
        <v>4138.4113368562212</v>
      </c>
      <c r="I57" s="642">
        <f t="shared" si="5"/>
        <v>73145.056201173225</v>
      </c>
      <c r="M57" s="639"/>
      <c r="N57" s="640"/>
      <c r="O57" s="641"/>
    </row>
    <row r="58" spans="1:15" s="613" customFormat="1" ht="12.75" x14ac:dyDescent="0.2">
      <c r="A58" s="631">
        <v>44</v>
      </c>
      <c r="B58" s="631" t="s">
        <v>102</v>
      </c>
      <c r="C58" s="659">
        <f>'COEFIC 2023'!I51</f>
        <v>0.27261359917756861</v>
      </c>
      <c r="D58" s="660">
        <f t="shared" si="6"/>
        <v>5615.7260815280169</v>
      </c>
      <c r="E58" s="661">
        <f>+FPART!$F59</f>
        <v>0.37461514740795937</v>
      </c>
      <c r="F58" s="662">
        <f t="shared" si="7"/>
        <v>7716.9152976262876</v>
      </c>
      <c r="G58" s="636">
        <f>+FPART!J59</f>
        <v>0.88070325427299512</v>
      </c>
      <c r="H58" s="667">
        <f t="shared" si="8"/>
        <v>4031.5819003960246</v>
      </c>
      <c r="I58" s="642">
        <f t="shared" si="5"/>
        <v>17364.22327955033</v>
      </c>
      <c r="M58" s="639"/>
      <c r="N58" s="640"/>
      <c r="O58" s="641"/>
    </row>
    <row r="59" spans="1:15" s="613" customFormat="1" ht="12.75" x14ac:dyDescent="0.2">
      <c r="A59" s="631">
        <v>45</v>
      </c>
      <c r="B59" s="631" t="s">
        <v>127</v>
      </c>
      <c r="C59" s="659">
        <f>'COEFIC 2023'!I52</f>
        <v>0.76140603422389352</v>
      </c>
      <c r="D59" s="660">
        <f t="shared" si="6"/>
        <v>15684.645732727486</v>
      </c>
      <c r="E59" s="661">
        <f>+FPART!$F60</f>
        <v>0.75599148751357081</v>
      </c>
      <c r="F59" s="662">
        <f t="shared" si="7"/>
        <v>15573.108335941182</v>
      </c>
      <c r="G59" s="636">
        <f>+FPART!J60</f>
        <v>1.0491964841174999</v>
      </c>
      <c r="H59" s="667">
        <f t="shared" si="8"/>
        <v>4802.8907975581205</v>
      </c>
      <c r="I59" s="642">
        <f t="shared" si="5"/>
        <v>36060.644866226794</v>
      </c>
      <c r="M59" s="639"/>
      <c r="N59" s="640"/>
      <c r="O59" s="641"/>
    </row>
    <row r="60" spans="1:15" s="613" customFormat="1" ht="12.75" x14ac:dyDescent="0.2">
      <c r="A60" s="631">
        <v>46</v>
      </c>
      <c r="B60" s="631" t="s">
        <v>119</v>
      </c>
      <c r="C60" s="659">
        <f>'COEFIC 2023'!I53</f>
        <v>0.31451851670911207</v>
      </c>
      <c r="D60" s="660">
        <f t="shared" si="6"/>
        <v>6478.9498496603173</v>
      </c>
      <c r="E60" s="661">
        <f>+FPART!$F61</f>
        <v>0.43928797738663627</v>
      </c>
      <c r="F60" s="662">
        <f t="shared" si="7"/>
        <v>9049.1485360749684</v>
      </c>
      <c r="G60" s="636">
        <f>+FPART!J61</f>
        <v>0.87242123304316332</v>
      </c>
      <c r="H60" s="667">
        <f t="shared" si="8"/>
        <v>3993.6694176989467</v>
      </c>
      <c r="I60" s="642">
        <f t="shared" si="5"/>
        <v>19521.767803434232</v>
      </c>
      <c r="M60" s="639"/>
      <c r="N60" s="640"/>
      <c r="O60" s="641"/>
    </row>
    <row r="61" spans="1:15" s="613" customFormat="1" ht="12.75" x14ac:dyDescent="0.2">
      <c r="A61" s="631">
        <v>47</v>
      </c>
      <c r="B61" s="631" t="s">
        <v>121</v>
      </c>
      <c r="C61" s="659">
        <f>'COEFIC 2023'!I54</f>
        <v>0.41765936398021752</v>
      </c>
      <c r="D61" s="660">
        <f t="shared" si="6"/>
        <v>8603.6081493145903</v>
      </c>
      <c r="E61" s="661">
        <f>+FPART!$F62</f>
        <v>0.56420574714884908</v>
      </c>
      <c r="F61" s="662">
        <f t="shared" si="7"/>
        <v>11622.402327581683</v>
      </c>
      <c r="G61" s="636">
        <f>+FPART!J62</f>
        <v>0.88942693458047528</v>
      </c>
      <c r="H61" s="667">
        <f t="shared" si="8"/>
        <v>4071.5161591396359</v>
      </c>
      <c r="I61" s="642">
        <f t="shared" si="5"/>
        <v>24297.526636035909</v>
      </c>
      <c r="M61" s="639"/>
      <c r="N61" s="640"/>
      <c r="O61" s="641"/>
    </row>
    <row r="62" spans="1:15" s="613" customFormat="1" ht="12.75" x14ac:dyDescent="0.2">
      <c r="A62" s="631">
        <v>48</v>
      </c>
      <c r="B62" s="631" t="s">
        <v>47</v>
      </c>
      <c r="C62" s="659">
        <f>'COEFIC 2023'!I55</f>
        <v>0.12097675940639052</v>
      </c>
      <c r="D62" s="660">
        <f t="shared" si="6"/>
        <v>2492.0706270955093</v>
      </c>
      <c r="E62" s="661">
        <f>+FPART!$F63</f>
        <v>0.33094459983869112</v>
      </c>
      <c r="F62" s="662">
        <f t="shared" si="7"/>
        <v>6817.3202894564638</v>
      </c>
      <c r="G62" s="636">
        <f>+FPART!J63</f>
        <v>0.55973048604757003</v>
      </c>
      <c r="H62" s="667">
        <f t="shared" si="8"/>
        <v>2562.269738076573</v>
      </c>
      <c r="I62" s="642">
        <f t="shared" ref="I62:I93" si="9">D62+F62+H62</f>
        <v>11871.660654628546</v>
      </c>
      <c r="M62" s="639"/>
      <c r="N62" s="640"/>
      <c r="O62" s="641"/>
    </row>
    <row r="63" spans="1:15" s="613" customFormat="1" ht="12.75" x14ac:dyDescent="0.2">
      <c r="A63" s="631">
        <v>49</v>
      </c>
      <c r="B63" s="631" t="s">
        <v>115</v>
      </c>
      <c r="C63" s="659">
        <f>'COEFIC 2023'!I56</f>
        <v>0.40190816884775799</v>
      </c>
      <c r="D63" s="660">
        <f t="shared" si="6"/>
        <v>8279.1401198859676</v>
      </c>
      <c r="E63" s="661">
        <f>+FPART!$F64</f>
        <v>1.3248275146655468</v>
      </c>
      <c r="F63" s="662">
        <f t="shared" si="7"/>
        <v>27290.892494278127</v>
      </c>
      <c r="G63" s="636">
        <f>+FPART!J64</f>
        <v>0.48667703346580021</v>
      </c>
      <c r="H63" s="667">
        <f t="shared" si="8"/>
        <v>2227.8540586054851</v>
      </c>
      <c r="I63" s="642">
        <f t="shared" si="9"/>
        <v>37797.886672769586</v>
      </c>
      <c r="M63" s="639"/>
      <c r="N63" s="640"/>
      <c r="O63" s="641"/>
    </row>
    <row r="64" spans="1:15" s="613" customFormat="1" ht="12.75" x14ac:dyDescent="0.2">
      <c r="A64" s="631">
        <v>50</v>
      </c>
      <c r="B64" s="631" t="s">
        <v>69</v>
      </c>
      <c r="C64" s="659">
        <f>'COEFIC 2023'!I57</f>
        <v>1.8806884872661696</v>
      </c>
      <c r="D64" s="660">
        <f t="shared" si="6"/>
        <v>38741.395957620021</v>
      </c>
      <c r="E64" s="661">
        <f>+FPART!$F65</f>
        <v>1.2229607983357664</v>
      </c>
      <c r="F64" s="662">
        <f t="shared" si="7"/>
        <v>25192.480758918762</v>
      </c>
      <c r="G64" s="636">
        <f>+FPART!J65</f>
        <v>1.2670218630598797</v>
      </c>
      <c r="H64" s="667">
        <f t="shared" si="8"/>
        <v>5800.0267237968928</v>
      </c>
      <c r="I64" s="642">
        <f t="shared" si="9"/>
        <v>69733.903440335678</v>
      </c>
      <c r="M64" s="639"/>
      <c r="N64" s="640"/>
      <c r="O64" s="641"/>
    </row>
    <row r="65" spans="1:15" s="613" customFormat="1" ht="12.75" x14ac:dyDescent="0.2">
      <c r="A65" s="631">
        <v>51</v>
      </c>
      <c r="B65" s="631" t="s">
        <v>126</v>
      </c>
      <c r="C65" s="659">
        <f>'COEFIC 2023'!I58</f>
        <v>0.29445048333847845</v>
      </c>
      <c r="D65" s="660">
        <f t="shared" si="6"/>
        <v>6065.5567586904272</v>
      </c>
      <c r="E65" s="661">
        <f>+FPART!$F66</f>
        <v>0.39645821812299525</v>
      </c>
      <c r="F65" s="662">
        <f t="shared" si="7"/>
        <v>8166.8734152152392</v>
      </c>
      <c r="G65" s="636">
        <f>+FPART!J66</f>
        <v>0.89111035822978302</v>
      </c>
      <c r="H65" s="667">
        <f t="shared" si="8"/>
        <v>4079.2223419910324</v>
      </c>
      <c r="I65" s="642">
        <f t="shared" si="9"/>
        <v>18311.652515896698</v>
      </c>
      <c r="M65" s="639"/>
      <c r="N65" s="640"/>
      <c r="O65" s="641"/>
    </row>
    <row r="66" spans="1:15" s="613" customFormat="1" ht="12.75" x14ac:dyDescent="0.2">
      <c r="A66" s="631">
        <v>52</v>
      </c>
      <c r="B66" s="631" t="s">
        <v>58</v>
      </c>
      <c r="C66" s="659">
        <f>'COEFIC 2023'!I59</f>
        <v>4.1273816838869903</v>
      </c>
      <c r="D66" s="660">
        <f t="shared" si="6"/>
        <v>85022.33579157546</v>
      </c>
      <c r="E66" s="661">
        <f>+FPART!$F67</f>
        <v>3.0951720361744934</v>
      </c>
      <c r="F66" s="662">
        <f t="shared" si="7"/>
        <v>63759.248925214626</v>
      </c>
      <c r="G66" s="636">
        <f>+FPART!J67</f>
        <v>1.1948784663978282</v>
      </c>
      <c r="H66" s="667">
        <f t="shared" si="8"/>
        <v>5469.7769934766493</v>
      </c>
      <c r="I66" s="642">
        <f t="shared" si="9"/>
        <v>154251.36171026673</v>
      </c>
      <c r="M66" s="639"/>
      <c r="N66" s="640"/>
      <c r="O66" s="641"/>
    </row>
    <row r="67" spans="1:15" s="613" customFormat="1" ht="12.75" x14ac:dyDescent="0.2">
      <c r="A67" s="631">
        <v>53</v>
      </c>
      <c r="B67" s="631" t="s">
        <v>103</v>
      </c>
      <c r="C67" s="659">
        <f>'COEFIC 2023'!I60</f>
        <v>17.879143690909327</v>
      </c>
      <c r="D67" s="660">
        <f t="shared" si="6"/>
        <v>368302.87939901184</v>
      </c>
      <c r="E67" s="661">
        <f>+FPART!$F68</f>
        <v>7.4172287338747696</v>
      </c>
      <c r="F67" s="662">
        <f t="shared" si="7"/>
        <v>152791.808549318</v>
      </c>
      <c r="G67" s="636">
        <f>+FPART!J68</f>
        <v>1.4778431771649561</v>
      </c>
      <c r="H67" s="667">
        <f t="shared" si="8"/>
        <v>6765.1002488917256</v>
      </c>
      <c r="I67" s="642">
        <f t="shared" si="9"/>
        <v>527859.78819722158</v>
      </c>
      <c r="M67" s="639"/>
      <c r="N67" s="640"/>
      <c r="O67" s="641"/>
    </row>
    <row r="68" spans="1:15" s="613" customFormat="1" ht="12.75" x14ac:dyDescent="0.2">
      <c r="A68" s="631">
        <v>54</v>
      </c>
      <c r="B68" s="631" t="s">
        <v>94</v>
      </c>
      <c r="C68" s="659">
        <f>'COEFIC 2023'!I61</f>
        <v>0.16810399831874945</v>
      </c>
      <c r="D68" s="660">
        <f t="shared" si="6"/>
        <v>3462.8720306533423</v>
      </c>
      <c r="E68" s="661">
        <f>+FPART!$F69</f>
        <v>0.30909086115032519</v>
      </c>
      <c r="F68" s="662">
        <f t="shared" si="7"/>
        <v>6367.1424160803936</v>
      </c>
      <c r="G68" s="636">
        <f>+FPART!J69</f>
        <v>0.73658381055873901</v>
      </c>
      <c r="H68" s="667">
        <f t="shared" si="8"/>
        <v>3371.8485135208189</v>
      </c>
      <c r="I68" s="642">
        <f t="shared" si="9"/>
        <v>13201.862960254555</v>
      </c>
      <c r="M68" s="639"/>
      <c r="N68" s="640"/>
      <c r="O68" s="641"/>
    </row>
    <row r="69" spans="1:15" s="613" customFormat="1" ht="12.75" x14ac:dyDescent="0.2">
      <c r="A69" s="631">
        <v>55</v>
      </c>
      <c r="B69" s="631" t="s">
        <v>347</v>
      </c>
      <c r="C69" s="659">
        <f>'COEFIC 2023'!I62</f>
        <v>0.96301290882037449</v>
      </c>
      <c r="D69" s="660">
        <f t="shared" si="6"/>
        <v>19837.662997098661</v>
      </c>
      <c r="E69" s="661">
        <f>+FPART!$F70</f>
        <v>0.80325130971927761</v>
      </c>
      <c r="F69" s="662">
        <f t="shared" si="7"/>
        <v>16546.640899869133</v>
      </c>
      <c r="G69" s="636">
        <f>+FPART!J70</f>
        <v>1.1400301061832034</v>
      </c>
      <c r="H69" s="667">
        <f t="shared" si="8"/>
        <v>5218.6984886172359</v>
      </c>
      <c r="I69" s="642">
        <f t="shared" si="9"/>
        <v>41603.00238558503</v>
      </c>
      <c r="M69" s="639"/>
      <c r="N69" s="640"/>
      <c r="O69" s="641"/>
    </row>
    <row r="70" spans="1:15" s="613" customFormat="1" ht="12.75" x14ac:dyDescent="0.2">
      <c r="A70" s="631">
        <v>56</v>
      </c>
      <c r="B70" s="631" t="s">
        <v>348</v>
      </c>
      <c r="C70" s="659">
        <f>'COEFIC 2023'!I63</f>
        <v>0.68644045311218771</v>
      </c>
      <c r="D70" s="660">
        <f t="shared" si="6"/>
        <v>14140.386127425483</v>
      </c>
      <c r="E70" s="661">
        <f>+FPART!$F71</f>
        <v>0.46532661427820704</v>
      </c>
      <c r="F70" s="662">
        <f t="shared" si="7"/>
        <v>9585.5335614756514</v>
      </c>
      <c r="G70" s="636">
        <f>+FPART!J71</f>
        <v>1.2461723056435674</v>
      </c>
      <c r="H70" s="667">
        <f t="shared" si="8"/>
        <v>5704.5840217255127</v>
      </c>
      <c r="I70" s="642">
        <f t="shared" si="9"/>
        <v>29430.50371062665</v>
      </c>
      <c r="J70" s="643"/>
      <c r="K70" s="643"/>
      <c r="L70" s="643"/>
      <c r="M70" s="639"/>
      <c r="N70" s="640"/>
      <c r="O70" s="641"/>
    </row>
    <row r="71" spans="1:15" s="643" customFormat="1" ht="12.75" x14ac:dyDescent="0.2">
      <c r="A71" s="631">
        <v>57</v>
      </c>
      <c r="B71" s="631" t="s">
        <v>65</v>
      </c>
      <c r="C71" s="659">
        <f>'COEFIC 2023'!I64</f>
        <v>0.17258929853694982</v>
      </c>
      <c r="D71" s="660">
        <f t="shared" si="6"/>
        <v>3555.2673384986583</v>
      </c>
      <c r="E71" s="661">
        <f>+FPART!$F72</f>
        <v>0.74491573722474513</v>
      </c>
      <c r="F71" s="662">
        <f t="shared" si="7"/>
        <v>15344.952514085295</v>
      </c>
      <c r="G71" s="636">
        <f>+FPART!J72</f>
        <v>0.3933193291422255</v>
      </c>
      <c r="H71" s="667">
        <f t="shared" si="8"/>
        <v>1800.4919145605627</v>
      </c>
      <c r="I71" s="642">
        <f t="shared" si="9"/>
        <v>20700.711767144516</v>
      </c>
      <c r="J71" s="613"/>
      <c r="K71" s="613"/>
      <c r="L71" s="613"/>
      <c r="M71" s="639"/>
      <c r="N71" s="640"/>
      <c r="O71" s="641"/>
    </row>
    <row r="72" spans="1:15" s="613" customFormat="1" ht="12.75" x14ac:dyDescent="0.2">
      <c r="A72" s="631">
        <v>58</v>
      </c>
      <c r="B72" s="631" t="s">
        <v>134</v>
      </c>
      <c r="C72" s="659">
        <f>'COEFIC 2023'!I65</f>
        <v>0.44181260036648906</v>
      </c>
      <c r="D72" s="660">
        <f t="shared" si="6"/>
        <v>9101.1547131576808</v>
      </c>
      <c r="E72" s="661">
        <f>+FPART!$F73</f>
        <v>0.50525093226213014</v>
      </c>
      <c r="F72" s="662">
        <f t="shared" si="7"/>
        <v>10407.957807609822</v>
      </c>
      <c r="G72" s="636">
        <f>+FPART!J73</f>
        <v>0.97543619400196546</v>
      </c>
      <c r="H72" s="667">
        <f t="shared" si="8"/>
        <v>4465.2394386526485</v>
      </c>
      <c r="I72" s="642">
        <f t="shared" si="9"/>
        <v>23974.35195942015</v>
      </c>
      <c r="M72" s="639"/>
      <c r="N72" s="640"/>
      <c r="O72" s="641"/>
    </row>
    <row r="73" spans="1:15" s="613" customFormat="1" ht="12.75" x14ac:dyDescent="0.2">
      <c r="A73" s="631">
        <v>59</v>
      </c>
      <c r="B73" s="631" t="s">
        <v>136</v>
      </c>
      <c r="C73" s="659">
        <f>'COEFIC 2023'!I66</f>
        <v>0.19008828671218228</v>
      </c>
      <c r="D73" s="660">
        <f t="shared" si="6"/>
        <v>3915.7391733317941</v>
      </c>
      <c r="E73" s="661">
        <f>+FPART!$F74</f>
        <v>0.34163452441152531</v>
      </c>
      <c r="F73" s="662">
        <f t="shared" si="7"/>
        <v>7037.5282629924077</v>
      </c>
      <c r="G73" s="636">
        <f>+FPART!J74</f>
        <v>0.74749784840191158</v>
      </c>
      <c r="H73" s="667">
        <f t="shared" si="8"/>
        <v>3421.8095386621349</v>
      </c>
      <c r="I73" s="642">
        <f t="shared" si="9"/>
        <v>14375.076974986338</v>
      </c>
      <c r="M73" s="639"/>
      <c r="N73" s="640"/>
      <c r="O73" s="641"/>
    </row>
    <row r="74" spans="1:15" s="613" customFormat="1" ht="12.75" x14ac:dyDescent="0.2">
      <c r="A74" s="631">
        <v>60</v>
      </c>
      <c r="B74" s="631" t="s">
        <v>137</v>
      </c>
      <c r="C74" s="659">
        <f>'COEFIC 2023'!I67</f>
        <v>0.19872196318853044</v>
      </c>
      <c r="D74" s="660">
        <f t="shared" si="6"/>
        <v>4093.5892964143295</v>
      </c>
      <c r="E74" s="661">
        <f>+FPART!$F75</f>
        <v>0.41133216924457244</v>
      </c>
      <c r="F74" s="662">
        <f t="shared" si="7"/>
        <v>8473.2705850585808</v>
      </c>
      <c r="G74" s="636">
        <f>+FPART!J75</f>
        <v>0.68111019086876712</v>
      </c>
      <c r="H74" s="667">
        <f t="shared" si="8"/>
        <v>3117.9077678650538</v>
      </c>
      <c r="I74" s="642">
        <f t="shared" si="9"/>
        <v>15684.767649337964</v>
      </c>
      <c r="M74" s="639"/>
      <c r="N74" s="640"/>
      <c r="O74" s="641"/>
    </row>
    <row r="75" spans="1:15" s="613" customFormat="1" ht="12.75" x14ac:dyDescent="0.2">
      <c r="A75" s="631">
        <v>61</v>
      </c>
      <c r="B75" s="631" t="s">
        <v>135</v>
      </c>
      <c r="C75" s="659">
        <f>'COEFIC 2023'!I68</f>
        <v>0.52168463664646103</v>
      </c>
      <c r="D75" s="660">
        <f t="shared" si="6"/>
        <v>10746.485242065124</v>
      </c>
      <c r="E75" s="661">
        <f>+FPART!$F76</f>
        <v>0.59684263357744027</v>
      </c>
      <c r="F75" s="662">
        <f t="shared" si="7"/>
        <v>12294.708532737381</v>
      </c>
      <c r="G75" s="636">
        <f>+FPART!J76</f>
        <v>0.97521720136537549</v>
      </c>
      <c r="H75" s="667">
        <f t="shared" si="8"/>
        <v>4464.2369593888188</v>
      </c>
      <c r="I75" s="642">
        <f t="shared" si="9"/>
        <v>27505.430734191323</v>
      </c>
      <c r="M75" s="639"/>
      <c r="N75" s="640"/>
      <c r="O75" s="641"/>
    </row>
    <row r="76" spans="1:15" s="613" customFormat="1" ht="12.75" x14ac:dyDescent="0.2">
      <c r="A76" s="631">
        <v>62</v>
      </c>
      <c r="B76" s="631" t="s">
        <v>113</v>
      </c>
      <c r="C76" s="659">
        <f>'COEFIC 2023'!I69</f>
        <v>0.44280231449914359</v>
      </c>
      <c r="D76" s="660">
        <f t="shared" si="6"/>
        <v>9121.5424101939716</v>
      </c>
      <c r="E76" s="661">
        <f>+FPART!$F77</f>
        <v>0.48709064033904148</v>
      </c>
      <c r="F76" s="662">
        <f t="shared" si="7"/>
        <v>10033.863392260337</v>
      </c>
      <c r="G76" s="636">
        <f>+FPART!J77</f>
        <v>0.99567317695291968</v>
      </c>
      <c r="H76" s="667">
        <f t="shared" si="8"/>
        <v>4557.8779679050904</v>
      </c>
      <c r="I76" s="642">
        <f t="shared" si="9"/>
        <v>23713.283770359398</v>
      </c>
      <c r="M76" s="639"/>
      <c r="N76" s="640"/>
      <c r="O76" s="641"/>
    </row>
    <row r="77" spans="1:15" s="613" customFormat="1" ht="12.75" x14ac:dyDescent="0.2">
      <c r="A77" s="631">
        <v>63</v>
      </c>
      <c r="B77" s="631" t="s">
        <v>123</v>
      </c>
      <c r="C77" s="659">
        <f>'COEFIC 2023'!I70</f>
        <v>0.31352880257645754</v>
      </c>
      <c r="D77" s="660">
        <f t="shared" si="6"/>
        <v>6458.5621526240266</v>
      </c>
      <c r="E77" s="661">
        <f>+FPART!$F78</f>
        <v>0.41328818544046847</v>
      </c>
      <c r="F77" s="662">
        <f t="shared" si="7"/>
        <v>8513.5637002968615</v>
      </c>
      <c r="G77" s="636">
        <f>+FPART!J78</f>
        <v>0.90197034059299264</v>
      </c>
      <c r="H77" s="667">
        <f t="shared" si="8"/>
        <v>4128.9359181833652</v>
      </c>
      <c r="I77" s="642">
        <f t="shared" si="9"/>
        <v>19101.061771104254</v>
      </c>
      <c r="M77" s="639"/>
      <c r="N77" s="640"/>
      <c r="O77" s="641"/>
    </row>
    <row r="78" spans="1:15" s="613" customFormat="1" ht="12.75" x14ac:dyDescent="0.2">
      <c r="A78" s="631">
        <v>64</v>
      </c>
      <c r="B78" s="631" t="s">
        <v>74</v>
      </c>
      <c r="C78" s="659">
        <f>'COEFIC 2023'!I71</f>
        <v>0.56502148100822813</v>
      </c>
      <c r="D78" s="660">
        <f t="shared" si="6"/>
        <v>11639.206103781846</v>
      </c>
      <c r="E78" s="661">
        <f>+FPART!$F79</f>
        <v>0.68085562816258149</v>
      </c>
      <c r="F78" s="662">
        <f t="shared" si="7"/>
        <v>14025.341070154354</v>
      </c>
      <c r="G78" s="636">
        <f>+FPART!J79</f>
        <v>0.94826481243502747</v>
      </c>
      <c r="H78" s="667">
        <f t="shared" si="8"/>
        <v>4340.8574182586763</v>
      </c>
      <c r="I78" s="642">
        <f t="shared" si="9"/>
        <v>30005.404592194878</v>
      </c>
      <c r="M78" s="639"/>
      <c r="N78" s="640"/>
      <c r="O78" s="641"/>
    </row>
    <row r="79" spans="1:15" s="613" customFormat="1" ht="12.75" x14ac:dyDescent="0.2">
      <c r="A79" s="631">
        <v>65</v>
      </c>
      <c r="B79" s="631" t="s">
        <v>89</v>
      </c>
      <c r="C79" s="659">
        <f>'COEFIC 2023'!I72</f>
        <v>0.83508709273789883</v>
      </c>
      <c r="D79" s="660">
        <f t="shared" ref="D79:D110" si="10">$F$8*C79%</f>
        <v>17202.444709961113</v>
      </c>
      <c r="E79" s="661">
        <f>+FPART!$F80</f>
        <v>0.61494319721037083</v>
      </c>
      <c r="F79" s="662">
        <f t="shared" ref="F79:F110" si="11">$F$9*E79%</f>
        <v>12667.572570299926</v>
      </c>
      <c r="G79" s="636">
        <f>+FPART!J80</f>
        <v>1.204188788717512</v>
      </c>
      <c r="H79" s="667">
        <f t="shared" ref="H79:H110" si="12">$F$10*G79%</f>
        <v>5512.396714442566</v>
      </c>
      <c r="I79" s="642">
        <f t="shared" si="9"/>
        <v>35382.413994703602</v>
      </c>
      <c r="M79" s="639"/>
      <c r="N79" s="640"/>
      <c r="O79" s="641"/>
    </row>
    <row r="80" spans="1:15" s="613" customFormat="1" ht="12.75" x14ac:dyDescent="0.2">
      <c r="A80" s="631">
        <v>66</v>
      </c>
      <c r="B80" s="631" t="s">
        <v>118</v>
      </c>
      <c r="C80" s="659">
        <f>'COEFIC 2023'!I73</f>
        <v>2.0717033148684965</v>
      </c>
      <c r="D80" s="660">
        <f t="shared" si="10"/>
        <v>42676.221485624083</v>
      </c>
      <c r="E80" s="661">
        <f>+FPART!$F81</f>
        <v>1.3350772698902451</v>
      </c>
      <c r="F80" s="662">
        <f t="shared" si="11"/>
        <v>27502.033163409327</v>
      </c>
      <c r="G80" s="636">
        <f>+FPART!J81</f>
        <v>1.2715202471937566</v>
      </c>
      <c r="H80" s="667">
        <f t="shared" si="12"/>
        <v>5820.6189084711013</v>
      </c>
      <c r="I80" s="642">
        <f t="shared" si="9"/>
        <v>75998.873557504514</v>
      </c>
      <c r="M80" s="639"/>
      <c r="N80" s="640"/>
      <c r="O80" s="641"/>
    </row>
    <row r="81" spans="1:15" s="613" customFormat="1" ht="12.75" x14ac:dyDescent="0.2">
      <c r="A81" s="631">
        <v>67</v>
      </c>
      <c r="B81" s="631" t="s">
        <v>120</v>
      </c>
      <c r="C81" s="659">
        <f>'COEFIC 2023'!I74</f>
        <v>0.35000082125215265</v>
      </c>
      <c r="D81" s="660">
        <f t="shared" si="10"/>
        <v>7209.8704774507323</v>
      </c>
      <c r="E81" s="661">
        <f>+FPART!$F82</f>
        <v>0.49564708763613402</v>
      </c>
      <c r="F81" s="662">
        <f t="shared" si="11"/>
        <v>10210.122626562894</v>
      </c>
      <c r="G81" s="636">
        <f>+FPART!J82</f>
        <v>0.8654049337071944</v>
      </c>
      <c r="H81" s="667">
        <f t="shared" si="12"/>
        <v>3961.5510108764311</v>
      </c>
      <c r="I81" s="642">
        <f t="shared" si="9"/>
        <v>21381.544114890057</v>
      </c>
      <c r="M81" s="639"/>
      <c r="N81" s="640"/>
      <c r="O81" s="641"/>
    </row>
    <row r="82" spans="1:15" s="613" customFormat="1" ht="12.75" x14ac:dyDescent="0.2">
      <c r="A82" s="631">
        <v>68</v>
      </c>
      <c r="B82" s="631" t="s">
        <v>144</v>
      </c>
      <c r="C82" s="659">
        <f>'COEFIC 2023'!I75</f>
        <v>0.61886614137413598</v>
      </c>
      <c r="D82" s="660">
        <f t="shared" si="10"/>
        <v>12748.383578713649</v>
      </c>
      <c r="E82" s="661">
        <f>+FPART!$F83</f>
        <v>0.67531065033607796</v>
      </c>
      <c r="F82" s="662">
        <f t="shared" si="11"/>
        <v>13911.116846947105</v>
      </c>
      <c r="G82" s="636">
        <f>+FPART!J83</f>
        <v>0.99986875676695242</v>
      </c>
      <c r="H82" s="667">
        <f t="shared" si="12"/>
        <v>4577.0840098469744</v>
      </c>
      <c r="I82" s="642">
        <f t="shared" si="9"/>
        <v>31236.584435507728</v>
      </c>
      <c r="M82" s="639"/>
      <c r="N82" s="640"/>
      <c r="O82" s="641"/>
    </row>
    <row r="83" spans="1:15" s="613" customFormat="1" ht="12.75" x14ac:dyDescent="0.2">
      <c r="A83" s="631">
        <v>69</v>
      </c>
      <c r="B83" s="631" t="s">
        <v>84</v>
      </c>
      <c r="C83" s="659">
        <f>'COEFIC 2023'!I76</f>
        <v>2.2424395316251569</v>
      </c>
      <c r="D83" s="660">
        <f t="shared" si="10"/>
        <v>46193.316114778201</v>
      </c>
      <c r="E83" s="661">
        <f>+FPART!$F84</f>
        <v>1.9355321382709125</v>
      </c>
      <c r="F83" s="662">
        <f t="shared" si="11"/>
        <v>39871.152221734148</v>
      </c>
      <c r="G83" s="636">
        <f>+FPART!J84</f>
        <v>1.12226426101586</v>
      </c>
      <c r="H83" s="667">
        <f t="shared" si="12"/>
        <v>5137.3720492355351</v>
      </c>
      <c r="I83" s="642">
        <f t="shared" si="9"/>
        <v>91201.840385747884</v>
      </c>
      <c r="M83" s="639"/>
      <c r="N83" s="640"/>
      <c r="O83" s="641"/>
    </row>
    <row r="84" spans="1:15" s="613" customFormat="1" ht="12.75" x14ac:dyDescent="0.2">
      <c r="A84" s="631">
        <v>70</v>
      </c>
      <c r="B84" s="631" t="s">
        <v>53</v>
      </c>
      <c r="C84" s="659">
        <f>'COEFIC 2023'!I77</f>
        <v>0.32645825954347646</v>
      </c>
      <c r="D84" s="660">
        <f t="shared" si="10"/>
        <v>6724.9035564598216</v>
      </c>
      <c r="E84" s="661">
        <f>+FPART!$F85</f>
        <v>0.45201662211357152</v>
      </c>
      <c r="F84" s="662">
        <f t="shared" si="11"/>
        <v>9311.3532917848806</v>
      </c>
      <c r="G84" s="636">
        <f>+FPART!J85</f>
        <v>0.87684522131647236</v>
      </c>
      <c r="H84" s="667">
        <f t="shared" si="12"/>
        <v>4013.9210415730513</v>
      </c>
      <c r="I84" s="642">
        <f t="shared" si="9"/>
        <v>20050.177889817754</v>
      </c>
      <c r="M84" s="639"/>
      <c r="N84" s="640"/>
      <c r="O84" s="641"/>
    </row>
    <row r="85" spans="1:15" s="613" customFormat="1" ht="12.75" x14ac:dyDescent="0.2">
      <c r="A85" s="631">
        <v>71</v>
      </c>
      <c r="B85" s="631" t="s">
        <v>143</v>
      </c>
      <c r="C85" s="659">
        <f>'COEFIC 2023'!I78</f>
        <v>1.4584595920777386</v>
      </c>
      <c r="D85" s="660">
        <f t="shared" si="10"/>
        <v>30043.657377308089</v>
      </c>
      <c r="E85" s="661">
        <f>+FPART!$F86</f>
        <v>1.0305721617264547</v>
      </c>
      <c r="F85" s="662">
        <f t="shared" si="11"/>
        <v>21229.3553401725</v>
      </c>
      <c r="G85" s="636">
        <f>+FPART!J86</f>
        <v>1.2251911375010087</v>
      </c>
      <c r="H85" s="667">
        <f t="shared" si="12"/>
        <v>5608.5388472330778</v>
      </c>
      <c r="I85" s="642">
        <f t="shared" si="9"/>
        <v>56881.551564713664</v>
      </c>
      <c r="M85" s="639"/>
      <c r="N85" s="640"/>
      <c r="O85" s="641"/>
    </row>
    <row r="86" spans="1:15" s="613" customFormat="1" ht="12.75" x14ac:dyDescent="0.2">
      <c r="A86" s="631">
        <v>72</v>
      </c>
      <c r="B86" s="631" t="s">
        <v>132</v>
      </c>
      <c r="C86" s="659">
        <f>'COEFIC 2023'!I79</f>
        <v>0.29398721289340612</v>
      </c>
      <c r="D86" s="660">
        <f t="shared" si="10"/>
        <v>6056.013581354292</v>
      </c>
      <c r="E86" s="661">
        <f>+FPART!$F87</f>
        <v>0.37946277923825678</v>
      </c>
      <c r="F86" s="662">
        <f t="shared" si="11"/>
        <v>7816.774485081256</v>
      </c>
      <c r="G86" s="636">
        <f>+FPART!J87</f>
        <v>0.91277339179785055</v>
      </c>
      <c r="H86" s="667">
        <f t="shared" si="12"/>
        <v>4178.3888814774646</v>
      </c>
      <c r="I86" s="642">
        <f t="shared" si="9"/>
        <v>18051.176947913013</v>
      </c>
      <c r="M86" s="639"/>
      <c r="N86" s="640"/>
      <c r="O86" s="641"/>
    </row>
    <row r="87" spans="1:15" s="613" customFormat="1" ht="12.75" x14ac:dyDescent="0.2">
      <c r="A87" s="631">
        <v>73</v>
      </c>
      <c r="B87" s="631" t="s">
        <v>85</v>
      </c>
      <c r="C87" s="659">
        <f>'COEFIC 2023'!I80</f>
        <v>0.5722653461493592</v>
      </c>
      <c r="D87" s="660">
        <f t="shared" si="10"/>
        <v>11788.426694855971</v>
      </c>
      <c r="E87" s="661">
        <f>+FPART!$F88</f>
        <v>0.54450577422167679</v>
      </c>
      <c r="F87" s="662">
        <f t="shared" si="11"/>
        <v>11216.591127750607</v>
      </c>
      <c r="G87" s="636">
        <f>+FPART!J88</f>
        <v>1.0714530756763703</v>
      </c>
      <c r="H87" s="667">
        <f t="shared" si="12"/>
        <v>4904.7744584369693</v>
      </c>
      <c r="I87" s="642">
        <f t="shared" si="9"/>
        <v>27909.792281043545</v>
      </c>
      <c r="M87" s="639"/>
      <c r="N87" s="640"/>
      <c r="O87" s="641"/>
    </row>
    <row r="88" spans="1:15" s="613" customFormat="1" ht="12.75" x14ac:dyDescent="0.2">
      <c r="A88" s="631">
        <v>74</v>
      </c>
      <c r="B88" s="652" t="s">
        <v>133</v>
      </c>
      <c r="C88" s="659">
        <f>'COEFIC 2023'!I81</f>
        <v>0.22222240940220003</v>
      </c>
      <c r="D88" s="660">
        <f t="shared" si="10"/>
        <v>4577.6886558292263</v>
      </c>
      <c r="E88" s="661">
        <f>+FPART!$F89</f>
        <v>0.30271862627818635</v>
      </c>
      <c r="F88" s="662">
        <f t="shared" si="11"/>
        <v>6235.8770438574038</v>
      </c>
      <c r="G88" s="636">
        <f>+FPART!J89</f>
        <v>0.88515068741753156</v>
      </c>
      <c r="H88" s="667">
        <f t="shared" si="12"/>
        <v>4051.9408475007854</v>
      </c>
      <c r="I88" s="642">
        <f t="shared" si="9"/>
        <v>14865.506547187417</v>
      </c>
      <c r="M88" s="639"/>
      <c r="N88" s="640"/>
      <c r="O88" s="641"/>
    </row>
    <row r="89" spans="1:15" s="613" customFormat="1" ht="12.75" x14ac:dyDescent="0.2">
      <c r="A89" s="631">
        <v>75</v>
      </c>
      <c r="B89" s="631" t="s">
        <v>146</v>
      </c>
      <c r="C89" s="659">
        <f>'COEFIC 2023'!I82</f>
        <v>1.6621932991720516</v>
      </c>
      <c r="D89" s="660">
        <f t="shared" si="10"/>
        <v>34240.486501267893</v>
      </c>
      <c r="E89" s="661">
        <f>+FPART!$F90</f>
        <v>1.0263852879652673</v>
      </c>
      <c r="F89" s="662">
        <f t="shared" si="11"/>
        <v>21143.10749248002</v>
      </c>
      <c r="G89" s="636">
        <f>+FPART!J90</f>
        <v>1.2927027552766872</v>
      </c>
      <c r="H89" s="667">
        <f t="shared" si="12"/>
        <v>5917.5857537482107</v>
      </c>
      <c r="I89" s="642">
        <f t="shared" si="9"/>
        <v>61301.17974749612</v>
      </c>
      <c r="M89" s="639"/>
      <c r="N89" s="640"/>
      <c r="O89" s="641"/>
    </row>
    <row r="90" spans="1:15" s="613" customFormat="1" ht="12.75" x14ac:dyDescent="0.2">
      <c r="A90" s="631">
        <v>76</v>
      </c>
      <c r="B90" s="631" t="s">
        <v>148</v>
      </c>
      <c r="C90" s="659">
        <f>'COEFIC 2023'!I83</f>
        <v>1.6525488508155455</v>
      </c>
      <c r="D90" s="660">
        <f t="shared" si="10"/>
        <v>34041.814900361052</v>
      </c>
      <c r="E90" s="661">
        <f>+FPART!$F91</f>
        <v>1.8504233032214761</v>
      </c>
      <c r="F90" s="662">
        <f t="shared" si="11"/>
        <v>38117.945829252334</v>
      </c>
      <c r="G90" s="636">
        <f>+FPART!J91</f>
        <v>0.98641008576890343</v>
      </c>
      <c r="H90" s="667">
        <f t="shared" si="12"/>
        <v>4515.4744561910056</v>
      </c>
      <c r="I90" s="642">
        <f t="shared" si="9"/>
        <v>76675.235185804398</v>
      </c>
      <c r="M90" s="639"/>
      <c r="N90" s="640"/>
      <c r="O90" s="641"/>
    </row>
    <row r="91" spans="1:15" s="613" customFormat="1" ht="12.75" x14ac:dyDescent="0.2">
      <c r="A91" s="631">
        <v>77</v>
      </c>
      <c r="B91" s="631" t="s">
        <v>45</v>
      </c>
      <c r="C91" s="659">
        <f>'COEFIC 2023'!I84</f>
        <v>0.37223780261562495</v>
      </c>
      <c r="D91" s="660">
        <f t="shared" si="10"/>
        <v>7667.94298958526</v>
      </c>
      <c r="E91" s="661">
        <f>+FPART!$F92</f>
        <v>0.62678870776607709</v>
      </c>
      <c r="F91" s="662">
        <f t="shared" si="11"/>
        <v>12911.585131585858</v>
      </c>
      <c r="G91" s="636">
        <f>+FPART!J92</f>
        <v>0.77908231415513252</v>
      </c>
      <c r="H91" s="667">
        <f t="shared" si="12"/>
        <v>3566.3932674567745</v>
      </c>
      <c r="I91" s="642">
        <f t="shared" si="9"/>
        <v>24145.921388627892</v>
      </c>
      <c r="M91" s="639"/>
      <c r="N91" s="640"/>
      <c r="O91" s="641"/>
    </row>
    <row r="92" spans="1:15" s="613" customFormat="1" ht="12.75" x14ac:dyDescent="0.2">
      <c r="A92" s="631">
        <v>78</v>
      </c>
      <c r="B92" s="631" t="s">
        <v>349</v>
      </c>
      <c r="C92" s="659">
        <f>'COEFIC 2023'!I85</f>
        <v>0.26979186101212799</v>
      </c>
      <c r="D92" s="660">
        <f t="shared" si="10"/>
        <v>5557.5994559351893</v>
      </c>
      <c r="E92" s="661">
        <f>+FPART!$F93</f>
        <v>0.40979046274032732</v>
      </c>
      <c r="F92" s="662">
        <f t="shared" si="11"/>
        <v>8441.512076121131</v>
      </c>
      <c r="G92" s="636">
        <f>+FPART!J93</f>
        <v>0.83009281053141881</v>
      </c>
      <c r="H92" s="667">
        <f t="shared" si="12"/>
        <v>3799.9032413589562</v>
      </c>
      <c r="I92" s="642">
        <f t="shared" si="9"/>
        <v>17799.014773415278</v>
      </c>
      <c r="M92" s="639"/>
      <c r="N92" s="640"/>
      <c r="O92" s="641"/>
    </row>
    <row r="93" spans="1:15" s="613" customFormat="1" ht="12.75" x14ac:dyDescent="0.2">
      <c r="A93" s="631">
        <v>79</v>
      </c>
      <c r="B93" s="631" t="s">
        <v>138</v>
      </c>
      <c r="C93" s="659">
        <f>'COEFIC 2023'!I86</f>
        <v>1.0506973694240664</v>
      </c>
      <c r="D93" s="660">
        <f t="shared" si="10"/>
        <v>21643.926198356399</v>
      </c>
      <c r="E93" s="661">
        <f>+FPART!$F94</f>
        <v>0.84314994921472297</v>
      </c>
      <c r="F93" s="662">
        <f t="shared" si="11"/>
        <v>17368.536179884541</v>
      </c>
      <c r="G93" s="636">
        <f>+FPART!J94</f>
        <v>1.160038930477814</v>
      </c>
      <c r="H93" s="667">
        <f t="shared" si="12"/>
        <v>5310.2925794565463</v>
      </c>
      <c r="I93" s="642">
        <f t="shared" si="9"/>
        <v>44322.754957697485</v>
      </c>
      <c r="M93" s="639"/>
      <c r="N93" s="640"/>
      <c r="O93" s="641"/>
    </row>
    <row r="94" spans="1:15" s="613" customFormat="1" ht="12.75" x14ac:dyDescent="0.2">
      <c r="A94" s="631">
        <v>80</v>
      </c>
      <c r="B94" s="631" t="s">
        <v>93</v>
      </c>
      <c r="C94" s="659">
        <f>'COEFIC 2023'!I87</f>
        <v>0.41763830623271425</v>
      </c>
      <c r="D94" s="660">
        <f t="shared" si="10"/>
        <v>8603.1743685265847</v>
      </c>
      <c r="E94" s="661">
        <f>+FPART!$F95</f>
        <v>0.46314450232260923</v>
      </c>
      <c r="F94" s="662">
        <f t="shared" si="11"/>
        <v>9540.5829681859777</v>
      </c>
      <c r="G94" s="636">
        <f>+FPART!J95</f>
        <v>0.99145128306937969</v>
      </c>
      <c r="H94" s="667">
        <f t="shared" si="12"/>
        <v>4538.5514684471964</v>
      </c>
      <c r="I94" s="642">
        <f t="shared" ref="I94:I125" si="13">D94+F94+H94</f>
        <v>22682.308805159759</v>
      </c>
      <c r="M94" s="639"/>
      <c r="N94" s="640"/>
      <c r="O94" s="641"/>
    </row>
    <row r="95" spans="1:15" s="613" customFormat="1" ht="12.75" x14ac:dyDescent="0.2">
      <c r="A95" s="631">
        <v>81</v>
      </c>
      <c r="B95" s="631" t="s">
        <v>116</v>
      </c>
      <c r="C95" s="659">
        <f>'COEFIC 2023'!I88</f>
        <v>0.19112011633984341</v>
      </c>
      <c r="D95" s="660">
        <f t="shared" si="10"/>
        <v>3936.9944319440974</v>
      </c>
      <c r="E95" s="661">
        <f>+FPART!$F96</f>
        <v>0.43209989462611942</v>
      </c>
      <c r="F95" s="662">
        <f t="shared" si="11"/>
        <v>8901.0770387021475</v>
      </c>
      <c r="G95" s="636">
        <f>+FPART!J96</f>
        <v>0.64121680254968882</v>
      </c>
      <c r="H95" s="667">
        <f t="shared" si="12"/>
        <v>2935.2884105363119</v>
      </c>
      <c r="I95" s="642">
        <f t="shared" si="13"/>
        <v>15773.359881182558</v>
      </c>
      <c r="M95" s="639"/>
      <c r="N95" s="640"/>
      <c r="O95" s="641"/>
    </row>
    <row r="96" spans="1:15" s="613" customFormat="1" ht="12.75" x14ac:dyDescent="0.2">
      <c r="A96" s="631">
        <v>82</v>
      </c>
      <c r="B96" s="631" t="s">
        <v>152</v>
      </c>
      <c r="C96" s="659">
        <f>'COEFIC 2023'!I89</f>
        <v>1.6749332364115408</v>
      </c>
      <c r="D96" s="660">
        <f t="shared" si="10"/>
        <v>34502.923878011621</v>
      </c>
      <c r="E96" s="661">
        <f>+FPART!$F97</f>
        <v>1.3119994634053675</v>
      </c>
      <c r="F96" s="662">
        <f t="shared" si="11"/>
        <v>27026.640005575082</v>
      </c>
      <c r="G96" s="636">
        <f>+FPART!J97</f>
        <v>1.1724975552384336</v>
      </c>
      <c r="H96" s="667">
        <f t="shared" si="12"/>
        <v>5367.3242366521381</v>
      </c>
      <c r="I96" s="642">
        <f t="shared" si="13"/>
        <v>66896.888120238844</v>
      </c>
      <c r="M96" s="639"/>
      <c r="N96" s="640"/>
      <c r="O96" s="641"/>
    </row>
    <row r="97" spans="1:15" s="613" customFormat="1" ht="12.75" x14ac:dyDescent="0.2">
      <c r="A97" s="631">
        <v>83</v>
      </c>
      <c r="B97" s="631" t="s">
        <v>153</v>
      </c>
      <c r="C97" s="659">
        <f>'COEFIC 2023'!I90</f>
        <v>0.70444482722749913</v>
      </c>
      <c r="D97" s="660">
        <f t="shared" si="10"/>
        <v>14511.268701170769</v>
      </c>
      <c r="E97" s="661">
        <f>+FPART!$F98</f>
        <v>0.84846349141285227</v>
      </c>
      <c r="F97" s="662">
        <f t="shared" si="11"/>
        <v>17477.99292597995</v>
      </c>
      <c r="G97" s="636">
        <f>+FPART!J98</f>
        <v>0.94850811469966656</v>
      </c>
      <c r="H97" s="667">
        <f t="shared" si="12"/>
        <v>4341.9711793373199</v>
      </c>
      <c r="I97" s="642">
        <f t="shared" si="13"/>
        <v>36331.232806488042</v>
      </c>
      <c r="M97" s="639"/>
      <c r="N97" s="640"/>
      <c r="O97" s="641"/>
    </row>
    <row r="98" spans="1:15" s="613" customFormat="1" ht="12.75" x14ac:dyDescent="0.2">
      <c r="A98" s="631">
        <v>84</v>
      </c>
      <c r="B98" s="631" t="s">
        <v>107</v>
      </c>
      <c r="C98" s="659">
        <f>'COEFIC 2023'!I91</f>
        <v>0.66786751981428749</v>
      </c>
      <c r="D98" s="660">
        <f t="shared" si="10"/>
        <v>13757.791472404031</v>
      </c>
      <c r="E98" s="661">
        <f>+FPART!$F99</f>
        <v>0.50669760758141813</v>
      </c>
      <c r="F98" s="662">
        <f t="shared" si="11"/>
        <v>10437.758713898202</v>
      </c>
      <c r="G98" s="636">
        <f>+FPART!J99</f>
        <v>1.1889212876884179</v>
      </c>
      <c r="H98" s="667">
        <f t="shared" si="12"/>
        <v>5442.5069070476975</v>
      </c>
      <c r="I98" s="642">
        <f t="shared" si="13"/>
        <v>29638.057093349929</v>
      </c>
      <c r="M98" s="639"/>
      <c r="N98" s="640"/>
      <c r="O98" s="641"/>
    </row>
    <row r="99" spans="1:15" s="613" customFormat="1" ht="12.75" x14ac:dyDescent="0.2">
      <c r="A99" s="631">
        <v>85</v>
      </c>
      <c r="B99" s="631" t="s">
        <v>124</v>
      </c>
      <c r="C99" s="659">
        <f>'COEFIC 2023'!I92</f>
        <v>0.74241194597592763</v>
      </c>
      <c r="D99" s="660">
        <f t="shared" si="10"/>
        <v>15293.375461945912</v>
      </c>
      <c r="E99" s="661">
        <f>+FPART!$F100</f>
        <v>0.66451015921013734</v>
      </c>
      <c r="F99" s="662">
        <f t="shared" si="11"/>
        <v>13688.631248678215</v>
      </c>
      <c r="G99" s="636">
        <f>+FPART!J100</f>
        <v>1.1033537639277704</v>
      </c>
      <c r="H99" s="667">
        <f t="shared" si="12"/>
        <v>5050.8057541549424</v>
      </c>
      <c r="I99" s="642">
        <f t="shared" si="13"/>
        <v>34032.812464779068</v>
      </c>
      <c r="M99" s="639"/>
      <c r="N99" s="640"/>
      <c r="O99" s="641"/>
    </row>
    <row r="100" spans="1:15" s="613" customFormat="1" ht="12.75" x14ac:dyDescent="0.2">
      <c r="A100" s="631">
        <v>86</v>
      </c>
      <c r="B100" s="631" t="s">
        <v>129</v>
      </c>
      <c r="C100" s="659">
        <f>'COEFIC 2023'!I93</f>
        <v>0.32711104971607841</v>
      </c>
      <c r="D100" s="660">
        <f t="shared" si="10"/>
        <v>6738.3507608880136</v>
      </c>
      <c r="E100" s="661">
        <f>+FPART!$F101</f>
        <v>0.39136182539384073</v>
      </c>
      <c r="F100" s="662">
        <f t="shared" si="11"/>
        <v>8061.8898573253746</v>
      </c>
      <c r="G100" s="636">
        <f>+FPART!J101</f>
        <v>0.9519731967183146</v>
      </c>
      <c r="H100" s="667">
        <f t="shared" si="12"/>
        <v>4357.8332326248383</v>
      </c>
      <c r="I100" s="642">
        <f t="shared" si="13"/>
        <v>19158.073850838227</v>
      </c>
      <c r="M100" s="639"/>
      <c r="N100" s="640"/>
      <c r="O100" s="641"/>
    </row>
    <row r="101" spans="1:15" s="613" customFormat="1" ht="12.75" x14ac:dyDescent="0.2">
      <c r="A101" s="631">
        <v>87</v>
      </c>
      <c r="B101" s="631" t="s">
        <v>350</v>
      </c>
      <c r="C101" s="659">
        <f>'COEFIC 2023'!I94</f>
        <v>0.32826922582875923</v>
      </c>
      <c r="D101" s="660">
        <f t="shared" si="10"/>
        <v>6762.2087042283529</v>
      </c>
      <c r="E101" s="661">
        <f>+FPART!$F102</f>
        <v>0.36366268944449609</v>
      </c>
      <c r="F101" s="662">
        <f t="shared" si="11"/>
        <v>7491.2992460873556</v>
      </c>
      <c r="G101" s="636">
        <f>+FPART!J102</f>
        <v>0.9919886218149192</v>
      </c>
      <c r="H101" s="667">
        <f t="shared" si="12"/>
        <v>4541.0112358551041</v>
      </c>
      <c r="I101" s="642">
        <f t="shared" si="13"/>
        <v>18794.519186170812</v>
      </c>
      <c r="M101" s="639"/>
      <c r="N101" s="640"/>
      <c r="O101" s="641"/>
    </row>
    <row r="102" spans="1:15" s="613" customFormat="1" ht="12.75" x14ac:dyDescent="0.2">
      <c r="A102" s="631">
        <v>88</v>
      </c>
      <c r="B102" s="631" t="s">
        <v>99</v>
      </c>
      <c r="C102" s="659">
        <f>'COEFIC 2023'!I95</f>
        <v>2.411385839844038</v>
      </c>
      <c r="D102" s="660">
        <f t="shared" si="10"/>
        <v>49673.53937695179</v>
      </c>
      <c r="E102" s="661">
        <f>+FPART!$F103</f>
        <v>1.5072208482992138</v>
      </c>
      <c r="F102" s="662">
        <f t="shared" si="11"/>
        <v>31048.118853760872</v>
      </c>
      <c r="G102" s="636">
        <f>+FPART!J103</f>
        <v>1.2866929269784904</v>
      </c>
      <c r="H102" s="667">
        <f t="shared" si="12"/>
        <v>5890.0746540969449</v>
      </c>
      <c r="I102" s="642">
        <f t="shared" si="13"/>
        <v>86611.732884809608</v>
      </c>
      <c r="M102" s="639"/>
      <c r="N102" s="640"/>
      <c r="O102" s="641"/>
    </row>
    <row r="103" spans="1:15" s="613" customFormat="1" ht="12.75" x14ac:dyDescent="0.2">
      <c r="A103" s="631">
        <v>89</v>
      </c>
      <c r="B103" s="631" t="s">
        <v>55</v>
      </c>
      <c r="C103" s="659">
        <f>'COEFIC 2023'!I96</f>
        <v>0.50694421339415929</v>
      </c>
      <c r="D103" s="660">
        <f t="shared" si="10"/>
        <v>10442.838690460796</v>
      </c>
      <c r="E103" s="661">
        <f>+FPART!$F104</f>
        <v>0.8277868069583757</v>
      </c>
      <c r="F103" s="662">
        <f t="shared" si="11"/>
        <v>17052.061877342505</v>
      </c>
      <c r="G103" s="636">
        <f>+FPART!J104</f>
        <v>0.79415687293111992</v>
      </c>
      <c r="H103" s="667">
        <f t="shared" si="12"/>
        <v>3635.3998460323191</v>
      </c>
      <c r="I103" s="642">
        <f t="shared" si="13"/>
        <v>31130.300413835619</v>
      </c>
      <c r="M103" s="639"/>
      <c r="N103" s="640"/>
      <c r="O103" s="641"/>
    </row>
    <row r="104" spans="1:15" s="613" customFormat="1" ht="12.75" x14ac:dyDescent="0.2">
      <c r="A104" s="631">
        <v>90</v>
      </c>
      <c r="B104" s="631" t="s">
        <v>147</v>
      </c>
      <c r="C104" s="659">
        <f>'COEFIC 2023'!I97</f>
        <v>0.34376772799117933</v>
      </c>
      <c r="D104" s="660">
        <f t="shared" si="10"/>
        <v>7081.4713642009028</v>
      </c>
      <c r="E104" s="661">
        <f>+FPART!$F105</f>
        <v>0.35072713773174047</v>
      </c>
      <c r="F104" s="662">
        <f t="shared" si="11"/>
        <v>7224.8322930394261</v>
      </c>
      <c r="G104" s="636">
        <f>+FPART!J105</f>
        <v>1.0349895076901878</v>
      </c>
      <c r="H104" s="667">
        <f t="shared" si="12"/>
        <v>4737.8557375128557</v>
      </c>
      <c r="I104" s="642">
        <f t="shared" si="13"/>
        <v>19044.159394753184</v>
      </c>
      <c r="M104" s="639"/>
      <c r="N104" s="640"/>
      <c r="O104" s="641"/>
    </row>
    <row r="105" spans="1:15" s="613" customFormat="1" ht="12.75" x14ac:dyDescent="0.2">
      <c r="A105" s="631">
        <v>91</v>
      </c>
      <c r="B105" s="631" t="s">
        <v>351</v>
      </c>
      <c r="C105" s="659">
        <f>'COEFIC 2023'!I98</f>
        <v>0.31447640121410547</v>
      </c>
      <c r="D105" s="660">
        <f t="shared" si="10"/>
        <v>6478.0822880843043</v>
      </c>
      <c r="E105" s="661">
        <f>+FPART!$F106</f>
        <v>0.3913826442102713</v>
      </c>
      <c r="F105" s="662">
        <f t="shared" si="11"/>
        <v>8062.3187162332515</v>
      </c>
      <c r="G105" s="636">
        <f>+FPART!J106</f>
        <v>0.93155812720200115</v>
      </c>
      <c r="H105" s="667">
        <f t="shared" si="12"/>
        <v>4264.3794792090675</v>
      </c>
      <c r="I105" s="642">
        <f t="shared" si="13"/>
        <v>18804.780483526622</v>
      </c>
      <c r="M105" s="639"/>
      <c r="N105" s="640"/>
      <c r="O105" s="641"/>
    </row>
    <row r="106" spans="1:15" s="613" customFormat="1" ht="12.75" x14ac:dyDescent="0.2">
      <c r="A106" s="631">
        <v>92</v>
      </c>
      <c r="B106" s="631" t="s">
        <v>352</v>
      </c>
      <c r="C106" s="659">
        <f>'COEFIC 2023'!I99</f>
        <v>0.27029724695220692</v>
      </c>
      <c r="D106" s="660">
        <f t="shared" si="10"/>
        <v>5568.0101948473375</v>
      </c>
      <c r="E106" s="661">
        <f>+FPART!$F107</f>
        <v>1.386545035984039</v>
      </c>
      <c r="F106" s="662">
        <f t="shared" si="11"/>
        <v>28562.247610828144</v>
      </c>
      <c r="G106" s="636">
        <f>+FPART!J107</f>
        <v>0.34111462177289331</v>
      </c>
      <c r="H106" s="667">
        <f t="shared" si="12"/>
        <v>1561.5152191475229</v>
      </c>
      <c r="I106" s="642">
        <f t="shared" si="13"/>
        <v>35691.773024823</v>
      </c>
      <c r="M106" s="639"/>
      <c r="N106" s="640"/>
      <c r="O106" s="641"/>
    </row>
    <row r="107" spans="1:15" s="613" customFormat="1" ht="12.75" x14ac:dyDescent="0.2">
      <c r="A107" s="631">
        <v>93</v>
      </c>
      <c r="B107" s="631" t="s">
        <v>353</v>
      </c>
      <c r="C107" s="659">
        <f>'COEFIC 2023'!I100</f>
        <v>0.60132503770389689</v>
      </c>
      <c r="D107" s="660">
        <f t="shared" si="10"/>
        <v>12387.0441823045</v>
      </c>
      <c r="E107" s="661">
        <f>+FPART!$F108</f>
        <v>0.65567373347769853</v>
      </c>
      <c r="F107" s="662">
        <f t="shared" si="11"/>
        <v>13506.604575750503</v>
      </c>
      <c r="G107" s="636">
        <f>+FPART!J108</f>
        <v>1.0002632586827527</v>
      </c>
      <c r="H107" s="667">
        <f t="shared" si="12"/>
        <v>4578.8899152705044</v>
      </c>
      <c r="I107" s="642">
        <f t="shared" si="13"/>
        <v>30472.538673325507</v>
      </c>
      <c r="M107" s="639"/>
      <c r="N107" s="640"/>
      <c r="O107" s="641"/>
    </row>
    <row r="108" spans="1:15" s="613" customFormat="1" ht="12.75" x14ac:dyDescent="0.2">
      <c r="A108" s="631">
        <v>94</v>
      </c>
      <c r="B108" s="631" t="s">
        <v>354</v>
      </c>
      <c r="C108" s="659">
        <f>'COEFIC 2023'!I101</f>
        <v>0.13519073897111003</v>
      </c>
      <c r="D108" s="660">
        <f t="shared" si="10"/>
        <v>2784.8726589996809</v>
      </c>
      <c r="E108" s="661">
        <f>+FPART!$F109</f>
        <v>0.28459801121905781</v>
      </c>
      <c r="F108" s="662">
        <f t="shared" si="11"/>
        <v>5862.5999553046968</v>
      </c>
      <c r="G108" s="636">
        <f>+FPART!J109</f>
        <v>0.67337351189936723</v>
      </c>
      <c r="H108" s="667">
        <f t="shared" si="12"/>
        <v>3082.4916901443521</v>
      </c>
      <c r="I108" s="642">
        <f t="shared" si="13"/>
        <v>11729.964304448729</v>
      </c>
      <c r="M108" s="639"/>
      <c r="N108" s="640"/>
      <c r="O108" s="641"/>
    </row>
    <row r="109" spans="1:15" s="613" customFormat="1" ht="12.75" x14ac:dyDescent="0.2">
      <c r="A109" s="631">
        <v>95</v>
      </c>
      <c r="B109" s="631" t="s">
        <v>100</v>
      </c>
      <c r="C109" s="659">
        <f>'COEFIC 2023'!I102</f>
        <v>0.25953673797802668</v>
      </c>
      <c r="D109" s="660">
        <f t="shared" si="10"/>
        <v>5346.348212176179</v>
      </c>
      <c r="E109" s="661">
        <f>+FPART!$F110</f>
        <v>0.50154876438978779</v>
      </c>
      <c r="F109" s="662">
        <f t="shared" si="11"/>
        <v>10331.694698426607</v>
      </c>
      <c r="G109" s="636">
        <f>+FPART!J110</f>
        <v>0.7130258503350696</v>
      </c>
      <c r="H109" s="667">
        <f t="shared" si="12"/>
        <v>3264.007597085923</v>
      </c>
      <c r="I109" s="642">
        <f t="shared" si="13"/>
        <v>18942.050507688709</v>
      </c>
      <c r="M109" s="639"/>
      <c r="N109" s="640"/>
      <c r="O109" s="641"/>
    </row>
    <row r="110" spans="1:15" s="613" customFormat="1" ht="12.75" x14ac:dyDescent="0.2">
      <c r="A110" s="631">
        <v>96</v>
      </c>
      <c r="B110" s="631" t="s">
        <v>78</v>
      </c>
      <c r="C110" s="659">
        <f>'COEFIC 2023'!I103</f>
        <v>0.12573581034213366</v>
      </c>
      <c r="D110" s="660">
        <f t="shared" si="10"/>
        <v>2590.1050851849063</v>
      </c>
      <c r="E110" s="661">
        <f>+FPART!$F111</f>
        <v>1.3013400949509077</v>
      </c>
      <c r="F110" s="662">
        <f t="shared" si="11"/>
        <v>26807.061475292969</v>
      </c>
      <c r="G110" s="636">
        <f>+FPART!J111</f>
        <v>0.18422636972178577</v>
      </c>
      <c r="H110" s="667">
        <f t="shared" si="12"/>
        <v>843.33025243459895</v>
      </c>
      <c r="I110" s="642">
        <f t="shared" si="13"/>
        <v>30240.496812912475</v>
      </c>
      <c r="M110" s="639"/>
      <c r="N110" s="640"/>
      <c r="O110" s="641"/>
    </row>
    <row r="111" spans="1:15" s="613" customFormat="1" ht="12.75" x14ac:dyDescent="0.2">
      <c r="A111" s="631">
        <v>97</v>
      </c>
      <c r="B111" s="631" t="s">
        <v>130</v>
      </c>
      <c r="C111" s="659">
        <f>'COEFIC 2023'!I104</f>
        <v>0.61185391145554102</v>
      </c>
      <c r="D111" s="660">
        <f t="shared" ref="D111:D127" si="14">$F$8*C111%</f>
        <v>12603.934576307593</v>
      </c>
      <c r="E111" s="661">
        <f>+FPART!$F112</f>
        <v>1.6393849867608183</v>
      </c>
      <c r="F111" s="662">
        <f t="shared" ref="F111:F127" si="15">$F$9*E111%</f>
        <v>33770.644808594392</v>
      </c>
      <c r="G111" s="636">
        <f>+FPART!J112</f>
        <v>0.56828479898068007</v>
      </c>
      <c r="H111" s="667">
        <f t="shared" ref="H111:H127" si="16">$F$10*G111%</f>
        <v>2601.4286863649145</v>
      </c>
      <c r="I111" s="642">
        <f t="shared" si="13"/>
        <v>48976.008071266901</v>
      </c>
      <c r="M111" s="639"/>
      <c r="N111" s="640"/>
      <c r="O111" s="641"/>
    </row>
    <row r="112" spans="1:15" s="613" customFormat="1" ht="12.75" x14ac:dyDescent="0.2">
      <c r="A112" s="631">
        <v>98</v>
      </c>
      <c r="B112" s="631" t="s">
        <v>355</v>
      </c>
      <c r="C112" s="659">
        <f>'COEFIC 2023'!I105</f>
        <v>0.54238440244219333</v>
      </c>
      <c r="D112" s="660">
        <f t="shared" si="14"/>
        <v>11172.891756675199</v>
      </c>
      <c r="E112" s="661">
        <f>+FPART!$F113</f>
        <v>0.65675616703162876</v>
      </c>
      <c r="F112" s="662">
        <f t="shared" si="15"/>
        <v>13528.902254071265</v>
      </c>
      <c r="G112" s="636">
        <f>+FPART!J113</f>
        <v>0.94575136814049388</v>
      </c>
      <c r="H112" s="667">
        <f t="shared" si="16"/>
        <v>4329.3516625159427</v>
      </c>
      <c r="I112" s="642">
        <f t="shared" si="13"/>
        <v>29031.145673262406</v>
      </c>
      <c r="M112" s="639"/>
      <c r="N112" s="640"/>
      <c r="O112" s="641"/>
    </row>
    <row r="113" spans="1:15" s="613" customFormat="1" ht="12.75" x14ac:dyDescent="0.2">
      <c r="A113" s="631">
        <v>99</v>
      </c>
      <c r="B113" s="631" t="s">
        <v>139</v>
      </c>
      <c r="C113" s="659">
        <f>'COEFIC 2023'!I106</f>
        <v>0.30173646397461618</v>
      </c>
      <c r="D113" s="660">
        <f t="shared" si="14"/>
        <v>6215.6449113405661</v>
      </c>
      <c r="E113" s="661">
        <f>+FPART!$F114</f>
        <v>1.0151448119377655</v>
      </c>
      <c r="F113" s="662">
        <f t="shared" si="15"/>
        <v>20911.558389328657</v>
      </c>
      <c r="G113" s="636">
        <f>+FPART!J114</f>
        <v>0.47909435811536139</v>
      </c>
      <c r="H113" s="667">
        <f t="shared" si="16"/>
        <v>2193.1429609104462</v>
      </c>
      <c r="I113" s="642">
        <f t="shared" si="13"/>
        <v>29320.346261579667</v>
      </c>
      <c r="M113" s="639"/>
      <c r="N113" s="640"/>
      <c r="O113" s="641"/>
    </row>
    <row r="114" spans="1:15" s="613" customFormat="1" ht="12.75" x14ac:dyDescent="0.2">
      <c r="A114" s="631">
        <v>100</v>
      </c>
      <c r="B114" s="631" t="s">
        <v>125</v>
      </c>
      <c r="C114" s="659">
        <f>'COEFIC 2023'!I107</f>
        <v>0.31399207302152987</v>
      </c>
      <c r="D114" s="660">
        <f t="shared" si="14"/>
        <v>6468.1053299601635</v>
      </c>
      <c r="E114" s="661">
        <f>+FPART!$F115</f>
        <v>0.41005540499195375</v>
      </c>
      <c r="F114" s="662">
        <f t="shared" si="15"/>
        <v>8446.9697756527985</v>
      </c>
      <c r="G114" s="636">
        <f>+FPART!J115</f>
        <v>0.90675826255322967</v>
      </c>
      <c r="H114" s="667">
        <f t="shared" si="16"/>
        <v>4150.8535157643291</v>
      </c>
      <c r="I114" s="642">
        <f t="shared" si="13"/>
        <v>19065.928621377294</v>
      </c>
      <c r="M114" s="639"/>
      <c r="N114" s="640"/>
      <c r="O114" s="641"/>
    </row>
    <row r="115" spans="1:15" s="613" customFormat="1" ht="12.75" x14ac:dyDescent="0.2">
      <c r="A115" s="631">
        <v>101</v>
      </c>
      <c r="B115" s="631" t="s">
        <v>66</v>
      </c>
      <c r="C115" s="659">
        <f>'COEFIC 2023'!I108</f>
        <v>0.18646635414161672</v>
      </c>
      <c r="D115" s="660">
        <f t="shared" si="14"/>
        <v>3841.1288777947316</v>
      </c>
      <c r="E115" s="661">
        <f>+FPART!$F116</f>
        <v>1.1972559825788365</v>
      </c>
      <c r="F115" s="662">
        <f t="shared" si="15"/>
        <v>24662.972309220921</v>
      </c>
      <c r="G115" s="636">
        <f>+FPART!J116</f>
        <v>0.28176783207365719</v>
      </c>
      <c r="H115" s="667">
        <f t="shared" si="16"/>
        <v>1289.844322012533</v>
      </c>
      <c r="I115" s="642">
        <f t="shared" si="13"/>
        <v>29793.945509028184</v>
      </c>
      <c r="M115" s="639"/>
      <c r="N115" s="640"/>
      <c r="O115" s="641"/>
    </row>
    <row r="116" spans="1:15" s="613" customFormat="1" ht="12.75" x14ac:dyDescent="0.2">
      <c r="A116" s="631">
        <v>102</v>
      </c>
      <c r="B116" s="631" t="s">
        <v>117</v>
      </c>
      <c r="C116" s="659">
        <f>'COEFIC 2023'!I109</f>
        <v>7.5131095007081719</v>
      </c>
      <c r="D116" s="660">
        <f t="shared" si="14"/>
        <v>154766.91222957324</v>
      </c>
      <c r="E116" s="661">
        <f>+FPART!$F117</f>
        <v>3.2046435796815618</v>
      </c>
      <c r="F116" s="662">
        <f t="shared" si="15"/>
        <v>66014.31691856643</v>
      </c>
      <c r="G116" s="636">
        <f>+FPART!J117</f>
        <v>1.4657363346795347</v>
      </c>
      <c r="H116" s="667">
        <f t="shared" si="16"/>
        <v>6709.6789400702191</v>
      </c>
      <c r="I116" s="642">
        <f t="shared" si="13"/>
        <v>227490.90808820986</v>
      </c>
      <c r="M116" s="639"/>
      <c r="N116" s="640"/>
      <c r="O116" s="641"/>
    </row>
    <row r="117" spans="1:15" s="613" customFormat="1" ht="12.75" x14ac:dyDescent="0.2">
      <c r="A117" s="631">
        <v>103</v>
      </c>
      <c r="B117" s="631" t="s">
        <v>356</v>
      </c>
      <c r="C117" s="659">
        <f>'COEFIC 2023'!I110</f>
        <v>0.49420427615467</v>
      </c>
      <c r="D117" s="660">
        <f t="shared" si="14"/>
        <v>10180.401313717057</v>
      </c>
      <c r="E117" s="661">
        <f>+FPART!$F118</f>
        <v>0.56434491249142493</v>
      </c>
      <c r="F117" s="662">
        <f t="shared" si="15"/>
        <v>11625.269075411967</v>
      </c>
      <c r="G117" s="636">
        <f>+FPART!J118</f>
        <v>0.97619221060691552</v>
      </c>
      <c r="H117" s="667">
        <f t="shared" si="16"/>
        <v>4468.7002443736756</v>
      </c>
      <c r="I117" s="642">
        <f t="shared" si="13"/>
        <v>26274.370633502698</v>
      </c>
      <c r="M117" s="639"/>
      <c r="N117" s="640"/>
      <c r="O117" s="641"/>
    </row>
    <row r="118" spans="1:15" s="613" customFormat="1" ht="12.75" x14ac:dyDescent="0.2">
      <c r="A118" s="631">
        <v>104</v>
      </c>
      <c r="B118" s="631" t="s">
        <v>109</v>
      </c>
      <c r="C118" s="659">
        <f>'COEFIC 2023'!I111</f>
        <v>0.33406010639216349</v>
      </c>
      <c r="D118" s="660">
        <f t="shared" si="14"/>
        <v>6881.4984209300528</v>
      </c>
      <c r="E118" s="661">
        <f>+FPART!$F119</f>
        <v>0.47064902069414494</v>
      </c>
      <c r="F118" s="662">
        <f t="shared" si="15"/>
        <v>9695.1729067491269</v>
      </c>
      <c r="G118" s="636">
        <f>+FPART!J119</f>
        <v>0.86801168304157472</v>
      </c>
      <c r="H118" s="667">
        <f t="shared" si="16"/>
        <v>3973.4838876818339</v>
      </c>
      <c r="I118" s="642">
        <f t="shared" si="13"/>
        <v>20550.15521536101</v>
      </c>
      <c r="M118" s="639"/>
      <c r="N118" s="640"/>
      <c r="O118" s="641"/>
    </row>
    <row r="119" spans="1:15" s="613" customFormat="1" ht="12.75" x14ac:dyDescent="0.2">
      <c r="A119" s="631">
        <v>105</v>
      </c>
      <c r="B119" s="631" t="s">
        <v>150</v>
      </c>
      <c r="C119" s="659">
        <f>'COEFIC 2023'!I112</f>
        <v>0.44183365811399233</v>
      </c>
      <c r="D119" s="660">
        <f t="shared" si="14"/>
        <v>9101.5884939456882</v>
      </c>
      <c r="E119" s="661">
        <f>+FPART!$F120</f>
        <v>0.4853513770445434</v>
      </c>
      <c r="F119" s="662">
        <f t="shared" si="15"/>
        <v>9998.0352961014396</v>
      </c>
      <c r="G119" s="636">
        <f>+FPART!J120</f>
        <v>0.99639666628438228</v>
      </c>
      <c r="H119" s="667">
        <f t="shared" si="16"/>
        <v>4561.1898740206889</v>
      </c>
      <c r="I119" s="642">
        <f t="shared" si="13"/>
        <v>23660.813664067817</v>
      </c>
      <c r="M119" s="639"/>
      <c r="N119" s="640"/>
      <c r="O119" s="641"/>
    </row>
    <row r="120" spans="1:15" s="613" customFormat="1" ht="12.75" x14ac:dyDescent="0.2">
      <c r="A120" s="631">
        <v>106</v>
      </c>
      <c r="B120" s="631" t="s">
        <v>357</v>
      </c>
      <c r="C120" s="659">
        <f>'COEFIC 2023'!I113</f>
        <v>0.68022841759871766</v>
      </c>
      <c r="D120" s="660">
        <f t="shared" si="14"/>
        <v>14012.42079496366</v>
      </c>
      <c r="E120" s="661">
        <f>+FPART!$F121</f>
        <v>0.6649816513046064</v>
      </c>
      <c r="F120" s="662">
        <f t="shared" si="15"/>
        <v>13698.343788551985</v>
      </c>
      <c r="G120" s="636">
        <f>+FPART!J121</f>
        <v>1.0573153678859981</v>
      </c>
      <c r="H120" s="667">
        <f t="shared" si="16"/>
        <v>4840.0564883781408</v>
      </c>
      <c r="I120" s="642">
        <f t="shared" si="13"/>
        <v>32550.821071893784</v>
      </c>
      <c r="M120" s="639"/>
      <c r="N120" s="640"/>
      <c r="O120" s="641"/>
    </row>
    <row r="121" spans="1:15" s="613" customFormat="1" ht="12.75" x14ac:dyDescent="0.2">
      <c r="A121" s="631">
        <v>107</v>
      </c>
      <c r="B121" s="631" t="s">
        <v>358</v>
      </c>
      <c r="C121" s="659">
        <f>'COEFIC 2023'!I114</f>
        <v>1.6178456829301266</v>
      </c>
      <c r="D121" s="660">
        <f t="shared" si="14"/>
        <v>33326.944161726875</v>
      </c>
      <c r="E121" s="661">
        <f>+FPART!$F122</f>
        <v>1.0775803879663932</v>
      </c>
      <c r="F121" s="662">
        <f t="shared" si="15"/>
        <v>22197.705132473377</v>
      </c>
      <c r="G121" s="636">
        <f>+FPART!J122</f>
        <v>1.2550168374600785</v>
      </c>
      <c r="H121" s="667">
        <f t="shared" si="16"/>
        <v>5745.0715005850716</v>
      </c>
      <c r="I121" s="642">
        <f t="shared" si="13"/>
        <v>61269.720794785324</v>
      </c>
      <c r="M121" s="639"/>
      <c r="N121" s="640"/>
      <c r="O121" s="641"/>
    </row>
    <row r="122" spans="1:15" s="613" customFormat="1" ht="12.75" x14ac:dyDescent="0.2">
      <c r="A122" s="631">
        <v>108</v>
      </c>
      <c r="B122" s="631" t="s">
        <v>149</v>
      </c>
      <c r="C122" s="659">
        <f>'COEFIC 2023'!I115</f>
        <v>4.313890153523614</v>
      </c>
      <c r="D122" s="660">
        <f t="shared" si="14"/>
        <v>88864.332230946209</v>
      </c>
      <c r="E122" s="661">
        <f>+FPART!$F123</f>
        <v>2.6970472672578447</v>
      </c>
      <c r="F122" s="662">
        <f t="shared" si="15"/>
        <v>55558.045260934974</v>
      </c>
      <c r="G122" s="636">
        <f>+FPART!J123</f>
        <v>1.2865683823402381</v>
      </c>
      <c r="H122" s="667">
        <f t="shared" si="16"/>
        <v>5889.5045279994956</v>
      </c>
      <c r="I122" s="642">
        <f t="shared" si="13"/>
        <v>150311.88201988069</v>
      </c>
      <c r="M122" s="639"/>
      <c r="N122" s="640"/>
      <c r="O122" s="641"/>
    </row>
    <row r="123" spans="1:15" s="613" customFormat="1" ht="12.75" x14ac:dyDescent="0.2">
      <c r="A123" s="631">
        <v>109</v>
      </c>
      <c r="B123" s="631" t="s">
        <v>50</v>
      </c>
      <c r="C123" s="659">
        <f>'COEFIC 2023'!I116</f>
        <v>6.8058639930627357E-2</v>
      </c>
      <c r="D123" s="660">
        <f t="shared" si="14"/>
        <v>1401.9795068359765</v>
      </c>
      <c r="E123" s="661">
        <f>+FPART!$F124</f>
        <v>0.2211655189413736</v>
      </c>
      <c r="F123" s="662">
        <f t="shared" si="15"/>
        <v>4555.917154539171</v>
      </c>
      <c r="G123" s="636">
        <f>+FPART!J124</f>
        <v>0.49202659964457895</v>
      </c>
      <c r="H123" s="667">
        <f t="shared" si="16"/>
        <v>2252.3426863886743</v>
      </c>
      <c r="I123" s="642">
        <f t="shared" si="13"/>
        <v>8210.2393477638216</v>
      </c>
      <c r="M123" s="639"/>
      <c r="N123" s="640"/>
      <c r="O123" s="641"/>
    </row>
    <row r="124" spans="1:15" s="613" customFormat="1" ht="12.75" x14ac:dyDescent="0.2">
      <c r="A124" s="631">
        <v>110</v>
      </c>
      <c r="B124" s="631" t="s">
        <v>111</v>
      </c>
      <c r="C124" s="659">
        <f>'COEFIC 2023'!I117</f>
        <v>1.0319349163986367</v>
      </c>
      <c r="D124" s="660">
        <f t="shared" si="14"/>
        <v>21257.427516242893</v>
      </c>
      <c r="E124" s="661">
        <f>+FPART!$F125</f>
        <v>0.93707100970791035</v>
      </c>
      <c r="F124" s="662">
        <f t="shared" si="15"/>
        <v>19303.270729472493</v>
      </c>
      <c r="G124" s="636">
        <f>+FPART!J125</f>
        <v>1.0958349989493676</v>
      </c>
      <c r="H124" s="667">
        <f t="shared" si="16"/>
        <v>5016.3872179985365</v>
      </c>
      <c r="I124" s="642">
        <f t="shared" si="13"/>
        <v>45577.08546371392</v>
      </c>
      <c r="M124" s="639"/>
      <c r="N124" s="640"/>
      <c r="O124" s="641"/>
    </row>
    <row r="125" spans="1:15" s="613" customFormat="1" ht="12.75" x14ac:dyDescent="0.2">
      <c r="A125" s="631">
        <v>111</v>
      </c>
      <c r="B125" s="631" t="s">
        <v>140</v>
      </c>
      <c r="C125" s="659">
        <f>'COEFIC 2023'!I118</f>
        <v>0.38750466955550888</v>
      </c>
      <c r="D125" s="660">
        <f t="shared" si="14"/>
        <v>7982.434060889741</v>
      </c>
      <c r="E125" s="661">
        <f>+FPART!$F126</f>
        <v>0.45366995431345297</v>
      </c>
      <c r="F125" s="662">
        <f t="shared" si="15"/>
        <v>9345.411243348246</v>
      </c>
      <c r="G125" s="636">
        <f>+FPART!J126</f>
        <v>0.96323146383146219</v>
      </c>
      <c r="H125" s="667">
        <f t="shared" si="16"/>
        <v>4409.3700308630341</v>
      </c>
      <c r="I125" s="642">
        <f t="shared" si="13"/>
        <v>21737.21533510102</v>
      </c>
      <c r="M125" s="639"/>
      <c r="N125" s="640"/>
      <c r="O125" s="641"/>
    </row>
    <row r="126" spans="1:15" s="613" customFormat="1" ht="12.75" x14ac:dyDescent="0.2">
      <c r="A126" s="631">
        <v>112</v>
      </c>
      <c r="B126" s="631" t="s">
        <v>142</v>
      </c>
      <c r="C126" s="659">
        <f>'COEFIC 2023'!I119</f>
        <v>3.3072455918764265</v>
      </c>
      <c r="D126" s="660">
        <f t="shared" si="14"/>
        <v>68127.875441098746</v>
      </c>
      <c r="E126" s="661">
        <f>+FPART!$F127</f>
        <v>1.8287280295210968</v>
      </c>
      <c r="F126" s="662">
        <f t="shared" si="15"/>
        <v>37671.032268327042</v>
      </c>
      <c r="G126" s="636">
        <f>+FPART!J127</f>
        <v>1.3464292708166699</v>
      </c>
      <c r="H126" s="667">
        <f t="shared" si="16"/>
        <v>6163.5288072925523</v>
      </c>
      <c r="I126" s="642">
        <f t="shared" ref="I126:I127" si="17">D126+F126+H126</f>
        <v>111962.43651671833</v>
      </c>
      <c r="M126" s="639"/>
      <c r="N126" s="640"/>
      <c r="O126" s="641"/>
    </row>
    <row r="127" spans="1:15" s="613" customFormat="1" ht="12.75" x14ac:dyDescent="0.2">
      <c r="A127" s="631">
        <v>113</v>
      </c>
      <c r="B127" s="631" t="s">
        <v>101</v>
      </c>
      <c r="C127" s="659">
        <f>'COEFIC 2023'!I120</f>
        <v>0.55198673530369269</v>
      </c>
      <c r="D127" s="660">
        <f t="shared" si="14"/>
        <v>11370.695796006019</v>
      </c>
      <c r="E127" s="661">
        <f>+FPART!$F128</f>
        <v>0.58979875485710986</v>
      </c>
      <c r="F127" s="662">
        <f t="shared" si="15"/>
        <v>12149.60757825743</v>
      </c>
      <c r="G127" s="636">
        <f>+FPART!J128</f>
        <v>1.0108436899472564</v>
      </c>
      <c r="H127" s="667">
        <f t="shared" si="16"/>
        <v>4627.3237946474683</v>
      </c>
      <c r="I127" s="642">
        <f t="shared" si="17"/>
        <v>28147.62716891092</v>
      </c>
      <c r="J127" s="643"/>
      <c r="K127" s="643"/>
      <c r="L127" s="643"/>
      <c r="M127" s="639"/>
      <c r="N127" s="640"/>
      <c r="O127" s="641"/>
    </row>
    <row r="128" spans="1:15" s="643" customFormat="1" ht="13.5" thickBot="1" x14ac:dyDescent="0.25">
      <c r="A128" s="644"/>
      <c r="B128" s="645" t="s">
        <v>156</v>
      </c>
      <c r="C128" s="654">
        <f t="shared" ref="C128:I128" si="18">SUM(C15:C127)</f>
        <v>100.00000000000004</v>
      </c>
      <c r="D128" s="647">
        <f t="shared" si="18"/>
        <v>2059958.1600000004</v>
      </c>
      <c r="E128" s="654">
        <f t="shared" si="18"/>
        <v>99.999999999999915</v>
      </c>
      <c r="F128" s="647">
        <f t="shared" si="18"/>
        <v>2059958.1599999988</v>
      </c>
      <c r="G128" s="663">
        <f t="shared" si="18"/>
        <v>100.00000000000006</v>
      </c>
      <c r="H128" s="647">
        <f t="shared" si="18"/>
        <v>457768.48000000033</v>
      </c>
      <c r="I128" s="647">
        <f t="shared" si="18"/>
        <v>4577684.799999998</v>
      </c>
      <c r="J128" s="668"/>
      <c r="K128" s="668"/>
      <c r="L128" s="658"/>
      <c r="M128" s="656"/>
      <c r="N128" s="657"/>
    </row>
    <row r="129" spans="1:10" s="613" customFormat="1" ht="13.5" thickTop="1" x14ac:dyDescent="0.2">
      <c r="D129" s="620"/>
      <c r="F129" s="620"/>
      <c r="H129" s="620"/>
      <c r="I129" s="620"/>
      <c r="J129" s="658"/>
    </row>
    <row r="130" spans="1:10" s="613" customFormat="1" ht="12.75" x14ac:dyDescent="0.2">
      <c r="D130" s="620"/>
      <c r="E130" s="620"/>
      <c r="F130" s="620"/>
      <c r="G130" s="620"/>
      <c r="H130" s="620"/>
      <c r="I130" s="620"/>
    </row>
    <row r="131" spans="1:10" s="613" customFormat="1" ht="12.75" x14ac:dyDescent="0.2">
      <c r="H131" s="620"/>
    </row>
    <row r="132" spans="1:10" s="613" customFormat="1" ht="12.75" x14ac:dyDescent="0.2">
      <c r="D132" s="620"/>
    </row>
    <row r="133" spans="1:10" s="613" customFormat="1" ht="12.75" x14ac:dyDescent="0.2"/>
    <row r="134" spans="1:10" s="613" customFormat="1" ht="12.75" x14ac:dyDescent="0.2">
      <c r="C134" s="648" t="s">
        <v>7</v>
      </c>
      <c r="D134" s="648"/>
      <c r="I134" s="621"/>
    </row>
    <row r="135" spans="1:10" s="613" customFormat="1" ht="12.75" x14ac:dyDescent="0.2">
      <c r="A135" s="613" t="s">
        <v>7</v>
      </c>
      <c r="B135" s="613" t="s">
        <v>7</v>
      </c>
      <c r="I135" s="621"/>
    </row>
    <row r="136" spans="1:10" s="613" customFormat="1" ht="12.75" x14ac:dyDescent="0.2">
      <c r="A136" s="613" t="s">
        <v>7</v>
      </c>
      <c r="B136" s="613" t="s">
        <v>7</v>
      </c>
      <c r="I136" s="621"/>
    </row>
    <row r="137" spans="1:10" s="613" customFormat="1" ht="12.75" x14ac:dyDescent="0.2">
      <c r="I137" s="621"/>
    </row>
    <row r="138" spans="1:10" s="613" customFormat="1" ht="12.75" x14ac:dyDescent="0.2">
      <c r="I138" s="621"/>
    </row>
    <row r="139" spans="1:10" s="613" customFormat="1" ht="12.75" x14ac:dyDescent="0.2">
      <c r="I139" s="621"/>
    </row>
    <row r="140" spans="1:10" s="613" customFormat="1" ht="12.75" x14ac:dyDescent="0.2">
      <c r="I140" s="621"/>
    </row>
    <row r="141" spans="1:10" s="613" customFormat="1" ht="12.75" x14ac:dyDescent="0.2">
      <c r="I141" s="621"/>
    </row>
    <row r="142" spans="1:10" s="613" customFormat="1" ht="12.75" x14ac:dyDescent="0.2">
      <c r="I142" s="621"/>
    </row>
    <row r="143" spans="1:10" s="613" customFormat="1" ht="12.75" x14ac:dyDescent="0.2">
      <c r="I143" s="621"/>
    </row>
    <row r="144" spans="1:10" s="613" customFormat="1" ht="12.75" x14ac:dyDescent="0.2">
      <c r="I144" s="621"/>
    </row>
    <row r="145" spans="9:9" s="613" customFormat="1" ht="12.75" x14ac:dyDescent="0.2">
      <c r="I145" s="621"/>
    </row>
    <row r="146" spans="9:9" s="613" customFormat="1" ht="12.75" x14ac:dyDescent="0.2">
      <c r="I146" s="621"/>
    </row>
    <row r="147" spans="9:9" s="613" customFormat="1" ht="12.75" x14ac:dyDescent="0.2">
      <c r="I147" s="621"/>
    </row>
    <row r="148" spans="9:9" s="613" customFormat="1" ht="12.75" x14ac:dyDescent="0.2">
      <c r="I148" s="621"/>
    </row>
    <row r="149" spans="9:9" s="613" customFormat="1" ht="12.75" x14ac:dyDescent="0.2">
      <c r="I149" s="621"/>
    </row>
    <row r="150" spans="9:9" s="613" customFormat="1" ht="12.75" x14ac:dyDescent="0.2">
      <c r="I150" s="621"/>
    </row>
    <row r="151" spans="9:9" s="613" customFormat="1" ht="12.75" x14ac:dyDescent="0.2">
      <c r="I151" s="621"/>
    </row>
    <row r="152" spans="9:9" s="613" customFormat="1" ht="12.75" x14ac:dyDescent="0.2">
      <c r="I152" s="621"/>
    </row>
    <row r="153" spans="9:9" s="613" customFormat="1" ht="12.75" x14ac:dyDescent="0.2">
      <c r="I153" s="621"/>
    </row>
    <row r="154" spans="9:9" s="613" customFormat="1" ht="12.75" x14ac:dyDescent="0.2">
      <c r="I154" s="621"/>
    </row>
    <row r="155" spans="9:9" s="613" customFormat="1" ht="12.75" x14ac:dyDescent="0.2">
      <c r="I155" s="621"/>
    </row>
    <row r="156" spans="9:9" s="613" customFormat="1" ht="12.75" x14ac:dyDescent="0.2">
      <c r="I156" s="621"/>
    </row>
    <row r="157" spans="9:9" s="613" customFormat="1" ht="12.75" x14ac:dyDescent="0.2">
      <c r="I157" s="621"/>
    </row>
    <row r="158" spans="9:9" s="613" customFormat="1" ht="12.75" x14ac:dyDescent="0.2">
      <c r="I158" s="621"/>
    </row>
    <row r="159" spans="9:9" s="613" customFormat="1" ht="12.75" x14ac:dyDescent="0.2">
      <c r="I159" s="621"/>
    </row>
    <row r="160" spans="9:9" s="613" customFormat="1" ht="12.75" x14ac:dyDescent="0.2">
      <c r="I160" s="621"/>
    </row>
    <row r="161" spans="9:9" s="613" customFormat="1" ht="12.75" x14ac:dyDescent="0.2">
      <c r="I161" s="621"/>
    </row>
    <row r="162" spans="9:9" s="613" customFormat="1" ht="12.75" x14ac:dyDescent="0.2">
      <c r="I162" s="621"/>
    </row>
    <row r="163" spans="9:9" s="613" customFormat="1" ht="12.75" x14ac:dyDescent="0.2">
      <c r="I163" s="621"/>
    </row>
    <row r="164" spans="9:9" s="613" customFormat="1" ht="12.75" x14ac:dyDescent="0.2">
      <c r="I164" s="621"/>
    </row>
    <row r="165" spans="9:9" s="613" customFormat="1" ht="12.75" x14ac:dyDescent="0.2">
      <c r="I165" s="621"/>
    </row>
    <row r="166" spans="9:9" s="613" customFormat="1" ht="12.75" x14ac:dyDescent="0.2">
      <c r="I166" s="621"/>
    </row>
    <row r="167" spans="9:9" s="613" customFormat="1" ht="12.75" x14ac:dyDescent="0.2">
      <c r="I167" s="621"/>
    </row>
    <row r="168" spans="9:9" s="613" customFormat="1" ht="12.75" x14ac:dyDescent="0.2">
      <c r="I168" s="621"/>
    </row>
    <row r="169" spans="9:9" s="613" customFormat="1" ht="12.75" x14ac:dyDescent="0.2">
      <c r="I169" s="621"/>
    </row>
    <row r="170" spans="9:9" s="613" customFormat="1" ht="12.75" x14ac:dyDescent="0.2">
      <c r="I170" s="621"/>
    </row>
    <row r="171" spans="9:9" s="613" customFormat="1" ht="12.75" x14ac:dyDescent="0.2">
      <c r="I171" s="621"/>
    </row>
    <row r="172" spans="9:9" s="613" customFormat="1" ht="12.75" x14ac:dyDescent="0.2">
      <c r="I172" s="621"/>
    </row>
    <row r="173" spans="9:9" s="613" customFormat="1" ht="12.75" x14ac:dyDescent="0.2">
      <c r="I173" s="621"/>
    </row>
    <row r="174" spans="9:9" s="613" customFormat="1" ht="12.75" x14ac:dyDescent="0.2">
      <c r="I174" s="621"/>
    </row>
    <row r="175" spans="9:9" s="613" customFormat="1" ht="12.75" x14ac:dyDescent="0.2">
      <c r="I175" s="621"/>
    </row>
    <row r="176" spans="9:9" s="613" customFormat="1" ht="12.75" x14ac:dyDescent="0.2">
      <c r="I176" s="621"/>
    </row>
    <row r="177" spans="9:9" s="613" customFormat="1" ht="12.75" x14ac:dyDescent="0.2">
      <c r="I177" s="621"/>
    </row>
    <row r="178" spans="9:9" s="613" customFormat="1" ht="12.75" x14ac:dyDescent="0.2">
      <c r="I178" s="621"/>
    </row>
    <row r="179" spans="9:9" s="613" customFormat="1" ht="12.75" x14ac:dyDescent="0.2">
      <c r="I179" s="621"/>
    </row>
    <row r="180" spans="9:9" s="613" customFormat="1" ht="12.75" x14ac:dyDescent="0.2">
      <c r="I180" s="621"/>
    </row>
    <row r="181" spans="9:9" s="613" customFormat="1" ht="12.75" x14ac:dyDescent="0.2">
      <c r="I181" s="621"/>
    </row>
    <row r="182" spans="9:9" s="613" customFormat="1" ht="12.75" x14ac:dyDescent="0.2">
      <c r="I182" s="621"/>
    </row>
    <row r="183" spans="9:9" s="613" customFormat="1" ht="12.75" x14ac:dyDescent="0.2">
      <c r="I183" s="621"/>
    </row>
    <row r="184" spans="9:9" s="613" customFormat="1" ht="12.75" x14ac:dyDescent="0.2">
      <c r="I184" s="621"/>
    </row>
    <row r="185" spans="9:9" s="613" customFormat="1" ht="12.75" x14ac:dyDescent="0.2">
      <c r="I185" s="621"/>
    </row>
    <row r="186" spans="9:9" s="613" customFormat="1" ht="12.75" x14ac:dyDescent="0.2">
      <c r="I186" s="621"/>
    </row>
    <row r="187" spans="9:9" s="613" customFormat="1" ht="12.75" x14ac:dyDescent="0.2">
      <c r="I187" s="621"/>
    </row>
    <row r="188" spans="9:9" s="613" customFormat="1" ht="12.75" x14ac:dyDescent="0.2">
      <c r="I188" s="621"/>
    </row>
    <row r="189" spans="9:9" s="613" customFormat="1" ht="12.75" x14ac:dyDescent="0.2">
      <c r="I189" s="621"/>
    </row>
    <row r="190" spans="9:9" s="613" customFormat="1" ht="12.75" x14ac:dyDescent="0.2">
      <c r="I190" s="621"/>
    </row>
    <row r="191" spans="9:9" s="613" customFormat="1" ht="12.75" x14ac:dyDescent="0.2">
      <c r="I191" s="621"/>
    </row>
    <row r="192" spans="9:9" s="613" customFormat="1" ht="12.75" x14ac:dyDescent="0.2">
      <c r="I192" s="621"/>
    </row>
    <row r="193" spans="9:9" s="613" customFormat="1" ht="12.75" x14ac:dyDescent="0.2">
      <c r="I193" s="621"/>
    </row>
    <row r="194" spans="9:9" s="613" customFormat="1" ht="12.75" x14ac:dyDescent="0.2">
      <c r="I194" s="621"/>
    </row>
    <row r="195" spans="9:9" s="613" customFormat="1" ht="12.75" x14ac:dyDescent="0.2">
      <c r="I195" s="621"/>
    </row>
    <row r="196" spans="9:9" s="613" customFormat="1" ht="12.75" x14ac:dyDescent="0.2">
      <c r="I196" s="621"/>
    </row>
    <row r="197" spans="9:9" s="613" customFormat="1" ht="12.75" x14ac:dyDescent="0.2">
      <c r="I197" s="621"/>
    </row>
    <row r="198" spans="9:9" s="613" customFormat="1" ht="12.75" x14ac:dyDescent="0.2">
      <c r="I198" s="621"/>
    </row>
    <row r="199" spans="9:9" s="613" customFormat="1" ht="12.75" x14ac:dyDescent="0.2">
      <c r="I199" s="621"/>
    </row>
    <row r="200" spans="9:9" s="613" customFormat="1" ht="12.75" x14ac:dyDescent="0.2">
      <c r="I200" s="621"/>
    </row>
    <row r="201" spans="9:9" s="613" customFormat="1" ht="12.75" x14ac:dyDescent="0.2">
      <c r="I201" s="621"/>
    </row>
    <row r="202" spans="9:9" s="613" customFormat="1" ht="12.75" x14ac:dyDescent="0.2">
      <c r="I202" s="621"/>
    </row>
    <row r="203" spans="9:9" s="613" customFormat="1" ht="12.75" x14ac:dyDescent="0.2">
      <c r="I203" s="621"/>
    </row>
    <row r="204" spans="9:9" s="613" customFormat="1" ht="12.75" x14ac:dyDescent="0.2">
      <c r="I204" s="621"/>
    </row>
    <row r="205" spans="9:9" s="613" customFormat="1" ht="12.75" x14ac:dyDescent="0.2">
      <c r="I205" s="621"/>
    </row>
    <row r="206" spans="9:9" s="613" customFormat="1" ht="12.75" x14ac:dyDescent="0.2">
      <c r="I206" s="621"/>
    </row>
    <row r="207" spans="9:9" s="613" customFormat="1" ht="12.75" x14ac:dyDescent="0.2">
      <c r="I207" s="621"/>
    </row>
    <row r="208" spans="9:9" s="613" customFormat="1" ht="12.75" x14ac:dyDescent="0.2">
      <c r="I208" s="621"/>
    </row>
    <row r="209" spans="9:9" s="613" customFormat="1" ht="12.75" x14ac:dyDescent="0.2">
      <c r="I209" s="621"/>
    </row>
    <row r="210" spans="9:9" s="613" customFormat="1" ht="12.75" x14ac:dyDescent="0.2">
      <c r="I210" s="621"/>
    </row>
    <row r="211" spans="9:9" s="613" customFormat="1" ht="12.75" x14ac:dyDescent="0.2">
      <c r="I211" s="621"/>
    </row>
    <row r="212" spans="9:9" s="613" customFormat="1" ht="12.75" x14ac:dyDescent="0.2">
      <c r="I212" s="621"/>
    </row>
    <row r="213" spans="9:9" s="613" customFormat="1" ht="12.75" x14ac:dyDescent="0.2">
      <c r="I213" s="621"/>
    </row>
    <row r="214" spans="9:9" s="613" customFormat="1" ht="12.75" x14ac:dyDescent="0.2">
      <c r="I214" s="621"/>
    </row>
    <row r="215" spans="9:9" s="613" customFormat="1" ht="12.75" x14ac:dyDescent="0.2">
      <c r="I215" s="621"/>
    </row>
    <row r="216" spans="9:9" s="613" customFormat="1" ht="12.75" x14ac:dyDescent="0.2">
      <c r="I216" s="621"/>
    </row>
    <row r="217" spans="9:9" s="613" customFormat="1" ht="12.75" x14ac:dyDescent="0.2">
      <c r="I217" s="621"/>
    </row>
    <row r="218" spans="9:9" s="613" customFormat="1" ht="12.75" x14ac:dyDescent="0.2">
      <c r="I218" s="621"/>
    </row>
    <row r="219" spans="9:9" s="613" customFormat="1" ht="12.75" x14ac:dyDescent="0.2">
      <c r="I219" s="621"/>
    </row>
    <row r="220" spans="9:9" s="613" customFormat="1" ht="12.75" x14ac:dyDescent="0.2">
      <c r="I220" s="621"/>
    </row>
    <row r="221" spans="9:9" s="613" customFormat="1" ht="12.75" x14ac:dyDescent="0.2">
      <c r="I221" s="621"/>
    </row>
    <row r="222" spans="9:9" s="613" customFormat="1" ht="12.75" x14ac:dyDescent="0.2">
      <c r="I222" s="621"/>
    </row>
    <row r="223" spans="9:9" s="613" customFormat="1" ht="12.75" x14ac:dyDescent="0.2">
      <c r="I223" s="621"/>
    </row>
    <row r="224" spans="9:9" s="613" customFormat="1" ht="12.75" x14ac:dyDescent="0.2">
      <c r="I224" s="621"/>
    </row>
    <row r="225" spans="9:9" s="613" customFormat="1" ht="12.75" x14ac:dyDescent="0.2">
      <c r="I225" s="621"/>
    </row>
    <row r="226" spans="9:9" s="613" customFormat="1" ht="12.75" x14ac:dyDescent="0.2">
      <c r="I226" s="621"/>
    </row>
    <row r="227" spans="9:9" s="613" customFormat="1" ht="12.75" x14ac:dyDescent="0.2">
      <c r="I227" s="621"/>
    </row>
    <row r="228" spans="9:9" s="613" customFormat="1" ht="12.75" x14ac:dyDescent="0.2">
      <c r="I228" s="621"/>
    </row>
    <row r="229" spans="9:9" s="613" customFormat="1" ht="12.75" x14ac:dyDescent="0.2">
      <c r="I229" s="621"/>
    </row>
    <row r="230" spans="9:9" s="613" customFormat="1" ht="12.75" x14ac:dyDescent="0.2">
      <c r="I230" s="621"/>
    </row>
    <row r="231" spans="9:9" s="613" customFormat="1" ht="12.75" x14ac:dyDescent="0.2">
      <c r="I231" s="621"/>
    </row>
    <row r="232" spans="9:9" s="613" customFormat="1" ht="12.75" x14ac:dyDescent="0.2">
      <c r="I232" s="621"/>
    </row>
    <row r="233" spans="9:9" s="613" customFormat="1" ht="12.75" x14ac:dyDescent="0.2">
      <c r="I233" s="621"/>
    </row>
    <row r="234" spans="9:9" s="613" customFormat="1" ht="12.75" x14ac:dyDescent="0.2">
      <c r="I234" s="621"/>
    </row>
    <row r="235" spans="9:9" s="613" customFormat="1" ht="12.75" x14ac:dyDescent="0.2">
      <c r="I235" s="621"/>
    </row>
    <row r="236" spans="9:9" s="613" customFormat="1" ht="12.75" x14ac:dyDescent="0.2">
      <c r="I236" s="621"/>
    </row>
    <row r="237" spans="9:9" s="613" customFormat="1" ht="12.75" x14ac:dyDescent="0.2">
      <c r="I237" s="621"/>
    </row>
    <row r="238" spans="9:9" s="613" customFormat="1" ht="12.75" x14ac:dyDescent="0.2">
      <c r="I238" s="621"/>
    </row>
    <row r="239" spans="9:9" s="613" customFormat="1" ht="12.75" x14ac:dyDescent="0.2">
      <c r="I239" s="621"/>
    </row>
    <row r="240" spans="9:9" s="613" customFormat="1" ht="12.75" x14ac:dyDescent="0.2">
      <c r="I240" s="621"/>
    </row>
    <row r="241" spans="9:9" s="613" customFormat="1" ht="12.75" x14ac:dyDescent="0.2">
      <c r="I241" s="621"/>
    </row>
    <row r="242" spans="9:9" s="613" customFormat="1" ht="12.75" x14ac:dyDescent="0.2">
      <c r="I242" s="621"/>
    </row>
    <row r="243" spans="9:9" s="613" customFormat="1" ht="12.75" x14ac:dyDescent="0.2">
      <c r="I243" s="621"/>
    </row>
    <row r="244" spans="9:9" s="613" customFormat="1" ht="12.75" x14ac:dyDescent="0.2">
      <c r="I244" s="621"/>
    </row>
    <row r="245" spans="9:9" s="613" customFormat="1" ht="12.75" x14ac:dyDescent="0.2">
      <c r="I245" s="621"/>
    </row>
    <row r="246" spans="9:9" s="613" customFormat="1" ht="12.75" x14ac:dyDescent="0.2">
      <c r="I246" s="621"/>
    </row>
    <row r="247" spans="9:9" s="613" customFormat="1" ht="12.75" x14ac:dyDescent="0.2">
      <c r="I247" s="621"/>
    </row>
    <row r="248" spans="9:9" s="613" customFormat="1" ht="12.75" x14ac:dyDescent="0.2">
      <c r="I248" s="621"/>
    </row>
    <row r="249" spans="9:9" s="613" customFormat="1" ht="12.75" x14ac:dyDescent="0.2">
      <c r="I249" s="621"/>
    </row>
    <row r="250" spans="9:9" s="613" customFormat="1" ht="12.75" x14ac:dyDescent="0.2">
      <c r="I250" s="621"/>
    </row>
    <row r="251" spans="9:9" s="613" customFormat="1" ht="12.75" x14ac:dyDescent="0.2">
      <c r="I251" s="621"/>
    </row>
    <row r="252" spans="9:9" s="613" customFormat="1" ht="12.75" x14ac:dyDescent="0.2">
      <c r="I252" s="621"/>
    </row>
    <row r="253" spans="9:9" s="613" customFormat="1" ht="12.75" x14ac:dyDescent="0.2">
      <c r="I253" s="621"/>
    </row>
    <row r="254" spans="9:9" s="613" customFormat="1" ht="12.75" x14ac:dyDescent="0.2">
      <c r="I254" s="621"/>
    </row>
    <row r="255" spans="9:9" s="613" customFormat="1" ht="12.75" x14ac:dyDescent="0.2">
      <c r="I255" s="621"/>
    </row>
    <row r="256" spans="9:9" s="613" customFormat="1" ht="12.75" x14ac:dyDescent="0.2">
      <c r="I256" s="621"/>
    </row>
    <row r="257" spans="9:9" s="613" customFormat="1" ht="12.75" x14ac:dyDescent="0.2">
      <c r="I257" s="621"/>
    </row>
    <row r="258" spans="9:9" s="613" customFormat="1" ht="12.75" x14ac:dyDescent="0.2">
      <c r="I258" s="621"/>
    </row>
    <row r="259" spans="9:9" s="613" customFormat="1" ht="12.75" x14ac:dyDescent="0.2">
      <c r="I259" s="621"/>
    </row>
    <row r="260" spans="9:9" s="613" customFormat="1" ht="12.75" x14ac:dyDescent="0.2">
      <c r="I260" s="621"/>
    </row>
    <row r="261" spans="9:9" s="613" customFormat="1" ht="12.75" x14ac:dyDescent="0.2">
      <c r="I261" s="621"/>
    </row>
    <row r="262" spans="9:9" s="613" customFormat="1" ht="12.75" x14ac:dyDescent="0.2">
      <c r="I262" s="621"/>
    </row>
    <row r="263" spans="9:9" s="613" customFormat="1" ht="12.75" x14ac:dyDescent="0.2">
      <c r="I263" s="621"/>
    </row>
    <row r="264" spans="9:9" s="613" customFormat="1" ht="12.75" x14ac:dyDescent="0.2">
      <c r="I264" s="621"/>
    </row>
    <row r="265" spans="9:9" s="613" customFormat="1" ht="12.75" x14ac:dyDescent="0.2">
      <c r="I265" s="621"/>
    </row>
    <row r="266" spans="9:9" s="613" customFormat="1" ht="12.75" x14ac:dyDescent="0.2">
      <c r="I266" s="621"/>
    </row>
    <row r="267" spans="9:9" s="613" customFormat="1" ht="12.75" x14ac:dyDescent="0.2">
      <c r="I267" s="621"/>
    </row>
    <row r="268" spans="9:9" s="613" customFormat="1" ht="12.75" x14ac:dyDescent="0.2">
      <c r="I268" s="621"/>
    </row>
    <row r="269" spans="9:9" s="613" customFormat="1" ht="12.75" x14ac:dyDescent="0.2">
      <c r="I269" s="621"/>
    </row>
    <row r="270" spans="9:9" s="613" customFormat="1" ht="12.75" x14ac:dyDescent="0.2">
      <c r="I270" s="621"/>
    </row>
    <row r="271" spans="9:9" s="613" customFormat="1" ht="12.75" x14ac:dyDescent="0.2">
      <c r="I271" s="621"/>
    </row>
    <row r="272" spans="9:9" s="613" customFormat="1" ht="12.75" x14ac:dyDescent="0.2">
      <c r="I272" s="621"/>
    </row>
    <row r="273" spans="9:9" s="613" customFormat="1" ht="12.75" x14ac:dyDescent="0.2">
      <c r="I273" s="621"/>
    </row>
    <row r="274" spans="9:9" s="613" customFormat="1" ht="12.75" x14ac:dyDescent="0.2">
      <c r="I274" s="621"/>
    </row>
    <row r="275" spans="9:9" s="613" customFormat="1" ht="12.75" x14ac:dyDescent="0.2">
      <c r="I275" s="621"/>
    </row>
    <row r="276" spans="9:9" s="613" customFormat="1" ht="12.75" x14ac:dyDescent="0.2">
      <c r="I276" s="621"/>
    </row>
    <row r="277" spans="9:9" s="613" customFormat="1" ht="12.75" x14ac:dyDescent="0.2">
      <c r="I277" s="621"/>
    </row>
    <row r="278" spans="9:9" s="613" customFormat="1" ht="12.75" x14ac:dyDescent="0.2">
      <c r="I278" s="621"/>
    </row>
    <row r="279" spans="9:9" s="613" customFormat="1" ht="12.75" x14ac:dyDescent="0.2">
      <c r="I279" s="621"/>
    </row>
    <row r="280" spans="9:9" s="613" customFormat="1" ht="12.75" x14ac:dyDescent="0.2">
      <c r="I280" s="621"/>
    </row>
    <row r="281" spans="9:9" s="613" customFormat="1" ht="12.75" x14ac:dyDescent="0.2">
      <c r="I281" s="621"/>
    </row>
    <row r="282" spans="9:9" s="613" customFormat="1" ht="12.75" x14ac:dyDescent="0.2">
      <c r="I282" s="621"/>
    </row>
    <row r="283" spans="9:9" s="613" customFormat="1" ht="12.75" x14ac:dyDescent="0.2">
      <c r="I283" s="621"/>
    </row>
    <row r="284" spans="9:9" s="613" customFormat="1" ht="12.75" x14ac:dyDescent="0.2">
      <c r="I284" s="621"/>
    </row>
    <row r="285" spans="9:9" s="613" customFormat="1" ht="12.75" x14ac:dyDescent="0.2">
      <c r="I285" s="621"/>
    </row>
    <row r="286" spans="9:9" s="613" customFormat="1" ht="12.75" x14ac:dyDescent="0.2">
      <c r="I286" s="621"/>
    </row>
    <row r="287" spans="9:9" s="613" customFormat="1" ht="12.75" x14ac:dyDescent="0.2">
      <c r="I287" s="621"/>
    </row>
    <row r="288" spans="9:9" s="613" customFormat="1" ht="12.75" x14ac:dyDescent="0.2">
      <c r="I288" s="621"/>
    </row>
    <row r="289" spans="9:9" s="613" customFormat="1" ht="12.75" x14ac:dyDescent="0.2">
      <c r="I289" s="621"/>
    </row>
    <row r="290" spans="9:9" s="613" customFormat="1" ht="12.75" x14ac:dyDescent="0.2">
      <c r="I290" s="621"/>
    </row>
    <row r="291" spans="9:9" s="613" customFormat="1" ht="12.75" x14ac:dyDescent="0.2">
      <c r="I291" s="621"/>
    </row>
    <row r="292" spans="9:9" s="613" customFormat="1" ht="12.75" x14ac:dyDescent="0.2">
      <c r="I292" s="621"/>
    </row>
    <row r="293" spans="9:9" s="613" customFormat="1" ht="12.75" x14ac:dyDescent="0.2">
      <c r="I293" s="621"/>
    </row>
    <row r="294" spans="9:9" s="613" customFormat="1" ht="12.75" x14ac:dyDescent="0.2">
      <c r="I294" s="621"/>
    </row>
    <row r="295" spans="9:9" s="613" customFormat="1" ht="12.75" x14ac:dyDescent="0.2">
      <c r="I295" s="621"/>
    </row>
    <row r="296" spans="9:9" s="613" customFormat="1" ht="12.75" x14ac:dyDescent="0.2">
      <c r="I296" s="621"/>
    </row>
    <row r="297" spans="9:9" s="613" customFormat="1" ht="12.75" x14ac:dyDescent="0.2">
      <c r="I297" s="621"/>
    </row>
    <row r="298" spans="9:9" s="613" customFormat="1" ht="12.75" x14ac:dyDescent="0.2">
      <c r="I298" s="621"/>
    </row>
    <row r="299" spans="9:9" s="613" customFormat="1" ht="12.75" x14ac:dyDescent="0.2">
      <c r="I299" s="621"/>
    </row>
    <row r="300" spans="9:9" s="613" customFormat="1" ht="12.75" x14ac:dyDescent="0.2">
      <c r="I300" s="621"/>
    </row>
    <row r="301" spans="9:9" s="613" customFormat="1" ht="12.75" x14ac:dyDescent="0.2">
      <c r="I301" s="621"/>
    </row>
    <row r="302" spans="9:9" s="613" customFormat="1" ht="12.75" x14ac:dyDescent="0.2">
      <c r="I302" s="621"/>
    </row>
    <row r="303" spans="9:9" s="613" customFormat="1" ht="12.75" x14ac:dyDescent="0.2">
      <c r="I303" s="621"/>
    </row>
    <row r="304" spans="9:9" s="613" customFormat="1" ht="12.75" x14ac:dyDescent="0.2">
      <c r="I304" s="621"/>
    </row>
    <row r="305" spans="9:9" s="613" customFormat="1" ht="12.75" x14ac:dyDescent="0.2">
      <c r="I305" s="621"/>
    </row>
    <row r="306" spans="9:9" s="613" customFormat="1" ht="12.75" x14ac:dyDescent="0.2">
      <c r="I306" s="621"/>
    </row>
    <row r="307" spans="9:9" s="613" customFormat="1" ht="12.75" x14ac:dyDescent="0.2">
      <c r="I307" s="621"/>
    </row>
    <row r="308" spans="9:9" s="613" customFormat="1" ht="12.75" x14ac:dyDescent="0.2">
      <c r="I308" s="621"/>
    </row>
    <row r="309" spans="9:9" s="613" customFormat="1" ht="12.75" x14ac:dyDescent="0.2">
      <c r="I309" s="621"/>
    </row>
    <row r="310" spans="9:9" s="613" customFormat="1" ht="12.75" x14ac:dyDescent="0.2">
      <c r="I310" s="621"/>
    </row>
    <row r="311" spans="9:9" s="613" customFormat="1" ht="12.75" x14ac:dyDescent="0.2">
      <c r="I311" s="621"/>
    </row>
    <row r="312" spans="9:9" s="613" customFormat="1" ht="12.75" x14ac:dyDescent="0.2">
      <c r="I312" s="621"/>
    </row>
    <row r="313" spans="9:9" s="613" customFormat="1" ht="12.75" x14ac:dyDescent="0.2">
      <c r="I313" s="621"/>
    </row>
    <row r="314" spans="9:9" s="613" customFormat="1" ht="12.75" x14ac:dyDescent="0.2">
      <c r="I314" s="621"/>
    </row>
    <row r="315" spans="9:9" s="613" customFormat="1" ht="12.75" x14ac:dyDescent="0.2">
      <c r="I315" s="621"/>
    </row>
    <row r="316" spans="9:9" s="613" customFormat="1" ht="12.75" x14ac:dyDescent="0.2">
      <c r="I316" s="621"/>
    </row>
    <row r="317" spans="9:9" s="613" customFormat="1" ht="12.75" x14ac:dyDescent="0.2">
      <c r="I317" s="621"/>
    </row>
    <row r="318" spans="9:9" s="613" customFormat="1" ht="12.75" x14ac:dyDescent="0.2">
      <c r="I318" s="621"/>
    </row>
    <row r="319" spans="9:9" s="613" customFormat="1" ht="12.75" x14ac:dyDescent="0.2">
      <c r="I319" s="621"/>
    </row>
    <row r="320" spans="9:9" s="613" customFormat="1" ht="12.75" x14ac:dyDescent="0.2">
      <c r="I320" s="621"/>
    </row>
    <row r="321" spans="9:9" s="613" customFormat="1" ht="12.75" x14ac:dyDescent="0.2">
      <c r="I321" s="621"/>
    </row>
    <row r="322" spans="9:9" s="613" customFormat="1" ht="12.75" x14ac:dyDescent="0.2">
      <c r="I322" s="621"/>
    </row>
    <row r="323" spans="9:9" s="613" customFormat="1" ht="12.75" x14ac:dyDescent="0.2">
      <c r="I323" s="621"/>
    </row>
    <row r="324" spans="9:9" s="613" customFormat="1" ht="12.75" x14ac:dyDescent="0.2">
      <c r="I324" s="621"/>
    </row>
    <row r="325" spans="9:9" s="613" customFormat="1" ht="12.75" x14ac:dyDescent="0.2">
      <c r="I325" s="621"/>
    </row>
    <row r="326" spans="9:9" s="613" customFormat="1" ht="12.75" x14ac:dyDescent="0.2">
      <c r="I326" s="621"/>
    </row>
    <row r="327" spans="9:9" s="613" customFormat="1" ht="12.75" x14ac:dyDescent="0.2">
      <c r="I327" s="621"/>
    </row>
    <row r="328" spans="9:9" s="613" customFormat="1" ht="12.75" x14ac:dyDescent="0.2">
      <c r="I328" s="621"/>
    </row>
    <row r="329" spans="9:9" s="613" customFormat="1" ht="12.75" x14ac:dyDescent="0.2">
      <c r="I329" s="621"/>
    </row>
    <row r="330" spans="9:9" s="613" customFormat="1" ht="12.75" x14ac:dyDescent="0.2">
      <c r="I330" s="621"/>
    </row>
    <row r="331" spans="9:9" s="613" customFormat="1" ht="12.75" x14ac:dyDescent="0.2">
      <c r="I331" s="621"/>
    </row>
    <row r="332" spans="9:9" s="613" customFormat="1" ht="12.75" x14ac:dyDescent="0.2">
      <c r="I332" s="621"/>
    </row>
    <row r="333" spans="9:9" s="613" customFormat="1" ht="12.75" x14ac:dyDescent="0.2">
      <c r="I333" s="621"/>
    </row>
    <row r="334" spans="9:9" s="613" customFormat="1" ht="12.75" x14ac:dyDescent="0.2">
      <c r="I334" s="621"/>
    </row>
    <row r="335" spans="9:9" s="613" customFormat="1" ht="12.75" x14ac:dyDescent="0.2">
      <c r="I335" s="621"/>
    </row>
    <row r="336" spans="9:9" s="613" customFormat="1" ht="12.75" x14ac:dyDescent="0.2">
      <c r="I336" s="621"/>
    </row>
    <row r="337" spans="9:9" s="613" customFormat="1" ht="12.75" x14ac:dyDescent="0.2">
      <c r="I337" s="621"/>
    </row>
    <row r="338" spans="9:9" s="613" customFormat="1" ht="12.75" x14ac:dyDescent="0.2">
      <c r="I338" s="621"/>
    </row>
    <row r="339" spans="9:9" s="613" customFormat="1" ht="12.75" x14ac:dyDescent="0.2">
      <c r="I339" s="621"/>
    </row>
    <row r="340" spans="9:9" s="613" customFormat="1" ht="12.75" x14ac:dyDescent="0.2">
      <c r="I340" s="621"/>
    </row>
    <row r="341" spans="9:9" s="613" customFormat="1" ht="12.75" x14ac:dyDescent="0.2">
      <c r="I341" s="621"/>
    </row>
    <row r="342" spans="9:9" s="613" customFormat="1" ht="12.75" x14ac:dyDescent="0.2">
      <c r="I342" s="621"/>
    </row>
    <row r="343" spans="9:9" s="613" customFormat="1" ht="12.75" x14ac:dyDescent="0.2">
      <c r="I343" s="621"/>
    </row>
    <row r="344" spans="9:9" s="613" customFormat="1" ht="12.75" x14ac:dyDescent="0.2">
      <c r="I344" s="621"/>
    </row>
    <row r="345" spans="9:9" s="613" customFormat="1" ht="12.75" x14ac:dyDescent="0.2">
      <c r="I345" s="621"/>
    </row>
    <row r="346" spans="9:9" s="613" customFormat="1" ht="12.75" x14ac:dyDescent="0.2">
      <c r="I346" s="621"/>
    </row>
    <row r="347" spans="9:9" s="613" customFormat="1" ht="12.75" x14ac:dyDescent="0.2">
      <c r="I347" s="621"/>
    </row>
    <row r="348" spans="9:9" s="613" customFormat="1" ht="12.75" x14ac:dyDescent="0.2">
      <c r="I348" s="621"/>
    </row>
    <row r="349" spans="9:9" s="613" customFormat="1" ht="12.75" x14ac:dyDescent="0.2">
      <c r="I349" s="621"/>
    </row>
    <row r="350" spans="9:9" s="613" customFormat="1" ht="12.75" x14ac:dyDescent="0.2">
      <c r="I350" s="621"/>
    </row>
    <row r="351" spans="9:9" s="613" customFormat="1" ht="12.75" x14ac:dyDescent="0.2">
      <c r="I351" s="621"/>
    </row>
    <row r="352" spans="9:9" s="613" customFormat="1" ht="12.75" x14ac:dyDescent="0.2">
      <c r="I352" s="621"/>
    </row>
    <row r="353" spans="9:9" s="613" customFormat="1" ht="12.75" x14ac:dyDescent="0.2">
      <c r="I353" s="621"/>
    </row>
    <row r="354" spans="9:9" s="613" customFormat="1" ht="12.75" x14ac:dyDescent="0.2">
      <c r="I354" s="621"/>
    </row>
    <row r="355" spans="9:9" s="613" customFormat="1" ht="12.75" x14ac:dyDescent="0.2">
      <c r="I355" s="621"/>
    </row>
    <row r="356" spans="9:9" s="613" customFormat="1" ht="12.75" x14ac:dyDescent="0.2">
      <c r="I356" s="621"/>
    </row>
    <row r="357" spans="9:9" s="613" customFormat="1" ht="12.75" x14ac:dyDescent="0.2">
      <c r="I357" s="621"/>
    </row>
    <row r="358" spans="9:9" s="613" customFormat="1" ht="12.75" x14ac:dyDescent="0.2">
      <c r="I358" s="621"/>
    </row>
    <row r="359" spans="9:9" s="613" customFormat="1" ht="12.75" x14ac:dyDescent="0.2">
      <c r="I359" s="621"/>
    </row>
    <row r="360" spans="9:9" s="613" customFormat="1" ht="12.75" x14ac:dyDescent="0.2">
      <c r="I360" s="621"/>
    </row>
    <row r="361" spans="9:9" s="613" customFormat="1" ht="12.75" x14ac:dyDescent="0.2">
      <c r="I361" s="621"/>
    </row>
    <row r="362" spans="9:9" s="613" customFormat="1" ht="12.75" x14ac:dyDescent="0.2">
      <c r="I362" s="621"/>
    </row>
    <row r="363" spans="9:9" s="613" customFormat="1" ht="12.75" x14ac:dyDescent="0.2">
      <c r="I363" s="621"/>
    </row>
    <row r="364" spans="9:9" s="613" customFormat="1" ht="12.75" x14ac:dyDescent="0.2">
      <c r="I364" s="621"/>
    </row>
    <row r="365" spans="9:9" s="613" customFormat="1" ht="12.75" x14ac:dyDescent="0.2">
      <c r="I365" s="621"/>
    </row>
    <row r="366" spans="9:9" s="613" customFormat="1" ht="12.75" x14ac:dyDescent="0.2">
      <c r="I366" s="621"/>
    </row>
    <row r="367" spans="9:9" s="613" customFormat="1" ht="12.75" x14ac:dyDescent="0.2">
      <c r="I367" s="621"/>
    </row>
    <row r="368" spans="9:9" s="613" customFormat="1" ht="12.75" x14ac:dyDescent="0.2">
      <c r="I368" s="621"/>
    </row>
    <row r="369" spans="9:9" s="613" customFormat="1" ht="12.75" x14ac:dyDescent="0.2">
      <c r="I369" s="621"/>
    </row>
    <row r="370" spans="9:9" s="613" customFormat="1" ht="12.75" x14ac:dyDescent="0.2">
      <c r="I370" s="621"/>
    </row>
    <row r="371" spans="9:9" s="613" customFormat="1" ht="12.75" x14ac:dyDescent="0.2">
      <c r="I371" s="621"/>
    </row>
    <row r="372" spans="9:9" s="613" customFormat="1" ht="12.75" x14ac:dyDescent="0.2">
      <c r="I372" s="621"/>
    </row>
    <row r="373" spans="9:9" s="613" customFormat="1" ht="12.75" x14ac:dyDescent="0.2">
      <c r="I373" s="621"/>
    </row>
    <row r="374" spans="9:9" s="613" customFormat="1" ht="12.75" x14ac:dyDescent="0.2">
      <c r="I374" s="621"/>
    </row>
    <row r="375" spans="9:9" s="613" customFormat="1" ht="12.75" x14ac:dyDescent="0.2">
      <c r="I375" s="621"/>
    </row>
    <row r="376" spans="9:9" s="613" customFormat="1" ht="12.75" x14ac:dyDescent="0.2">
      <c r="I376" s="621"/>
    </row>
    <row r="377" spans="9:9" s="613" customFormat="1" ht="12.75" x14ac:dyDescent="0.2">
      <c r="I377" s="621"/>
    </row>
    <row r="378" spans="9:9" s="613" customFormat="1" ht="12.75" x14ac:dyDescent="0.2">
      <c r="I378" s="621"/>
    </row>
    <row r="379" spans="9:9" s="613" customFormat="1" ht="12.75" x14ac:dyDescent="0.2">
      <c r="I379" s="621"/>
    </row>
    <row r="380" spans="9:9" s="613" customFormat="1" ht="12.75" x14ac:dyDescent="0.2">
      <c r="I380" s="621"/>
    </row>
    <row r="381" spans="9:9" s="613" customFormat="1" ht="12.75" x14ac:dyDescent="0.2">
      <c r="I381" s="621"/>
    </row>
    <row r="382" spans="9:9" s="613" customFormat="1" ht="12.75" x14ac:dyDescent="0.2">
      <c r="I382" s="621"/>
    </row>
    <row r="383" spans="9:9" s="613" customFormat="1" ht="12.75" x14ac:dyDescent="0.2">
      <c r="I383" s="621"/>
    </row>
    <row r="384" spans="9:9" s="613" customFormat="1" ht="12.75" x14ac:dyDescent="0.2">
      <c r="I384" s="621"/>
    </row>
    <row r="385" spans="9:9" s="613" customFormat="1" ht="12.75" x14ac:dyDescent="0.2">
      <c r="I385" s="621"/>
    </row>
    <row r="386" spans="9:9" s="613" customFormat="1" ht="12.75" x14ac:dyDescent="0.2">
      <c r="I386" s="621"/>
    </row>
    <row r="387" spans="9:9" s="613" customFormat="1" ht="12.75" x14ac:dyDescent="0.2">
      <c r="I387" s="621"/>
    </row>
    <row r="388" spans="9:9" s="613" customFormat="1" ht="12.75" x14ac:dyDescent="0.2">
      <c r="I388" s="621"/>
    </row>
    <row r="389" spans="9:9" s="613" customFormat="1" ht="12.75" x14ac:dyDescent="0.2">
      <c r="I389" s="621"/>
    </row>
    <row r="390" spans="9:9" s="613" customFormat="1" ht="12.75" x14ac:dyDescent="0.2">
      <c r="I390" s="621"/>
    </row>
    <row r="391" spans="9:9" s="613" customFormat="1" ht="12.75" x14ac:dyDescent="0.2">
      <c r="I391" s="621"/>
    </row>
    <row r="392" spans="9:9" s="613" customFormat="1" ht="12.75" x14ac:dyDescent="0.2">
      <c r="I392" s="621"/>
    </row>
    <row r="393" spans="9:9" s="613" customFormat="1" ht="12.75" x14ac:dyDescent="0.2">
      <c r="I393" s="621"/>
    </row>
    <row r="394" spans="9:9" s="613" customFormat="1" ht="12.75" x14ac:dyDescent="0.2">
      <c r="I394" s="621"/>
    </row>
    <row r="395" spans="9:9" s="613" customFormat="1" ht="12.75" x14ac:dyDescent="0.2">
      <c r="I395" s="621"/>
    </row>
    <row r="396" spans="9:9" s="613" customFormat="1" ht="12.75" x14ac:dyDescent="0.2">
      <c r="I396" s="621"/>
    </row>
    <row r="397" spans="9:9" s="613" customFormat="1" ht="12.75" x14ac:dyDescent="0.2">
      <c r="I397" s="621"/>
    </row>
    <row r="398" spans="9:9" s="613" customFormat="1" ht="12.75" x14ac:dyDescent="0.2">
      <c r="I398" s="621"/>
    </row>
    <row r="399" spans="9:9" s="613" customFormat="1" ht="12.75" x14ac:dyDescent="0.2">
      <c r="I399" s="621"/>
    </row>
    <row r="400" spans="9:9" s="613" customFormat="1" ht="12.75" x14ac:dyDescent="0.2">
      <c r="I400" s="621"/>
    </row>
    <row r="401" spans="9:9" s="613" customFormat="1" ht="12.75" x14ac:dyDescent="0.2">
      <c r="I401" s="621"/>
    </row>
    <row r="402" spans="9:9" s="613" customFormat="1" ht="12.75" x14ac:dyDescent="0.2">
      <c r="I402" s="621"/>
    </row>
    <row r="403" spans="9:9" s="613" customFormat="1" ht="12.75" x14ac:dyDescent="0.2">
      <c r="I403" s="621"/>
    </row>
    <row r="404" spans="9:9" s="613" customFormat="1" ht="12.75" x14ac:dyDescent="0.2">
      <c r="I404" s="621"/>
    </row>
    <row r="405" spans="9:9" s="613" customFormat="1" ht="12.75" x14ac:dyDescent="0.2">
      <c r="I405" s="621"/>
    </row>
    <row r="406" spans="9:9" s="613" customFormat="1" ht="12.75" x14ac:dyDescent="0.2">
      <c r="I406" s="621"/>
    </row>
    <row r="407" spans="9:9" s="613" customFormat="1" ht="12.75" x14ac:dyDescent="0.2">
      <c r="I407" s="621"/>
    </row>
    <row r="408" spans="9:9" s="613" customFormat="1" ht="12.75" x14ac:dyDescent="0.2">
      <c r="I408" s="621"/>
    </row>
    <row r="409" spans="9:9" s="613" customFormat="1" ht="12.75" x14ac:dyDescent="0.2">
      <c r="I409" s="621"/>
    </row>
    <row r="410" spans="9:9" s="613" customFormat="1" ht="12.75" x14ac:dyDescent="0.2">
      <c r="I410" s="621"/>
    </row>
    <row r="411" spans="9:9" s="613" customFormat="1" ht="12.75" x14ac:dyDescent="0.2">
      <c r="I411" s="621"/>
    </row>
    <row r="412" spans="9:9" s="613" customFormat="1" ht="12.75" x14ac:dyDescent="0.2">
      <c r="I412" s="621"/>
    </row>
    <row r="413" spans="9:9" s="613" customFormat="1" ht="12.75" x14ac:dyDescent="0.2">
      <c r="I413" s="621"/>
    </row>
    <row r="414" spans="9:9" s="613" customFormat="1" ht="12.75" x14ac:dyDescent="0.2">
      <c r="I414" s="621"/>
    </row>
    <row r="415" spans="9:9" s="613" customFormat="1" ht="12.75" x14ac:dyDescent="0.2">
      <c r="I415" s="621"/>
    </row>
    <row r="416" spans="9:9" s="613" customFormat="1" ht="12.75" x14ac:dyDescent="0.2">
      <c r="I416" s="621"/>
    </row>
    <row r="417" spans="9:9" s="613" customFormat="1" ht="12.75" x14ac:dyDescent="0.2">
      <c r="I417" s="621"/>
    </row>
    <row r="418" spans="9:9" s="613" customFormat="1" ht="12.75" x14ac:dyDescent="0.2">
      <c r="I418" s="621"/>
    </row>
    <row r="419" spans="9:9" s="613" customFormat="1" ht="12.75" x14ac:dyDescent="0.2">
      <c r="I419" s="621"/>
    </row>
    <row r="420" spans="9:9" s="613" customFormat="1" ht="12.75" x14ac:dyDescent="0.2">
      <c r="I420" s="621"/>
    </row>
    <row r="421" spans="9:9" s="613" customFormat="1" ht="12.75" x14ac:dyDescent="0.2">
      <c r="I421" s="621"/>
    </row>
    <row r="422" spans="9:9" s="613" customFormat="1" ht="12.75" x14ac:dyDescent="0.2">
      <c r="I422" s="621"/>
    </row>
    <row r="423" spans="9:9" s="613" customFormat="1" ht="12.75" x14ac:dyDescent="0.2">
      <c r="I423" s="621"/>
    </row>
    <row r="424" spans="9:9" s="613" customFormat="1" ht="12.75" x14ac:dyDescent="0.2">
      <c r="I424" s="621"/>
    </row>
    <row r="425" spans="9:9" s="613" customFormat="1" ht="12.75" x14ac:dyDescent="0.2">
      <c r="I425" s="621"/>
    </row>
    <row r="426" spans="9:9" s="613" customFormat="1" ht="12.75" x14ac:dyDescent="0.2">
      <c r="I426" s="621"/>
    </row>
    <row r="427" spans="9:9" s="613" customFormat="1" ht="12.75" x14ac:dyDescent="0.2">
      <c r="I427" s="621"/>
    </row>
    <row r="428" spans="9:9" s="613" customFormat="1" ht="12.75" x14ac:dyDescent="0.2">
      <c r="I428" s="621"/>
    </row>
    <row r="429" spans="9:9" s="613" customFormat="1" ht="12.75" x14ac:dyDescent="0.2">
      <c r="I429" s="621"/>
    </row>
    <row r="430" spans="9:9" s="613" customFormat="1" ht="12.75" x14ac:dyDescent="0.2">
      <c r="I430" s="621"/>
    </row>
    <row r="431" spans="9:9" s="613" customFormat="1" ht="12.75" x14ac:dyDescent="0.2">
      <c r="I431" s="621"/>
    </row>
    <row r="432" spans="9:9" s="613" customFormat="1" ht="12.75" x14ac:dyDescent="0.2">
      <c r="I432" s="621"/>
    </row>
    <row r="433" spans="9:9" s="613" customFormat="1" ht="12.75" x14ac:dyDescent="0.2">
      <c r="I433" s="621"/>
    </row>
    <row r="434" spans="9:9" s="613" customFormat="1" ht="12.75" x14ac:dyDescent="0.2">
      <c r="I434" s="621"/>
    </row>
    <row r="435" spans="9:9" s="613" customFormat="1" ht="12.75" x14ac:dyDescent="0.2">
      <c r="I435" s="621"/>
    </row>
    <row r="436" spans="9:9" s="613" customFormat="1" ht="12.75" x14ac:dyDescent="0.2">
      <c r="I436" s="621"/>
    </row>
    <row r="437" spans="9:9" s="613" customFormat="1" ht="12.75" x14ac:dyDescent="0.2">
      <c r="I437" s="621"/>
    </row>
    <row r="438" spans="9:9" s="613" customFormat="1" ht="12.75" x14ac:dyDescent="0.2">
      <c r="I438" s="621"/>
    </row>
    <row r="439" spans="9:9" s="613" customFormat="1" ht="12.75" x14ac:dyDescent="0.2">
      <c r="I439" s="621"/>
    </row>
    <row r="440" spans="9:9" s="613" customFormat="1" ht="12.75" x14ac:dyDescent="0.2">
      <c r="I440" s="621"/>
    </row>
    <row r="441" spans="9:9" s="613" customFormat="1" ht="12.75" x14ac:dyDescent="0.2">
      <c r="I441" s="621"/>
    </row>
    <row r="442" spans="9:9" s="613" customFormat="1" ht="12.75" x14ac:dyDescent="0.2">
      <c r="I442" s="621"/>
    </row>
    <row r="443" spans="9:9" s="613" customFormat="1" ht="12.75" x14ac:dyDescent="0.2">
      <c r="I443" s="621"/>
    </row>
    <row r="444" spans="9:9" s="613" customFormat="1" ht="12.75" x14ac:dyDescent="0.2">
      <c r="I444" s="621"/>
    </row>
    <row r="445" spans="9:9" s="613" customFormat="1" ht="12.75" x14ac:dyDescent="0.2">
      <c r="I445" s="621"/>
    </row>
    <row r="446" spans="9:9" s="613" customFormat="1" ht="12.75" x14ac:dyDescent="0.2">
      <c r="I446" s="621"/>
    </row>
    <row r="447" spans="9:9" s="613" customFormat="1" ht="12.75" x14ac:dyDescent="0.2">
      <c r="I447" s="621"/>
    </row>
    <row r="448" spans="9:9" s="613" customFormat="1" ht="12.75" x14ac:dyDescent="0.2">
      <c r="I448" s="621"/>
    </row>
    <row r="449" spans="9:9" s="613" customFormat="1" ht="12.75" x14ac:dyDescent="0.2">
      <c r="I449" s="621"/>
    </row>
    <row r="450" spans="9:9" s="613" customFormat="1" ht="12.75" x14ac:dyDescent="0.2">
      <c r="I450" s="621"/>
    </row>
    <row r="451" spans="9:9" s="613" customFormat="1" ht="12.75" x14ac:dyDescent="0.2">
      <c r="I451" s="621"/>
    </row>
    <row r="452" spans="9:9" s="613" customFormat="1" ht="12.75" x14ac:dyDescent="0.2">
      <c r="I452" s="621"/>
    </row>
    <row r="453" spans="9:9" s="613" customFormat="1" ht="12.75" x14ac:dyDescent="0.2">
      <c r="I453" s="621"/>
    </row>
    <row r="454" spans="9:9" s="613" customFormat="1" ht="12.75" x14ac:dyDescent="0.2">
      <c r="I454" s="621"/>
    </row>
    <row r="455" spans="9:9" s="613" customFormat="1" ht="12.75" x14ac:dyDescent="0.2">
      <c r="I455" s="621"/>
    </row>
    <row r="456" spans="9:9" s="613" customFormat="1" ht="12.75" x14ac:dyDescent="0.2">
      <c r="I456" s="621"/>
    </row>
    <row r="457" spans="9:9" s="613" customFormat="1" ht="12.75" x14ac:dyDescent="0.2">
      <c r="I457" s="621"/>
    </row>
    <row r="458" spans="9:9" s="613" customFormat="1" ht="12.75" x14ac:dyDescent="0.2">
      <c r="I458" s="621"/>
    </row>
    <row r="459" spans="9:9" s="613" customFormat="1" ht="12.75" x14ac:dyDescent="0.2">
      <c r="I459" s="621"/>
    </row>
    <row r="460" spans="9:9" s="613" customFormat="1" ht="12.75" x14ac:dyDescent="0.2">
      <c r="I460" s="621"/>
    </row>
    <row r="461" spans="9:9" s="613" customFormat="1" ht="12.75" x14ac:dyDescent="0.2">
      <c r="I461" s="621"/>
    </row>
    <row r="462" spans="9:9" s="613" customFormat="1" ht="12.75" x14ac:dyDescent="0.2">
      <c r="I462" s="621"/>
    </row>
    <row r="463" spans="9:9" s="613" customFormat="1" ht="12.75" x14ac:dyDescent="0.2">
      <c r="I463" s="621"/>
    </row>
    <row r="464" spans="9:9" s="613" customFormat="1" ht="12.75" x14ac:dyDescent="0.2">
      <c r="I464" s="621"/>
    </row>
    <row r="465" spans="9:9" s="613" customFormat="1" ht="12.75" x14ac:dyDescent="0.2">
      <c r="I465" s="621"/>
    </row>
    <row r="466" spans="9:9" s="613" customFormat="1" ht="12.75" x14ac:dyDescent="0.2">
      <c r="I466" s="621"/>
    </row>
    <row r="467" spans="9:9" s="613" customFormat="1" ht="12.75" x14ac:dyDescent="0.2">
      <c r="I467" s="621"/>
    </row>
    <row r="468" spans="9:9" s="613" customFormat="1" ht="12.75" x14ac:dyDescent="0.2">
      <c r="I468" s="621"/>
    </row>
    <row r="469" spans="9:9" s="613" customFormat="1" ht="12.75" x14ac:dyDescent="0.2">
      <c r="I469" s="621"/>
    </row>
    <row r="470" spans="9:9" s="613" customFormat="1" ht="12.75" x14ac:dyDescent="0.2">
      <c r="I470" s="621"/>
    </row>
    <row r="471" spans="9:9" s="613" customFormat="1" ht="12.75" x14ac:dyDescent="0.2">
      <c r="I471" s="621"/>
    </row>
    <row r="472" spans="9:9" s="613" customFormat="1" ht="12.75" x14ac:dyDescent="0.2">
      <c r="I472" s="621"/>
    </row>
    <row r="473" spans="9:9" s="613" customFormat="1" ht="12.75" x14ac:dyDescent="0.2">
      <c r="I473" s="621"/>
    </row>
    <row r="474" spans="9:9" s="613" customFormat="1" ht="12.75" x14ac:dyDescent="0.2">
      <c r="I474" s="621"/>
    </row>
    <row r="475" spans="9:9" s="613" customFormat="1" ht="12.75" x14ac:dyDescent="0.2">
      <c r="I475" s="621"/>
    </row>
    <row r="476" spans="9:9" s="613" customFormat="1" ht="12.75" x14ac:dyDescent="0.2">
      <c r="I476" s="621"/>
    </row>
    <row r="477" spans="9:9" s="613" customFormat="1" ht="12.75" x14ac:dyDescent="0.2">
      <c r="I477" s="621"/>
    </row>
    <row r="478" spans="9:9" s="613" customFormat="1" ht="12.75" x14ac:dyDescent="0.2">
      <c r="I478" s="621"/>
    </row>
    <row r="479" spans="9:9" s="613" customFormat="1" ht="12.75" x14ac:dyDescent="0.2">
      <c r="I479" s="621"/>
    </row>
    <row r="480" spans="9:9" s="613" customFormat="1" ht="12.75" x14ac:dyDescent="0.2">
      <c r="I480" s="621"/>
    </row>
    <row r="481" spans="9:9" s="613" customFormat="1" ht="12.75" x14ac:dyDescent="0.2">
      <c r="I481" s="621"/>
    </row>
    <row r="482" spans="9:9" s="613" customFormat="1" ht="12.75" x14ac:dyDescent="0.2">
      <c r="I482" s="621"/>
    </row>
    <row r="483" spans="9:9" s="613" customFormat="1" ht="12.75" x14ac:dyDescent="0.2">
      <c r="I483" s="621"/>
    </row>
    <row r="484" spans="9:9" s="613" customFormat="1" ht="12.75" x14ac:dyDescent="0.2">
      <c r="I484" s="621"/>
    </row>
    <row r="485" spans="9:9" s="613" customFormat="1" ht="12.75" x14ac:dyDescent="0.2">
      <c r="I485" s="621"/>
    </row>
    <row r="486" spans="9:9" s="613" customFormat="1" ht="12.75" x14ac:dyDescent="0.2">
      <c r="I486" s="621"/>
    </row>
    <row r="487" spans="9:9" s="613" customFormat="1" ht="12.75" x14ac:dyDescent="0.2">
      <c r="I487" s="621"/>
    </row>
    <row r="488" spans="9:9" s="613" customFormat="1" ht="12.75" x14ac:dyDescent="0.2">
      <c r="I488" s="621"/>
    </row>
    <row r="489" spans="9:9" s="613" customFormat="1" ht="12.75" x14ac:dyDescent="0.2">
      <c r="I489" s="621"/>
    </row>
    <row r="490" spans="9:9" s="613" customFormat="1" ht="12.75" x14ac:dyDescent="0.2">
      <c r="I490" s="621"/>
    </row>
    <row r="491" spans="9:9" s="613" customFormat="1" ht="12.75" x14ac:dyDescent="0.2">
      <c r="I491" s="621"/>
    </row>
    <row r="492" spans="9:9" s="613" customFormat="1" ht="12.75" x14ac:dyDescent="0.2">
      <c r="I492" s="621"/>
    </row>
    <row r="493" spans="9:9" s="613" customFormat="1" ht="12.75" x14ac:dyDescent="0.2">
      <c r="I493" s="621"/>
    </row>
    <row r="494" spans="9:9" s="613" customFormat="1" ht="12.75" x14ac:dyDescent="0.2">
      <c r="I494" s="621"/>
    </row>
    <row r="495" spans="9:9" s="613" customFormat="1" ht="12.75" x14ac:dyDescent="0.2">
      <c r="I495" s="621"/>
    </row>
    <row r="496" spans="9:9" s="613" customFormat="1" ht="12.75" x14ac:dyDescent="0.2">
      <c r="I496" s="621"/>
    </row>
    <row r="497" spans="9:9" s="613" customFormat="1" ht="12.75" x14ac:dyDescent="0.2">
      <c r="I497" s="621"/>
    </row>
    <row r="498" spans="9:9" s="613" customFormat="1" ht="12.75" x14ac:dyDescent="0.2">
      <c r="I498" s="621"/>
    </row>
    <row r="499" spans="9:9" s="613" customFormat="1" ht="12.75" x14ac:dyDescent="0.2">
      <c r="I499" s="621"/>
    </row>
    <row r="500" spans="9:9" s="613" customFormat="1" ht="12.75" x14ac:dyDescent="0.2">
      <c r="I500" s="621"/>
    </row>
    <row r="501" spans="9:9" s="613" customFormat="1" ht="12.75" x14ac:dyDescent="0.2">
      <c r="I501" s="621"/>
    </row>
    <row r="502" spans="9:9" s="613" customFormat="1" ht="12.75" x14ac:dyDescent="0.2">
      <c r="I502" s="621"/>
    </row>
    <row r="503" spans="9:9" s="613" customFormat="1" ht="12.75" x14ac:dyDescent="0.2">
      <c r="I503" s="621"/>
    </row>
    <row r="504" spans="9:9" s="613" customFormat="1" ht="12.75" x14ac:dyDescent="0.2">
      <c r="I504" s="621"/>
    </row>
    <row r="505" spans="9:9" s="613" customFormat="1" ht="12.75" x14ac:dyDescent="0.2">
      <c r="I505" s="621"/>
    </row>
    <row r="506" spans="9:9" s="613" customFormat="1" ht="12.75" x14ac:dyDescent="0.2">
      <c r="I506" s="621"/>
    </row>
    <row r="507" spans="9:9" s="613" customFormat="1" ht="12.75" x14ac:dyDescent="0.2">
      <c r="I507" s="621"/>
    </row>
    <row r="508" spans="9:9" s="613" customFormat="1" ht="12.75" x14ac:dyDescent="0.2">
      <c r="I508" s="621"/>
    </row>
    <row r="509" spans="9:9" s="613" customFormat="1" ht="12.75" x14ac:dyDescent="0.2">
      <c r="I509" s="621"/>
    </row>
    <row r="510" spans="9:9" s="613" customFormat="1" ht="12.75" x14ac:dyDescent="0.2">
      <c r="I510" s="621"/>
    </row>
    <row r="511" spans="9:9" s="613" customFormat="1" ht="12.75" x14ac:dyDescent="0.2">
      <c r="I511" s="621"/>
    </row>
    <row r="512" spans="9:9" s="613" customFormat="1" ht="12.75" x14ac:dyDescent="0.2">
      <c r="I512" s="621"/>
    </row>
    <row r="513" spans="9:9" s="613" customFormat="1" ht="12.75" x14ac:dyDescent="0.2">
      <c r="I513" s="621"/>
    </row>
    <row r="514" spans="9:9" s="613" customFormat="1" ht="12.75" x14ac:dyDescent="0.2">
      <c r="I514" s="621"/>
    </row>
    <row r="515" spans="9:9" s="613" customFormat="1" ht="12.75" x14ac:dyDescent="0.2">
      <c r="I515" s="621"/>
    </row>
    <row r="516" spans="9:9" s="613" customFormat="1" ht="12.75" x14ac:dyDescent="0.2">
      <c r="I516" s="621"/>
    </row>
    <row r="517" spans="9:9" s="613" customFormat="1" ht="12.75" x14ac:dyDescent="0.2">
      <c r="I517" s="621"/>
    </row>
    <row r="518" spans="9:9" s="613" customFormat="1" ht="12.75" x14ac:dyDescent="0.2">
      <c r="I518" s="621"/>
    </row>
    <row r="519" spans="9:9" s="613" customFormat="1" ht="12.75" x14ac:dyDescent="0.2">
      <c r="I519" s="621"/>
    </row>
    <row r="520" spans="9:9" s="613" customFormat="1" ht="12.75" x14ac:dyDescent="0.2">
      <c r="I520" s="621"/>
    </row>
    <row r="521" spans="9:9" s="613" customFormat="1" ht="12.75" x14ac:dyDescent="0.2">
      <c r="I521" s="621"/>
    </row>
    <row r="522" spans="9:9" s="613" customFormat="1" ht="12.75" x14ac:dyDescent="0.2">
      <c r="I522" s="621"/>
    </row>
    <row r="523" spans="9:9" s="613" customFormat="1" ht="12.75" x14ac:dyDescent="0.2">
      <c r="I523" s="621"/>
    </row>
    <row r="524" spans="9:9" s="613" customFormat="1" ht="12.75" x14ac:dyDescent="0.2">
      <c r="I524" s="621"/>
    </row>
    <row r="525" spans="9:9" s="613" customFormat="1" ht="12.75" x14ac:dyDescent="0.2">
      <c r="I525" s="621"/>
    </row>
    <row r="526" spans="9:9" s="613" customFormat="1" ht="12.75" x14ac:dyDescent="0.2">
      <c r="I526" s="621"/>
    </row>
    <row r="527" spans="9:9" s="613" customFormat="1" ht="12.75" x14ac:dyDescent="0.2">
      <c r="I527" s="621"/>
    </row>
    <row r="528" spans="9:9" s="613" customFormat="1" ht="12.75" x14ac:dyDescent="0.2">
      <c r="I528" s="621"/>
    </row>
    <row r="529" spans="9:9" s="613" customFormat="1" ht="12.75" x14ac:dyDescent="0.2">
      <c r="I529" s="621"/>
    </row>
    <row r="530" spans="9:9" s="613" customFormat="1" ht="12.75" x14ac:dyDescent="0.2">
      <c r="I530" s="621"/>
    </row>
    <row r="531" spans="9:9" s="613" customFormat="1" ht="12.75" x14ac:dyDescent="0.2">
      <c r="I531" s="621"/>
    </row>
    <row r="532" spans="9:9" s="613" customFormat="1" ht="12.75" x14ac:dyDescent="0.2">
      <c r="I532" s="621"/>
    </row>
    <row r="533" spans="9:9" s="613" customFormat="1" ht="12.75" x14ac:dyDescent="0.2">
      <c r="I533" s="621"/>
    </row>
    <row r="534" spans="9:9" s="613" customFormat="1" ht="12.75" x14ac:dyDescent="0.2">
      <c r="I534" s="621"/>
    </row>
    <row r="535" spans="9:9" s="613" customFormat="1" ht="12.75" x14ac:dyDescent="0.2">
      <c r="I535" s="621"/>
    </row>
    <row r="536" spans="9:9" s="613" customFormat="1" ht="12.75" x14ac:dyDescent="0.2">
      <c r="I536" s="621"/>
    </row>
    <row r="537" spans="9:9" s="613" customFormat="1" ht="12.75" x14ac:dyDescent="0.2">
      <c r="I537" s="621"/>
    </row>
    <row r="538" spans="9:9" s="613" customFormat="1" ht="12.75" x14ac:dyDescent="0.2">
      <c r="I538" s="621"/>
    </row>
    <row r="539" spans="9:9" s="613" customFormat="1" ht="12.75" x14ac:dyDescent="0.2">
      <c r="I539" s="621"/>
    </row>
    <row r="540" spans="9:9" s="613" customFormat="1" ht="12.75" x14ac:dyDescent="0.2">
      <c r="I540" s="621"/>
    </row>
    <row r="541" spans="9:9" s="613" customFormat="1" ht="12.75" x14ac:dyDescent="0.2">
      <c r="I541" s="621"/>
    </row>
    <row r="542" spans="9:9" s="613" customFormat="1" ht="12.75" x14ac:dyDescent="0.2">
      <c r="I542" s="621"/>
    </row>
    <row r="543" spans="9:9" s="613" customFormat="1" ht="12.75" x14ac:dyDescent="0.2">
      <c r="I543" s="621"/>
    </row>
    <row r="544" spans="9:9" s="613" customFormat="1" ht="12.75" x14ac:dyDescent="0.2">
      <c r="I544" s="621"/>
    </row>
    <row r="545" spans="9:9" s="613" customFormat="1" ht="12.75" x14ac:dyDescent="0.2">
      <c r="I545" s="621"/>
    </row>
    <row r="546" spans="9:9" s="613" customFormat="1" ht="12.75" x14ac:dyDescent="0.2">
      <c r="I546" s="621"/>
    </row>
    <row r="547" spans="9:9" s="613" customFormat="1" ht="12.75" x14ac:dyDescent="0.2">
      <c r="I547" s="621"/>
    </row>
    <row r="548" spans="9:9" s="613" customFormat="1" ht="12.75" x14ac:dyDescent="0.2">
      <c r="I548" s="621"/>
    </row>
    <row r="549" spans="9:9" s="613" customFormat="1" ht="12.75" x14ac:dyDescent="0.2">
      <c r="I549" s="621"/>
    </row>
    <row r="550" spans="9:9" s="613" customFormat="1" ht="12.75" x14ac:dyDescent="0.2">
      <c r="I550" s="621"/>
    </row>
    <row r="551" spans="9:9" s="613" customFormat="1" ht="12.75" x14ac:dyDescent="0.2">
      <c r="I551" s="621"/>
    </row>
    <row r="552" spans="9:9" s="613" customFormat="1" ht="12.75" x14ac:dyDescent="0.2">
      <c r="I552" s="621"/>
    </row>
    <row r="553" spans="9:9" s="613" customFormat="1" ht="12.75" x14ac:dyDescent="0.2">
      <c r="I553" s="621"/>
    </row>
    <row r="554" spans="9:9" s="613" customFormat="1" ht="12.75" x14ac:dyDescent="0.2">
      <c r="I554" s="621"/>
    </row>
    <row r="555" spans="9:9" s="613" customFormat="1" ht="12.75" x14ac:dyDescent="0.2">
      <c r="I555" s="621"/>
    </row>
    <row r="556" spans="9:9" s="613" customFormat="1" ht="12.75" x14ac:dyDescent="0.2">
      <c r="I556" s="621"/>
    </row>
    <row r="557" spans="9:9" s="613" customFormat="1" ht="12.75" x14ac:dyDescent="0.2">
      <c r="I557" s="621"/>
    </row>
    <row r="558" spans="9:9" s="613" customFormat="1" ht="12.75" x14ac:dyDescent="0.2">
      <c r="I558" s="621"/>
    </row>
    <row r="559" spans="9:9" s="613" customFormat="1" ht="12.75" x14ac:dyDescent="0.2">
      <c r="I559" s="621"/>
    </row>
    <row r="560" spans="9:9" s="613" customFormat="1" ht="12.75" x14ac:dyDescent="0.2">
      <c r="I560" s="621"/>
    </row>
    <row r="561" spans="9:9" s="613" customFormat="1" ht="12.75" x14ac:dyDescent="0.2">
      <c r="I561" s="621"/>
    </row>
    <row r="562" spans="9:9" s="613" customFormat="1" ht="12.75" x14ac:dyDescent="0.2">
      <c r="I562" s="621"/>
    </row>
    <row r="563" spans="9:9" s="613" customFormat="1" ht="12.75" x14ac:dyDescent="0.2">
      <c r="I563" s="621"/>
    </row>
    <row r="564" spans="9:9" s="613" customFormat="1" ht="12.75" x14ac:dyDescent="0.2">
      <c r="I564" s="621"/>
    </row>
    <row r="565" spans="9:9" s="613" customFormat="1" ht="12.75" x14ac:dyDescent="0.2">
      <c r="I565" s="621"/>
    </row>
    <row r="566" spans="9:9" s="613" customFormat="1" ht="12.75" x14ac:dyDescent="0.2">
      <c r="I566" s="621"/>
    </row>
    <row r="567" spans="9:9" s="613" customFormat="1" ht="12.75" x14ac:dyDescent="0.2">
      <c r="I567" s="621"/>
    </row>
    <row r="568" spans="9:9" s="613" customFormat="1" ht="12.75" x14ac:dyDescent="0.2">
      <c r="I568" s="621"/>
    </row>
    <row r="569" spans="9:9" s="613" customFormat="1" ht="12.75" x14ac:dyDescent="0.2">
      <c r="I569" s="621"/>
    </row>
    <row r="570" spans="9:9" s="613" customFormat="1" ht="12.75" x14ac:dyDescent="0.2">
      <c r="I570" s="621"/>
    </row>
    <row r="571" spans="9:9" s="613" customFormat="1" ht="12.75" x14ac:dyDescent="0.2">
      <c r="I571" s="621"/>
    </row>
    <row r="572" spans="9:9" s="613" customFormat="1" ht="12.75" x14ac:dyDescent="0.2">
      <c r="I572" s="621"/>
    </row>
    <row r="573" spans="9:9" s="613" customFormat="1" ht="12.75" x14ac:dyDescent="0.2">
      <c r="I573" s="621"/>
    </row>
    <row r="574" spans="9:9" s="613" customFormat="1" ht="12.75" x14ac:dyDescent="0.2">
      <c r="I574" s="621"/>
    </row>
    <row r="575" spans="9:9" s="613" customFormat="1" ht="12.75" x14ac:dyDescent="0.2">
      <c r="I575" s="621"/>
    </row>
    <row r="576" spans="9:9" s="613" customFormat="1" ht="12.75" x14ac:dyDescent="0.2">
      <c r="I576" s="621"/>
    </row>
    <row r="577" spans="9:9" s="613" customFormat="1" ht="12.75" x14ac:dyDescent="0.2">
      <c r="I577" s="621"/>
    </row>
    <row r="578" spans="9:9" s="613" customFormat="1" ht="12.75" x14ac:dyDescent="0.2">
      <c r="I578" s="621"/>
    </row>
    <row r="579" spans="9:9" s="613" customFormat="1" ht="12.75" x14ac:dyDescent="0.2">
      <c r="I579" s="621"/>
    </row>
    <row r="580" spans="9:9" s="613" customFormat="1" ht="12.75" x14ac:dyDescent="0.2">
      <c r="I580" s="621"/>
    </row>
    <row r="581" spans="9:9" s="613" customFormat="1" ht="12.75" x14ac:dyDescent="0.2">
      <c r="I581" s="621"/>
    </row>
    <row r="582" spans="9:9" s="613" customFormat="1" ht="12.75" x14ac:dyDescent="0.2">
      <c r="I582" s="621"/>
    </row>
    <row r="583" spans="9:9" s="613" customFormat="1" ht="12.75" x14ac:dyDescent="0.2">
      <c r="I583" s="621"/>
    </row>
    <row r="584" spans="9:9" s="613" customFormat="1" ht="12.75" x14ac:dyDescent="0.2">
      <c r="I584" s="621"/>
    </row>
    <row r="585" spans="9:9" s="613" customFormat="1" ht="12.75" x14ac:dyDescent="0.2">
      <c r="I585" s="621"/>
    </row>
    <row r="586" spans="9:9" s="613" customFormat="1" ht="12.75" x14ac:dyDescent="0.2">
      <c r="I586" s="621"/>
    </row>
    <row r="587" spans="9:9" s="613" customFormat="1" ht="12.75" x14ac:dyDescent="0.2">
      <c r="I587" s="621"/>
    </row>
    <row r="588" spans="9:9" s="613" customFormat="1" ht="12.75" x14ac:dyDescent="0.2">
      <c r="I588" s="621"/>
    </row>
    <row r="589" spans="9:9" s="613" customFormat="1" ht="12.75" x14ac:dyDescent="0.2">
      <c r="I589" s="621"/>
    </row>
    <row r="590" spans="9:9" s="613" customFormat="1" ht="12.75" x14ac:dyDescent="0.2">
      <c r="I590" s="621"/>
    </row>
    <row r="591" spans="9:9" s="613" customFormat="1" ht="12.75" x14ac:dyDescent="0.2">
      <c r="I591" s="621"/>
    </row>
    <row r="592" spans="9:9" s="613" customFormat="1" ht="12.75" x14ac:dyDescent="0.2">
      <c r="I592" s="621"/>
    </row>
    <row r="593" spans="9:9" s="613" customFormat="1" ht="12.75" x14ac:dyDescent="0.2">
      <c r="I593" s="621"/>
    </row>
    <row r="594" spans="9:9" s="613" customFormat="1" ht="12.75" x14ac:dyDescent="0.2">
      <c r="I594" s="621"/>
    </row>
    <row r="595" spans="9:9" s="613" customFormat="1" ht="12.75" x14ac:dyDescent="0.2">
      <c r="I595" s="621"/>
    </row>
    <row r="596" spans="9:9" s="613" customFormat="1" ht="12.75" x14ac:dyDescent="0.2">
      <c r="I596" s="621"/>
    </row>
    <row r="597" spans="9:9" s="613" customFormat="1" ht="12.75" x14ac:dyDescent="0.2">
      <c r="I597" s="621"/>
    </row>
    <row r="598" spans="9:9" s="613" customFormat="1" ht="12.75" x14ac:dyDescent="0.2">
      <c r="I598" s="621"/>
    </row>
    <row r="599" spans="9:9" s="613" customFormat="1" ht="12.75" x14ac:dyDescent="0.2">
      <c r="I599" s="621"/>
    </row>
    <row r="600" spans="9:9" s="613" customFormat="1" ht="12.75" x14ac:dyDescent="0.2">
      <c r="I600" s="621"/>
    </row>
    <row r="601" spans="9:9" s="613" customFormat="1" ht="12.75" x14ac:dyDescent="0.2">
      <c r="I601" s="621"/>
    </row>
    <row r="602" spans="9:9" s="613" customFormat="1" ht="12.75" x14ac:dyDescent="0.2">
      <c r="I602" s="621"/>
    </row>
    <row r="603" spans="9:9" s="613" customFormat="1" ht="12.75" x14ac:dyDescent="0.2">
      <c r="I603" s="621"/>
    </row>
    <row r="604" spans="9:9" s="613" customFormat="1" ht="12.75" x14ac:dyDescent="0.2">
      <c r="I604" s="621"/>
    </row>
    <row r="605" spans="9:9" s="613" customFormat="1" ht="12.75" x14ac:dyDescent="0.2">
      <c r="I605" s="621"/>
    </row>
    <row r="606" spans="9:9" s="613" customFormat="1" ht="12.75" x14ac:dyDescent="0.2">
      <c r="I606" s="621"/>
    </row>
    <row r="607" spans="9:9" s="613" customFormat="1" ht="12.75" x14ac:dyDescent="0.2">
      <c r="I607" s="621"/>
    </row>
    <row r="608" spans="9:9" s="613" customFormat="1" ht="12.75" x14ac:dyDescent="0.2">
      <c r="I608" s="621"/>
    </row>
    <row r="609" spans="9:9" s="613" customFormat="1" ht="12.75" x14ac:dyDescent="0.2">
      <c r="I609" s="621"/>
    </row>
    <row r="610" spans="9:9" s="613" customFormat="1" ht="12.75" x14ac:dyDescent="0.2">
      <c r="I610" s="621"/>
    </row>
    <row r="611" spans="9:9" s="613" customFormat="1" ht="12.75" x14ac:dyDescent="0.2">
      <c r="I611" s="621"/>
    </row>
    <row r="612" spans="9:9" s="613" customFormat="1" ht="12.75" x14ac:dyDescent="0.2">
      <c r="I612" s="621"/>
    </row>
    <row r="613" spans="9:9" s="613" customFormat="1" ht="12.75" x14ac:dyDescent="0.2">
      <c r="I613" s="621"/>
    </row>
    <row r="614" spans="9:9" s="613" customFormat="1" ht="12.75" x14ac:dyDescent="0.2">
      <c r="I614" s="621"/>
    </row>
    <row r="615" spans="9:9" s="613" customFormat="1" ht="12.75" x14ac:dyDescent="0.2">
      <c r="I615" s="621"/>
    </row>
    <row r="616" spans="9:9" s="613" customFormat="1" ht="12.75" x14ac:dyDescent="0.2">
      <c r="I616" s="621"/>
    </row>
    <row r="617" spans="9:9" s="613" customFormat="1" ht="12.75" x14ac:dyDescent="0.2">
      <c r="I617" s="621"/>
    </row>
    <row r="618" spans="9:9" s="613" customFormat="1" ht="12.75" x14ac:dyDescent="0.2">
      <c r="I618" s="621"/>
    </row>
    <row r="619" spans="9:9" s="613" customFormat="1" ht="12.75" x14ac:dyDescent="0.2">
      <c r="I619" s="621"/>
    </row>
    <row r="620" spans="9:9" s="613" customFormat="1" ht="12.75" x14ac:dyDescent="0.2">
      <c r="I620" s="621"/>
    </row>
    <row r="621" spans="9:9" s="613" customFormat="1" ht="12.75" x14ac:dyDescent="0.2">
      <c r="I621" s="621"/>
    </row>
    <row r="622" spans="9:9" s="613" customFormat="1" ht="12.75" x14ac:dyDescent="0.2">
      <c r="I622" s="621"/>
    </row>
    <row r="623" spans="9:9" s="613" customFormat="1" ht="12.75" x14ac:dyDescent="0.2">
      <c r="I623" s="621"/>
    </row>
    <row r="624" spans="9:9" s="613" customFormat="1" ht="12.75" x14ac:dyDescent="0.2">
      <c r="I624" s="621"/>
    </row>
    <row r="625" spans="9:9" s="613" customFormat="1" ht="12.75" x14ac:dyDescent="0.2">
      <c r="I625" s="621"/>
    </row>
    <row r="626" spans="9:9" s="613" customFormat="1" ht="12.75" x14ac:dyDescent="0.2">
      <c r="I626" s="621"/>
    </row>
    <row r="627" spans="9:9" s="613" customFormat="1" ht="12.75" x14ac:dyDescent="0.2">
      <c r="I627" s="621"/>
    </row>
    <row r="628" spans="9:9" s="613" customFormat="1" ht="12.75" x14ac:dyDescent="0.2">
      <c r="I628" s="621"/>
    </row>
    <row r="629" spans="9:9" s="613" customFormat="1" ht="12.75" x14ac:dyDescent="0.2">
      <c r="I629" s="621"/>
    </row>
    <row r="630" spans="9:9" s="613" customFormat="1" ht="12.75" x14ac:dyDescent="0.2">
      <c r="I630" s="621"/>
    </row>
    <row r="631" spans="9:9" s="613" customFormat="1" ht="12.75" x14ac:dyDescent="0.2">
      <c r="I631" s="621"/>
    </row>
    <row r="632" spans="9:9" s="613" customFormat="1" ht="12.75" x14ac:dyDescent="0.2">
      <c r="I632" s="621"/>
    </row>
    <row r="633" spans="9:9" s="613" customFormat="1" ht="12.75" x14ac:dyDescent="0.2">
      <c r="I633" s="621"/>
    </row>
    <row r="634" spans="9:9" s="613" customFormat="1" ht="12.75" x14ac:dyDescent="0.2">
      <c r="I634" s="621"/>
    </row>
    <row r="635" spans="9:9" s="613" customFormat="1" ht="12.75" x14ac:dyDescent="0.2">
      <c r="I635" s="621"/>
    </row>
    <row r="636" spans="9:9" s="613" customFormat="1" ht="12.75" x14ac:dyDescent="0.2">
      <c r="I636" s="621"/>
    </row>
    <row r="637" spans="9:9" s="613" customFormat="1" ht="12.75" x14ac:dyDescent="0.2">
      <c r="I637" s="621"/>
    </row>
    <row r="638" spans="9:9" s="613" customFormat="1" ht="12.75" x14ac:dyDescent="0.2">
      <c r="I638" s="621"/>
    </row>
    <row r="639" spans="9:9" s="613" customFormat="1" ht="12.75" x14ac:dyDescent="0.2">
      <c r="I639" s="621"/>
    </row>
    <row r="640" spans="9:9" s="613" customFormat="1" ht="12.75" x14ac:dyDescent="0.2">
      <c r="I640" s="621"/>
    </row>
    <row r="641" spans="9:9" s="613" customFormat="1" ht="12.75" x14ac:dyDescent="0.2">
      <c r="I641" s="621"/>
    </row>
    <row r="642" spans="9:9" s="613" customFormat="1" ht="12.75" x14ac:dyDescent="0.2">
      <c r="I642" s="621"/>
    </row>
    <row r="643" spans="9:9" s="613" customFormat="1" ht="12.75" x14ac:dyDescent="0.2">
      <c r="I643" s="621"/>
    </row>
    <row r="644" spans="9:9" s="613" customFormat="1" ht="12.75" x14ac:dyDescent="0.2">
      <c r="I644" s="621"/>
    </row>
    <row r="645" spans="9:9" s="613" customFormat="1" ht="12.75" x14ac:dyDescent="0.2">
      <c r="I645" s="621"/>
    </row>
    <row r="646" spans="9:9" s="613" customFormat="1" ht="12.75" x14ac:dyDescent="0.2">
      <c r="I646" s="621"/>
    </row>
    <row r="647" spans="9:9" s="613" customFormat="1" ht="12.75" x14ac:dyDescent="0.2">
      <c r="I647" s="621"/>
    </row>
    <row r="648" spans="9:9" s="613" customFormat="1" ht="12.75" x14ac:dyDescent="0.2">
      <c r="I648" s="621"/>
    </row>
    <row r="649" spans="9:9" s="613" customFormat="1" ht="12.75" x14ac:dyDescent="0.2">
      <c r="I649" s="621"/>
    </row>
    <row r="650" spans="9:9" s="613" customFormat="1" ht="12.75" x14ac:dyDescent="0.2">
      <c r="I650" s="621"/>
    </row>
    <row r="651" spans="9:9" s="613" customFormat="1" ht="12.75" x14ac:dyDescent="0.2">
      <c r="I651" s="621"/>
    </row>
    <row r="652" spans="9:9" s="613" customFormat="1" ht="12.75" x14ac:dyDescent="0.2">
      <c r="I652" s="621"/>
    </row>
    <row r="653" spans="9:9" s="613" customFormat="1" ht="12.75" x14ac:dyDescent="0.2">
      <c r="I653" s="621"/>
    </row>
    <row r="654" spans="9:9" s="613" customFormat="1" ht="12.75" x14ac:dyDescent="0.2">
      <c r="I654" s="621"/>
    </row>
    <row r="655" spans="9:9" s="613" customFormat="1" ht="12.75" x14ac:dyDescent="0.2">
      <c r="I655" s="621"/>
    </row>
    <row r="656" spans="9:9" s="613" customFormat="1" ht="12.75" x14ac:dyDescent="0.2">
      <c r="I656" s="621"/>
    </row>
    <row r="657" spans="9:9" s="613" customFormat="1" ht="12.75" x14ac:dyDescent="0.2">
      <c r="I657" s="621"/>
    </row>
    <row r="658" spans="9:9" s="613" customFormat="1" ht="12.75" x14ac:dyDescent="0.2">
      <c r="I658" s="621"/>
    </row>
    <row r="659" spans="9:9" s="613" customFormat="1" ht="12.75" x14ac:dyDescent="0.2">
      <c r="I659" s="621"/>
    </row>
    <row r="660" spans="9:9" s="613" customFormat="1" ht="12.75" x14ac:dyDescent="0.2">
      <c r="I660" s="621"/>
    </row>
    <row r="661" spans="9:9" s="613" customFormat="1" ht="12.75" x14ac:dyDescent="0.2">
      <c r="I661" s="621"/>
    </row>
    <row r="662" spans="9:9" s="613" customFormat="1" ht="12.75" x14ac:dyDescent="0.2">
      <c r="I662" s="621"/>
    </row>
    <row r="663" spans="9:9" s="613" customFormat="1" ht="12.75" x14ac:dyDescent="0.2">
      <c r="I663" s="621"/>
    </row>
    <row r="664" spans="9:9" s="613" customFormat="1" ht="12.75" x14ac:dyDescent="0.2">
      <c r="I664" s="621"/>
    </row>
    <row r="665" spans="9:9" s="613" customFormat="1" ht="12.75" x14ac:dyDescent="0.2">
      <c r="I665" s="621"/>
    </row>
    <row r="666" spans="9:9" s="613" customFormat="1" ht="12.75" x14ac:dyDescent="0.2">
      <c r="I666" s="621"/>
    </row>
    <row r="667" spans="9:9" s="613" customFormat="1" ht="12.75" x14ac:dyDescent="0.2">
      <c r="I667" s="621"/>
    </row>
    <row r="668" spans="9:9" s="613" customFormat="1" ht="12.75" x14ac:dyDescent="0.2">
      <c r="I668" s="621"/>
    </row>
    <row r="669" spans="9:9" s="613" customFormat="1" ht="12.75" x14ac:dyDescent="0.2">
      <c r="I669" s="621"/>
    </row>
    <row r="670" spans="9:9" s="613" customFormat="1" ht="12.75" x14ac:dyDescent="0.2">
      <c r="I670" s="621"/>
    </row>
    <row r="671" spans="9:9" s="613" customFormat="1" ht="12.75" x14ac:dyDescent="0.2">
      <c r="I671" s="621"/>
    </row>
    <row r="672" spans="9:9" s="613" customFormat="1" ht="12.75" x14ac:dyDescent="0.2">
      <c r="I672" s="621"/>
    </row>
    <row r="673" spans="9:9" s="613" customFormat="1" ht="12.75" x14ac:dyDescent="0.2">
      <c r="I673" s="621"/>
    </row>
    <row r="674" spans="9:9" s="613" customFormat="1" ht="12.75" x14ac:dyDescent="0.2">
      <c r="I674" s="621"/>
    </row>
    <row r="675" spans="9:9" s="613" customFormat="1" ht="12.75" x14ac:dyDescent="0.2">
      <c r="I675" s="621"/>
    </row>
    <row r="676" spans="9:9" s="613" customFormat="1" ht="12.75" x14ac:dyDescent="0.2">
      <c r="I676" s="621"/>
    </row>
    <row r="677" spans="9:9" s="613" customFormat="1" ht="12.75" x14ac:dyDescent="0.2">
      <c r="I677" s="621"/>
    </row>
    <row r="678" spans="9:9" s="613" customFormat="1" ht="12.75" x14ac:dyDescent="0.2">
      <c r="I678" s="621"/>
    </row>
    <row r="679" spans="9:9" s="613" customFormat="1" ht="12.75" x14ac:dyDescent="0.2">
      <c r="I679" s="621"/>
    </row>
    <row r="680" spans="9:9" s="613" customFormat="1" ht="12.75" x14ac:dyDescent="0.2">
      <c r="I680" s="621"/>
    </row>
    <row r="681" spans="9:9" s="613" customFormat="1" ht="12.75" x14ac:dyDescent="0.2">
      <c r="I681" s="621"/>
    </row>
    <row r="682" spans="9:9" s="613" customFormat="1" ht="12.75" x14ac:dyDescent="0.2">
      <c r="I682" s="621"/>
    </row>
    <row r="683" spans="9:9" s="613" customFormat="1" ht="12.75" x14ac:dyDescent="0.2">
      <c r="I683" s="621"/>
    </row>
    <row r="684" spans="9:9" s="613" customFormat="1" ht="12.75" x14ac:dyDescent="0.2">
      <c r="I684" s="621"/>
    </row>
    <row r="685" spans="9:9" s="613" customFormat="1" ht="12.75" x14ac:dyDescent="0.2">
      <c r="I685" s="621"/>
    </row>
    <row r="686" spans="9:9" s="613" customFormat="1" ht="12.75" x14ac:dyDescent="0.2">
      <c r="I686" s="621"/>
    </row>
    <row r="687" spans="9:9" s="613" customFormat="1" ht="12.75" x14ac:dyDescent="0.2">
      <c r="I687" s="621"/>
    </row>
    <row r="688" spans="9:9" s="613" customFormat="1" ht="12.75" x14ac:dyDescent="0.2">
      <c r="I688" s="621"/>
    </row>
    <row r="689" spans="9:9" s="613" customFormat="1" ht="12.75" x14ac:dyDescent="0.2">
      <c r="I689" s="621"/>
    </row>
    <row r="690" spans="9:9" s="613" customFormat="1" ht="12.75" x14ac:dyDescent="0.2">
      <c r="I690" s="621"/>
    </row>
    <row r="691" spans="9:9" s="613" customFormat="1" ht="12.75" x14ac:dyDescent="0.2">
      <c r="I691" s="621"/>
    </row>
    <row r="692" spans="9:9" s="613" customFormat="1" ht="12.75" x14ac:dyDescent="0.2">
      <c r="I692" s="621"/>
    </row>
    <row r="693" spans="9:9" s="613" customFormat="1" ht="12.75" x14ac:dyDescent="0.2">
      <c r="I693" s="621"/>
    </row>
    <row r="694" spans="9:9" s="613" customFormat="1" ht="12.75" x14ac:dyDescent="0.2">
      <c r="I694" s="621"/>
    </row>
    <row r="695" spans="9:9" s="613" customFormat="1" ht="12.75" x14ac:dyDescent="0.2">
      <c r="I695" s="621"/>
    </row>
    <row r="696" spans="9:9" s="613" customFormat="1" ht="12.75" x14ac:dyDescent="0.2">
      <c r="I696" s="621"/>
    </row>
    <row r="697" spans="9:9" s="613" customFormat="1" ht="12.75" x14ac:dyDescent="0.2">
      <c r="I697" s="621"/>
    </row>
    <row r="698" spans="9:9" s="613" customFormat="1" ht="12.75" x14ac:dyDescent="0.2">
      <c r="I698" s="621"/>
    </row>
    <row r="699" spans="9:9" s="613" customFormat="1" ht="12.75" x14ac:dyDescent="0.2">
      <c r="I699" s="621"/>
    </row>
    <row r="700" spans="9:9" s="613" customFormat="1" ht="12.75" x14ac:dyDescent="0.2">
      <c r="I700" s="621"/>
    </row>
    <row r="701" spans="9:9" s="613" customFormat="1" ht="12.75" x14ac:dyDescent="0.2">
      <c r="I701" s="621"/>
    </row>
    <row r="702" spans="9:9" s="613" customFormat="1" ht="12.75" x14ac:dyDescent="0.2">
      <c r="I702" s="621"/>
    </row>
    <row r="703" spans="9:9" s="613" customFormat="1" ht="12.75" x14ac:dyDescent="0.2">
      <c r="I703" s="621"/>
    </row>
    <row r="704" spans="9:9" s="613" customFormat="1" ht="12.75" x14ac:dyDescent="0.2">
      <c r="I704" s="621"/>
    </row>
    <row r="705" spans="9:9" s="613" customFormat="1" ht="12.75" x14ac:dyDescent="0.2">
      <c r="I705" s="621"/>
    </row>
    <row r="706" spans="9:9" s="613" customFormat="1" ht="12.75" x14ac:dyDescent="0.2">
      <c r="I706" s="621"/>
    </row>
    <row r="707" spans="9:9" s="613" customFormat="1" ht="12.75" x14ac:dyDescent="0.2">
      <c r="I707" s="621"/>
    </row>
    <row r="708" spans="9:9" s="613" customFormat="1" ht="12.75" x14ac:dyDescent="0.2">
      <c r="I708" s="621"/>
    </row>
    <row r="709" spans="9:9" s="613" customFormat="1" ht="12.75" x14ac:dyDescent="0.2">
      <c r="I709" s="621"/>
    </row>
    <row r="710" spans="9:9" s="613" customFormat="1" ht="12.75" x14ac:dyDescent="0.2">
      <c r="I710" s="621"/>
    </row>
    <row r="711" spans="9:9" s="613" customFormat="1" ht="12.75" x14ac:dyDescent="0.2">
      <c r="I711" s="621"/>
    </row>
    <row r="712" spans="9:9" s="613" customFormat="1" ht="12.75" x14ac:dyDescent="0.2">
      <c r="I712" s="621"/>
    </row>
    <row r="713" spans="9:9" s="613" customFormat="1" ht="12.75" x14ac:dyDescent="0.2">
      <c r="I713" s="621"/>
    </row>
    <row r="714" spans="9:9" s="613" customFormat="1" ht="12.75" x14ac:dyDescent="0.2">
      <c r="I714" s="621"/>
    </row>
    <row r="715" spans="9:9" s="613" customFormat="1" ht="12.75" x14ac:dyDescent="0.2">
      <c r="I715" s="621"/>
    </row>
    <row r="716" spans="9:9" s="613" customFormat="1" ht="12.75" x14ac:dyDescent="0.2">
      <c r="I716" s="621"/>
    </row>
    <row r="717" spans="9:9" s="613" customFormat="1" ht="12.75" x14ac:dyDescent="0.2">
      <c r="I717" s="621"/>
    </row>
    <row r="718" spans="9:9" s="613" customFormat="1" ht="12.75" x14ac:dyDescent="0.2">
      <c r="I718" s="621"/>
    </row>
    <row r="719" spans="9:9" s="613" customFormat="1" ht="12.75" x14ac:dyDescent="0.2">
      <c r="I719" s="621"/>
    </row>
    <row r="720" spans="9:9" s="613" customFormat="1" ht="12.75" x14ac:dyDescent="0.2">
      <c r="I720" s="621"/>
    </row>
    <row r="721" spans="9:9" s="613" customFormat="1" ht="12.75" x14ac:dyDescent="0.2">
      <c r="I721" s="621"/>
    </row>
    <row r="722" spans="9:9" s="613" customFormat="1" ht="12.75" x14ac:dyDescent="0.2">
      <c r="I722" s="621"/>
    </row>
    <row r="723" spans="9:9" s="613" customFormat="1" ht="12.75" x14ac:dyDescent="0.2">
      <c r="I723" s="621"/>
    </row>
    <row r="724" spans="9:9" s="613" customFormat="1" ht="12.75" x14ac:dyDescent="0.2">
      <c r="I724" s="621"/>
    </row>
    <row r="725" spans="9:9" s="613" customFormat="1" ht="12.75" x14ac:dyDescent="0.2">
      <c r="I725" s="621"/>
    </row>
    <row r="726" spans="9:9" s="613" customFormat="1" ht="12.75" x14ac:dyDescent="0.2">
      <c r="I726" s="621"/>
    </row>
    <row r="727" spans="9:9" s="613" customFormat="1" ht="12.75" x14ac:dyDescent="0.2">
      <c r="I727" s="621"/>
    </row>
    <row r="728" spans="9:9" s="613" customFormat="1" ht="12.75" x14ac:dyDescent="0.2">
      <c r="I728" s="621"/>
    </row>
    <row r="729" spans="9:9" s="613" customFormat="1" ht="12.75" x14ac:dyDescent="0.2">
      <c r="I729" s="621"/>
    </row>
    <row r="730" spans="9:9" s="613" customFormat="1" ht="12.75" x14ac:dyDescent="0.2">
      <c r="I730" s="621"/>
    </row>
    <row r="731" spans="9:9" s="613" customFormat="1" ht="12.75" x14ac:dyDescent="0.2">
      <c r="I731" s="621"/>
    </row>
    <row r="732" spans="9:9" s="613" customFormat="1" ht="12.75" x14ac:dyDescent="0.2">
      <c r="I732" s="621"/>
    </row>
    <row r="733" spans="9:9" s="613" customFormat="1" ht="12.75" x14ac:dyDescent="0.2">
      <c r="I733" s="621"/>
    </row>
    <row r="734" spans="9:9" s="613" customFormat="1" ht="12.75" x14ac:dyDescent="0.2">
      <c r="I734" s="621"/>
    </row>
    <row r="735" spans="9:9" s="613" customFormat="1" ht="12.75" x14ac:dyDescent="0.2">
      <c r="I735" s="621"/>
    </row>
    <row r="736" spans="9:9" s="613" customFormat="1" ht="12.75" x14ac:dyDescent="0.2">
      <c r="I736" s="621"/>
    </row>
    <row r="737" spans="9:9" s="613" customFormat="1" ht="12.75" x14ac:dyDescent="0.2">
      <c r="I737" s="621"/>
    </row>
    <row r="738" spans="9:9" s="613" customFormat="1" ht="12.75" x14ac:dyDescent="0.2">
      <c r="I738" s="621"/>
    </row>
    <row r="739" spans="9:9" s="613" customFormat="1" ht="12.75" x14ac:dyDescent="0.2">
      <c r="I739" s="621"/>
    </row>
    <row r="740" spans="9:9" s="613" customFormat="1" ht="12.75" x14ac:dyDescent="0.2">
      <c r="I740" s="621"/>
    </row>
    <row r="741" spans="9:9" s="613" customFormat="1" ht="12.75" x14ac:dyDescent="0.2">
      <c r="I741" s="621"/>
    </row>
    <row r="742" spans="9:9" s="613" customFormat="1" ht="12.75" x14ac:dyDescent="0.2">
      <c r="I742" s="621"/>
    </row>
    <row r="743" spans="9:9" s="613" customFormat="1" ht="12.75" x14ac:dyDescent="0.2">
      <c r="I743" s="621"/>
    </row>
  </sheetData>
  <mergeCells count="3">
    <mergeCell ref="A4:I4"/>
    <mergeCell ref="A5:I5"/>
    <mergeCell ref="B6:D6"/>
  </mergeCells>
  <printOptions horizontalCentered="1"/>
  <pageMargins left="0" right="0" top="1.3775590551181103" bottom="0.59015748031496074" header="0.98385826771653528" footer="0.19645669291338586"/>
  <pageSetup paperSize="0" scale="90" fitToWidth="0" fitToHeight="0" orientation="landscape" horizontalDpi="0" verticalDpi="0" copie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43"/>
  <sheetViews>
    <sheetView showGridLines="0" workbookViewId="0">
      <selection activeCell="A12" sqref="A12:I12"/>
    </sheetView>
  </sheetViews>
  <sheetFormatPr baseColWidth="10" defaultRowHeight="12.75" x14ac:dyDescent="0.2"/>
  <cols>
    <col min="1" max="1" width="6" style="613" customWidth="1"/>
    <col min="2" max="2" width="20.375" style="613" customWidth="1"/>
    <col min="3" max="4" width="12.5" style="613" customWidth="1"/>
    <col min="5" max="5" width="12.75" style="613" customWidth="1"/>
    <col min="6" max="6" width="16.25" style="613" customWidth="1"/>
    <col min="7" max="7" width="13.875" style="613" customWidth="1"/>
    <col min="8" max="8" width="11.5" style="613" customWidth="1"/>
    <col min="9" max="9" width="14.375" style="621" customWidth="1"/>
    <col min="10" max="10" width="7.5" style="613" customWidth="1"/>
    <col min="11" max="15" width="6.75" style="613" customWidth="1"/>
    <col min="16" max="1024" width="12.875" style="613" customWidth="1"/>
    <col min="1025" max="16384" width="11" style="666"/>
  </cols>
  <sheetData>
    <row r="1" spans="1:15" s="614" customFormat="1" x14ac:dyDescent="0.2">
      <c r="A1" s="611"/>
      <c r="B1" s="611"/>
      <c r="C1" s="612" t="s">
        <v>0</v>
      </c>
      <c r="D1" s="611"/>
      <c r="F1" s="611"/>
      <c r="G1" s="611"/>
      <c r="H1" s="611"/>
      <c r="I1" s="611"/>
    </row>
    <row r="2" spans="1:15" s="614" customFormat="1" x14ac:dyDescent="0.2">
      <c r="A2" s="611"/>
      <c r="B2" s="611"/>
      <c r="C2" s="612" t="s">
        <v>163</v>
      </c>
      <c r="D2" s="611"/>
      <c r="F2" s="611"/>
      <c r="G2" s="611"/>
      <c r="H2" s="611"/>
      <c r="I2" s="611"/>
    </row>
    <row r="3" spans="1:15" s="614" customFormat="1" x14ac:dyDescent="0.2">
      <c r="A3" s="611"/>
      <c r="B3" s="611"/>
      <c r="C3" s="611"/>
      <c r="D3" s="611"/>
      <c r="E3" s="611"/>
      <c r="F3" s="611"/>
      <c r="G3" s="611"/>
      <c r="H3" s="611"/>
      <c r="I3" s="611"/>
    </row>
    <row r="4" spans="1:15" s="614" customFormat="1" x14ac:dyDescent="0.2">
      <c r="A4" s="762" t="s">
        <v>531</v>
      </c>
      <c r="B4" s="762"/>
      <c r="C4" s="762"/>
      <c r="D4" s="762"/>
      <c r="E4" s="762"/>
      <c r="F4" s="762"/>
      <c r="G4" s="762"/>
      <c r="H4" s="762"/>
      <c r="I4" s="762"/>
    </row>
    <row r="5" spans="1:15" s="614" customFormat="1" x14ac:dyDescent="0.2">
      <c r="A5" s="615"/>
      <c r="B5" s="615"/>
      <c r="C5" s="615"/>
      <c r="D5" s="615"/>
      <c r="E5" s="615"/>
      <c r="F5" s="615"/>
      <c r="G5" s="615"/>
      <c r="H5" s="615"/>
      <c r="I5" s="615"/>
    </row>
    <row r="6" spans="1:15" s="614" customFormat="1" x14ac:dyDescent="0.2">
      <c r="A6" s="613"/>
      <c r="B6" s="765" t="s">
        <v>387</v>
      </c>
      <c r="C6" s="765"/>
      <c r="D6" s="765"/>
      <c r="E6" s="615"/>
      <c r="F6" s="616"/>
      <c r="G6" s="613"/>
      <c r="H6" s="617"/>
      <c r="I6" s="615"/>
    </row>
    <row r="7" spans="1:15" s="614" customFormat="1" x14ac:dyDescent="0.2">
      <c r="A7" s="613"/>
      <c r="B7" s="612" t="s">
        <v>314</v>
      </c>
      <c r="C7" s="613"/>
      <c r="D7" s="613"/>
      <c r="E7" s="613"/>
      <c r="F7" s="618">
        <f>'FONDOS PART 2024'!H17</f>
        <v>18000000</v>
      </c>
      <c r="G7" s="620"/>
      <c r="H7" s="617"/>
      <c r="I7" s="621"/>
    </row>
    <row r="8" spans="1:15" s="614" customFormat="1" x14ac:dyDescent="0.2">
      <c r="A8" s="613"/>
      <c r="B8" s="612" t="s">
        <v>315</v>
      </c>
      <c r="C8" s="613"/>
      <c r="D8" s="613"/>
      <c r="E8" s="613"/>
      <c r="F8" s="619">
        <f>F7*0.45</f>
        <v>8100000</v>
      </c>
      <c r="G8" s="650"/>
      <c r="H8" s="617"/>
      <c r="I8" s="613"/>
    </row>
    <row r="9" spans="1:15" s="614" customFormat="1" x14ac:dyDescent="0.2">
      <c r="A9" s="613"/>
      <c r="B9" s="612" t="s">
        <v>317</v>
      </c>
      <c r="C9" s="613"/>
      <c r="D9" s="613"/>
      <c r="E9" s="613"/>
      <c r="F9" s="619">
        <f>F7*0.45</f>
        <v>8100000</v>
      </c>
      <c r="G9" s="619"/>
      <c r="H9" s="622"/>
      <c r="I9" s="621"/>
    </row>
    <row r="10" spans="1:15" s="614" customFormat="1" x14ac:dyDescent="0.2">
      <c r="A10" s="613"/>
      <c r="B10" s="612" t="s">
        <v>319</v>
      </c>
      <c r="C10" s="613"/>
      <c r="D10" s="613"/>
      <c r="E10" s="613"/>
      <c r="F10" s="619">
        <f>F7*0.1</f>
        <v>1800000</v>
      </c>
      <c r="G10" s="619"/>
      <c r="H10" s="622"/>
      <c r="I10" s="621"/>
    </row>
    <row r="11" spans="1:15" s="613" customFormat="1" x14ac:dyDescent="0.2">
      <c r="A11" s="624"/>
      <c r="B11" s="624"/>
      <c r="C11" s="625"/>
      <c r="D11" s="626"/>
      <c r="F11" s="627"/>
      <c r="G11" s="617"/>
      <c r="I11" s="621"/>
    </row>
    <row r="12" spans="1:15" s="613" customFormat="1" ht="25.5" x14ac:dyDescent="0.2">
      <c r="A12" s="722" t="s">
        <v>364</v>
      </c>
      <c r="B12" s="722" t="s">
        <v>29</v>
      </c>
      <c r="C12" s="722" t="s">
        <v>10</v>
      </c>
      <c r="D12" s="722" t="s">
        <v>365</v>
      </c>
      <c r="E12" s="722" t="s">
        <v>366</v>
      </c>
      <c r="F12" s="722" t="s">
        <v>539</v>
      </c>
      <c r="G12" s="722" t="s">
        <v>542</v>
      </c>
      <c r="H12" s="722" t="s">
        <v>540</v>
      </c>
      <c r="I12" s="722" t="s">
        <v>541</v>
      </c>
    </row>
    <row r="13" spans="1:15" s="613" customFormat="1" x14ac:dyDescent="0.2">
      <c r="A13" s="651"/>
      <c r="B13" s="651"/>
      <c r="C13" s="624" t="s">
        <v>370</v>
      </c>
      <c r="D13" s="624" t="s">
        <v>371</v>
      </c>
      <c r="E13" s="624" t="s">
        <v>372</v>
      </c>
      <c r="F13" s="624" t="s">
        <v>373</v>
      </c>
      <c r="G13" s="624" t="s">
        <v>374</v>
      </c>
      <c r="H13" s="624" t="s">
        <v>375</v>
      </c>
      <c r="I13" s="624" t="s">
        <v>376</v>
      </c>
    </row>
    <row r="14" spans="1:15" s="613" customFormat="1" x14ac:dyDescent="0.2">
      <c r="A14" s="651"/>
      <c r="B14" s="651"/>
      <c r="C14" s="630">
        <f t="shared" ref="C14:I14" si="0">SUM(C15:C127)</f>
        <v>100.00000000000004</v>
      </c>
      <c r="D14" s="629">
        <f t="shared" si="0"/>
        <v>8100000.0000000019</v>
      </c>
      <c r="E14" s="630">
        <f t="shared" si="0"/>
        <v>99.999999999999915</v>
      </c>
      <c r="F14" s="629">
        <f t="shared" si="0"/>
        <v>8100000</v>
      </c>
      <c r="G14" s="630">
        <f t="shared" si="0"/>
        <v>100.00000000000006</v>
      </c>
      <c r="H14" s="629">
        <f t="shared" si="0"/>
        <v>1800000.0000000007</v>
      </c>
      <c r="I14" s="629">
        <f t="shared" si="0"/>
        <v>18000000</v>
      </c>
      <c r="J14" s="613">
        <v>100</v>
      </c>
      <c r="K14" s="613">
        <v>100</v>
      </c>
      <c r="L14" s="613">
        <v>100</v>
      </c>
      <c r="M14" s="630">
        <f>SUM(M15:M127)</f>
        <v>-6.9388939039072284E-16</v>
      </c>
      <c r="N14" s="630">
        <f>SUM(N15:N127)</f>
        <v>6.0174087934683484E-14</v>
      </c>
      <c r="O14" s="630">
        <f>SUM(O15:O127)</f>
        <v>-5.2569060216001162E-14</v>
      </c>
    </row>
    <row r="15" spans="1:15" s="613" customFormat="1" x14ac:dyDescent="0.2">
      <c r="A15" s="631">
        <v>1</v>
      </c>
      <c r="B15" s="631" t="s">
        <v>43</v>
      </c>
      <c r="C15" s="632">
        <f>'COEFIC 2023'!I8</f>
        <v>0.23797360453465957</v>
      </c>
      <c r="D15" s="633">
        <f t="shared" ref="D15:D46" si="1">$F$8*C15%</f>
        <v>19275.861967307424</v>
      </c>
      <c r="E15" s="634">
        <f>'COEFIC 2023'!P8</f>
        <v>0.39190942225476838</v>
      </c>
      <c r="F15" s="635">
        <f t="shared" ref="F15:F46" si="2">$F$9*E15%</f>
        <v>31744.663202636239</v>
      </c>
      <c r="G15" s="653">
        <f>FPART!J16</f>
        <v>0.78996666580088204</v>
      </c>
      <c r="H15" s="637">
        <f t="shared" ref="H15:H46" si="3">$F$10*G15%</f>
        <v>14219.399984415877</v>
      </c>
      <c r="I15" s="638">
        <f t="shared" ref="I15:I46" si="4">D15+F15+H15</f>
        <v>65239.925154359538</v>
      </c>
      <c r="J15" s="613">
        <v>0.23797399999999999</v>
      </c>
      <c r="K15" s="613">
        <v>0.38665899999999997</v>
      </c>
      <c r="L15" s="613">
        <v>0.79286500000000004</v>
      </c>
      <c r="M15" s="639">
        <f t="shared" ref="M15:M46" si="5">C15-J15</f>
        <v>-3.9546534041923209E-7</v>
      </c>
      <c r="N15" s="640">
        <f t="shared" ref="N15:N46" si="6">K15-E15</f>
        <v>-5.2504222547684054E-3</v>
      </c>
      <c r="O15" s="641">
        <f t="shared" ref="O15:O46" si="7">L15-G15</f>
        <v>2.8983341991180023E-3</v>
      </c>
    </row>
    <row r="16" spans="1:15" s="613" customFormat="1" x14ac:dyDescent="0.2">
      <c r="A16" s="631">
        <v>2</v>
      </c>
      <c r="B16" s="631" t="s">
        <v>46</v>
      </c>
      <c r="C16" s="632">
        <f>'COEFIC 2023'!I9</f>
        <v>0.31068600666351365</v>
      </c>
      <c r="D16" s="633">
        <f t="shared" si="1"/>
        <v>25165.566539744606</v>
      </c>
      <c r="E16" s="634">
        <f>'COEFIC 2023'!P9</f>
        <v>1.2675015186709291</v>
      </c>
      <c r="F16" s="635">
        <f t="shared" si="2"/>
        <v>102667.62301234527</v>
      </c>
      <c r="G16" s="653">
        <f>FPART!J17</f>
        <v>0.41162616179693873</v>
      </c>
      <c r="H16" s="637">
        <f t="shared" si="3"/>
        <v>7409.2709123448967</v>
      </c>
      <c r="I16" s="638">
        <f t="shared" si="4"/>
        <v>135242.46046443476</v>
      </c>
      <c r="J16" s="613">
        <v>0.31068600000000002</v>
      </c>
      <c r="K16" s="613">
        <v>1.33535</v>
      </c>
      <c r="L16" s="613">
        <v>0.39280599999999999</v>
      </c>
      <c r="M16" s="639">
        <f t="shared" si="5"/>
        <v>6.6635136297676922E-9</v>
      </c>
      <c r="N16" s="640">
        <f t="shared" si="6"/>
        <v>6.7848481329070953E-2</v>
      </c>
      <c r="O16" s="641">
        <f t="shared" si="7"/>
        <v>-1.8820161796938739E-2</v>
      </c>
    </row>
    <row r="17" spans="1:15" s="613" customFormat="1" x14ac:dyDescent="0.2">
      <c r="A17" s="631">
        <v>3</v>
      </c>
      <c r="B17" s="631" t="s">
        <v>49</v>
      </c>
      <c r="C17" s="632">
        <f>'COEFIC 2023'!I10</f>
        <v>0.48432819257562787</v>
      </c>
      <c r="D17" s="633">
        <f t="shared" si="1"/>
        <v>39230.583598625853</v>
      </c>
      <c r="E17" s="634">
        <f>'COEFIC 2023'!P10</f>
        <v>0.6143607387492529</v>
      </c>
      <c r="F17" s="635">
        <f t="shared" si="2"/>
        <v>49763.219838689489</v>
      </c>
      <c r="G17" s="653">
        <f>FPART!J18</f>
        <v>0.92173246284482802</v>
      </c>
      <c r="H17" s="637">
        <f t="shared" si="3"/>
        <v>16591.184331206903</v>
      </c>
      <c r="I17" s="638">
        <f t="shared" si="4"/>
        <v>105584.98776852223</v>
      </c>
      <c r="J17" s="613">
        <v>0.48432799999999998</v>
      </c>
      <c r="K17" s="613">
        <v>0.61013099999999998</v>
      </c>
      <c r="L17" s="613">
        <v>0.92095000000000005</v>
      </c>
      <c r="M17" s="639">
        <f t="shared" si="5"/>
        <v>1.9257562788865812E-7</v>
      </c>
      <c r="N17" s="640">
        <f t="shared" si="6"/>
        <v>-4.2297387492529204E-3</v>
      </c>
      <c r="O17" s="641">
        <f t="shared" si="7"/>
        <v>-7.8246284482796913E-4</v>
      </c>
    </row>
    <row r="18" spans="1:15" s="613" customFormat="1" x14ac:dyDescent="0.2">
      <c r="A18" s="631">
        <v>4</v>
      </c>
      <c r="B18" s="631" t="s">
        <v>52</v>
      </c>
      <c r="C18" s="632">
        <f>'COEFIC 2023'!I11</f>
        <v>0.31466592094163509</v>
      </c>
      <c r="D18" s="633">
        <f t="shared" si="1"/>
        <v>25487.939596272445</v>
      </c>
      <c r="E18" s="634">
        <f>'COEFIC 2023'!P11</f>
        <v>0.39045222807652885</v>
      </c>
      <c r="F18" s="635">
        <f t="shared" si="2"/>
        <v>31626.630474198835</v>
      </c>
      <c r="G18" s="653">
        <f>FPART!J19</f>
        <v>0.93309894828124873</v>
      </c>
      <c r="H18" s="637">
        <f t="shared" si="3"/>
        <v>16795.781069062479</v>
      </c>
      <c r="I18" s="638">
        <f t="shared" si="4"/>
        <v>73910.351139533755</v>
      </c>
      <c r="J18" s="613">
        <v>0.314666</v>
      </c>
      <c r="K18" s="613">
        <v>0.38267000000000001</v>
      </c>
      <c r="L18" s="613">
        <v>0.93908100000000005</v>
      </c>
      <c r="M18" s="639">
        <f t="shared" si="5"/>
        <v>-7.9058364910178369E-8</v>
      </c>
      <c r="N18" s="640">
        <f t="shared" si="6"/>
        <v>-7.782228076528841E-3</v>
      </c>
      <c r="O18" s="641">
        <f t="shared" si="7"/>
        <v>5.9820517187513245E-3</v>
      </c>
    </row>
    <row r="19" spans="1:15" s="613" customFormat="1" x14ac:dyDescent="0.2">
      <c r="A19" s="631">
        <v>5</v>
      </c>
      <c r="B19" s="631" t="s">
        <v>54</v>
      </c>
      <c r="C19" s="632">
        <f>'COEFIC 2023'!I12</f>
        <v>0.22936098580581471</v>
      </c>
      <c r="D19" s="633">
        <f t="shared" si="1"/>
        <v>18578.239850270991</v>
      </c>
      <c r="E19" s="634">
        <f>'COEFIC 2023'!P12</f>
        <v>0.41290602770742135</v>
      </c>
      <c r="F19" s="635">
        <f t="shared" si="2"/>
        <v>33445.388244301132</v>
      </c>
      <c r="G19" s="653">
        <f>FPART!J20</f>
        <v>0.74669597756376371</v>
      </c>
      <c r="H19" s="637">
        <f t="shared" si="3"/>
        <v>13440.527596147747</v>
      </c>
      <c r="I19" s="638">
        <f t="shared" si="4"/>
        <v>65464.155690719868</v>
      </c>
      <c r="J19" s="613">
        <v>0.22936100000000001</v>
      </c>
      <c r="K19" s="613">
        <v>0.40523900000000002</v>
      </c>
      <c r="L19" s="613">
        <v>0.75216799999999995</v>
      </c>
      <c r="M19" s="639">
        <f t="shared" si="5"/>
        <v>-1.4194185299354345E-8</v>
      </c>
      <c r="N19" s="640">
        <f t="shared" si="6"/>
        <v>-7.6670277074213367E-3</v>
      </c>
      <c r="O19" s="641">
        <f t="shared" si="7"/>
        <v>5.4720224362362346E-3</v>
      </c>
    </row>
    <row r="20" spans="1:15" s="613" customFormat="1" x14ac:dyDescent="0.2">
      <c r="A20" s="631">
        <v>6</v>
      </c>
      <c r="B20" s="631" t="s">
        <v>57</v>
      </c>
      <c r="C20" s="632">
        <f>'COEFIC 2023'!I13</f>
        <v>2.6572982151874371</v>
      </c>
      <c r="D20" s="633">
        <f t="shared" si="1"/>
        <v>215241.15543018241</v>
      </c>
      <c r="E20" s="634">
        <f>'COEFIC 2023'!P13</f>
        <v>2.3148565147498155</v>
      </c>
      <c r="F20" s="635">
        <f t="shared" si="2"/>
        <v>187503.37769473507</v>
      </c>
      <c r="G20" s="653">
        <f>FPART!J21</f>
        <v>1.1174691526029661</v>
      </c>
      <c r="H20" s="637">
        <f t="shared" si="3"/>
        <v>20114.444746853391</v>
      </c>
      <c r="I20" s="638">
        <f t="shared" si="4"/>
        <v>422858.97787177085</v>
      </c>
      <c r="J20" s="613">
        <v>2.6572979999999999</v>
      </c>
      <c r="K20" s="613">
        <v>2.3999990000000002</v>
      </c>
      <c r="L20" s="613">
        <v>1.0934969999999999</v>
      </c>
      <c r="M20" s="639">
        <f t="shared" si="5"/>
        <v>2.15187437202502E-7</v>
      </c>
      <c r="N20" s="640">
        <f t="shared" si="6"/>
        <v>8.5142485250184752E-2</v>
      </c>
      <c r="O20" s="641">
        <f t="shared" si="7"/>
        <v>-2.3972152602966146E-2</v>
      </c>
    </row>
    <row r="21" spans="1:15" s="613" customFormat="1" x14ac:dyDescent="0.2">
      <c r="A21" s="631">
        <v>7</v>
      </c>
      <c r="B21" s="631" t="s">
        <v>44</v>
      </c>
      <c r="C21" s="632">
        <f>'COEFIC 2023'!I14</f>
        <v>7.4312790939103937E-2</v>
      </c>
      <c r="D21" s="633">
        <f t="shared" si="1"/>
        <v>6019.3360660674189</v>
      </c>
      <c r="E21" s="634">
        <f>'COEFIC 2023'!P14</f>
        <v>0.37653818456552185</v>
      </c>
      <c r="F21" s="635">
        <f t="shared" si="2"/>
        <v>30499.592949807269</v>
      </c>
      <c r="G21" s="653">
        <f>FPART!J22</f>
        <v>0.3446437770918015</v>
      </c>
      <c r="H21" s="637">
        <f t="shared" si="3"/>
        <v>6203.5879876524268</v>
      </c>
      <c r="I21" s="638">
        <f t="shared" si="4"/>
        <v>42722.517003527115</v>
      </c>
      <c r="J21" s="613">
        <v>7.4313000000000004E-2</v>
      </c>
      <c r="K21" s="613">
        <v>0.43204999999999999</v>
      </c>
      <c r="L21" s="613">
        <v>0.30542399999999997</v>
      </c>
      <c r="M21" s="639">
        <f t="shared" si="5"/>
        <v>-2.0906089606698153E-7</v>
      </c>
      <c r="N21" s="640">
        <f t="shared" si="6"/>
        <v>5.551181543447814E-2</v>
      </c>
      <c r="O21" s="641">
        <f t="shared" si="7"/>
        <v>-3.9219777091801522E-2</v>
      </c>
    </row>
    <row r="22" spans="1:15" s="613" customFormat="1" x14ac:dyDescent="0.2">
      <c r="A22" s="631">
        <v>8</v>
      </c>
      <c r="B22" s="631" t="s">
        <v>59</v>
      </c>
      <c r="C22" s="632">
        <f>'COEFIC 2023'!I15</f>
        <v>0.51962097739113877</v>
      </c>
      <c r="D22" s="633">
        <f t="shared" si="1"/>
        <v>42089.299168682235</v>
      </c>
      <c r="E22" s="634">
        <f>'COEFIC 2023'!P15</f>
        <v>2.3668185263996966</v>
      </c>
      <c r="F22" s="635">
        <f t="shared" si="2"/>
        <v>191712.30063837543</v>
      </c>
      <c r="G22" s="653">
        <f>FPART!J23</f>
        <v>0.37641255317525624</v>
      </c>
      <c r="H22" s="637">
        <f t="shared" si="3"/>
        <v>6775.4259571546118</v>
      </c>
      <c r="I22" s="638">
        <f t="shared" si="4"/>
        <v>240577.02576421225</v>
      </c>
      <c r="J22" s="613">
        <v>0.519621</v>
      </c>
      <c r="K22" s="613">
        <v>2.392522</v>
      </c>
      <c r="L22" s="613">
        <v>0.371338</v>
      </c>
      <c r="M22" s="639">
        <f t="shared" si="5"/>
        <v>-2.2608861227624288E-8</v>
      </c>
      <c r="N22" s="640">
        <f t="shared" si="6"/>
        <v>2.570347360030345E-2</v>
      </c>
      <c r="O22" s="641">
        <f t="shared" si="7"/>
        <v>-5.0745531752562356E-3</v>
      </c>
    </row>
    <row r="23" spans="1:15" s="613" customFormat="1" x14ac:dyDescent="0.2">
      <c r="A23" s="631">
        <v>9</v>
      </c>
      <c r="B23" s="631" t="s">
        <v>342</v>
      </c>
      <c r="C23" s="632">
        <f>'COEFIC 2023'!I16</f>
        <v>0.76372238644925527</v>
      </c>
      <c r="D23" s="633">
        <f t="shared" si="1"/>
        <v>61861.513302389678</v>
      </c>
      <c r="E23" s="634">
        <f>'COEFIC 2023'!P16</f>
        <v>0.92206001121936687</v>
      </c>
      <c r="F23" s="635">
        <f t="shared" si="2"/>
        <v>74686.860908768707</v>
      </c>
      <c r="G23" s="653">
        <f>FPART!J24</f>
        <v>0.9472702299654876</v>
      </c>
      <c r="H23" s="637">
        <f t="shared" si="3"/>
        <v>17050.864139378777</v>
      </c>
      <c r="I23" s="638">
        <f t="shared" si="4"/>
        <v>153599.23835053714</v>
      </c>
      <c r="J23" s="613">
        <v>0.76372200000000001</v>
      </c>
      <c r="K23" s="613">
        <v>0.90554900000000005</v>
      </c>
      <c r="L23" s="613">
        <v>0.95214799999999999</v>
      </c>
      <c r="M23" s="639">
        <f t="shared" si="5"/>
        <v>3.8644925526298834E-7</v>
      </c>
      <c r="N23" s="640">
        <f t="shared" si="6"/>
        <v>-1.6511011219366822E-2</v>
      </c>
      <c r="O23" s="641">
        <f t="shared" si="7"/>
        <v>4.8777700345123964E-3</v>
      </c>
    </row>
    <row r="24" spans="1:15" s="613" customFormat="1" x14ac:dyDescent="0.2">
      <c r="A24" s="631">
        <v>10</v>
      </c>
      <c r="B24" s="631" t="s">
        <v>64</v>
      </c>
      <c r="C24" s="632">
        <f>'COEFIC 2023'!I17</f>
        <v>0.428146122236855</v>
      </c>
      <c r="D24" s="633">
        <f t="shared" si="1"/>
        <v>34679.835901185259</v>
      </c>
      <c r="E24" s="634">
        <f>'COEFIC 2023'!P17</f>
        <v>2.5709050555810502</v>
      </c>
      <c r="F24" s="635">
        <f t="shared" si="2"/>
        <v>208243.30950206507</v>
      </c>
      <c r="G24" s="653">
        <f>FPART!J25</f>
        <v>0.29850253295498103</v>
      </c>
      <c r="H24" s="637">
        <f t="shared" si="3"/>
        <v>5373.0455931896586</v>
      </c>
      <c r="I24" s="638">
        <f t="shared" si="4"/>
        <v>248296.19099643998</v>
      </c>
      <c r="J24" s="613">
        <v>0.42814600000000003</v>
      </c>
      <c r="K24" s="613">
        <v>2.569617</v>
      </c>
      <c r="L24" s="613">
        <v>0.29722799999999999</v>
      </c>
      <c r="M24" s="639">
        <f t="shared" si="5"/>
        <v>1.2223685497136927E-7</v>
      </c>
      <c r="N24" s="640">
        <f t="shared" si="6"/>
        <v>-1.2880555810501626E-3</v>
      </c>
      <c r="O24" s="641">
        <f t="shared" si="7"/>
        <v>-1.2745329549810336E-3</v>
      </c>
    </row>
    <row r="25" spans="1:15" s="613" customFormat="1" x14ac:dyDescent="0.2">
      <c r="A25" s="631">
        <v>11</v>
      </c>
      <c r="B25" s="631" t="s">
        <v>343</v>
      </c>
      <c r="C25" s="632">
        <f>'COEFIC 2023'!I18</f>
        <v>0.24597554858590909</v>
      </c>
      <c r="D25" s="633">
        <f t="shared" si="1"/>
        <v>19924.019435458635</v>
      </c>
      <c r="E25" s="634">
        <f>'COEFIC 2023'!P18</f>
        <v>0.48150914529440353</v>
      </c>
      <c r="F25" s="635">
        <f t="shared" si="2"/>
        <v>39002.240768846685</v>
      </c>
      <c r="G25" s="653">
        <f>FPART!J26</f>
        <v>0.7069813546622179</v>
      </c>
      <c r="H25" s="637">
        <f t="shared" si="3"/>
        <v>12725.664383919922</v>
      </c>
      <c r="I25" s="638">
        <f t="shared" si="4"/>
        <v>71651.924588225243</v>
      </c>
      <c r="J25" s="613">
        <v>0.245976</v>
      </c>
      <c r="K25" s="613">
        <v>0.48592200000000002</v>
      </c>
      <c r="L25" s="613">
        <v>0.69941799999999998</v>
      </c>
      <c r="M25" s="639">
        <f t="shared" si="5"/>
        <v>-4.5141409091287166E-7</v>
      </c>
      <c r="N25" s="640">
        <f t="shared" si="6"/>
        <v>4.4128547055964917E-3</v>
      </c>
      <c r="O25" s="641">
        <f t="shared" si="7"/>
        <v>-7.5633546622179137E-3</v>
      </c>
    </row>
    <row r="26" spans="1:15" s="613" customFormat="1" x14ac:dyDescent="0.2">
      <c r="A26" s="631">
        <v>12</v>
      </c>
      <c r="B26" s="631" t="s">
        <v>70</v>
      </c>
      <c r="C26" s="632">
        <f>'COEFIC 2023'!I19</f>
        <v>0.95892770580473663</v>
      </c>
      <c r="D26" s="633">
        <f t="shared" si="1"/>
        <v>77673.144170183659</v>
      </c>
      <c r="E26" s="634">
        <f>'COEFIC 2023'!P19</f>
        <v>1.0229413737008273</v>
      </c>
      <c r="F26" s="635">
        <f t="shared" si="2"/>
        <v>82858.251269767017</v>
      </c>
      <c r="G26" s="653">
        <f>FPART!J27</f>
        <v>1.0116977575122408</v>
      </c>
      <c r="H26" s="637">
        <f t="shared" si="3"/>
        <v>18210.559635220332</v>
      </c>
      <c r="I26" s="638">
        <f t="shared" si="4"/>
        <v>178741.95507517102</v>
      </c>
      <c r="J26" s="613">
        <v>0.958928</v>
      </c>
      <c r="K26" s="613">
        <v>1.025908</v>
      </c>
      <c r="L26" s="613">
        <v>1.0054419999999999</v>
      </c>
      <c r="M26" s="639">
        <f t="shared" si="5"/>
        <v>-2.9419526337282065E-7</v>
      </c>
      <c r="N26" s="640">
        <f t="shared" si="6"/>
        <v>2.9666262991727699E-3</v>
      </c>
      <c r="O26" s="641">
        <f t="shared" si="7"/>
        <v>-6.2557575122408338E-3</v>
      </c>
    </row>
    <row r="27" spans="1:15" s="613" customFormat="1" x14ac:dyDescent="0.2">
      <c r="A27" s="631">
        <v>13</v>
      </c>
      <c r="B27" s="631" t="s">
        <v>73</v>
      </c>
      <c r="C27" s="632">
        <f>'COEFIC 2023'!I20</f>
        <v>0.19322589109017221</v>
      </c>
      <c r="D27" s="633">
        <f t="shared" si="1"/>
        <v>15651.29717830395</v>
      </c>
      <c r="E27" s="634">
        <f>'COEFIC 2023'!P20</f>
        <v>0.96514801886169921</v>
      </c>
      <c r="F27" s="635">
        <f t="shared" si="2"/>
        <v>78176.989527797632</v>
      </c>
      <c r="G27" s="653">
        <f>FPART!J28</f>
        <v>0.34878390370081253</v>
      </c>
      <c r="H27" s="637">
        <f t="shared" si="3"/>
        <v>6278.1102666146253</v>
      </c>
      <c r="I27" s="638">
        <f t="shared" si="4"/>
        <v>100106.3969727162</v>
      </c>
      <c r="J27" s="613">
        <v>0.19322600000000001</v>
      </c>
      <c r="K27" s="613">
        <v>0.99214100000000005</v>
      </c>
      <c r="L27" s="613">
        <v>0.33924100000000001</v>
      </c>
      <c r="M27" s="639">
        <f t="shared" si="5"/>
        <v>-1.0890982779510061E-7</v>
      </c>
      <c r="N27" s="640">
        <f t="shared" si="6"/>
        <v>2.6992981138300842E-2</v>
      </c>
      <c r="O27" s="641">
        <f t="shared" si="7"/>
        <v>-9.5429037008125106E-3</v>
      </c>
    </row>
    <row r="28" spans="1:15" s="613" customFormat="1" x14ac:dyDescent="0.2">
      <c r="A28" s="631">
        <v>14</v>
      </c>
      <c r="B28" s="631" t="s">
        <v>75</v>
      </c>
      <c r="C28" s="632">
        <f>'COEFIC 2023'!I21</f>
        <v>0.35844497800097119</v>
      </c>
      <c r="D28" s="633">
        <f t="shared" si="1"/>
        <v>29034.043218078667</v>
      </c>
      <c r="E28" s="634">
        <f>'COEFIC 2023'!P21</f>
        <v>0.57115855003271865</v>
      </c>
      <c r="F28" s="635">
        <f t="shared" si="2"/>
        <v>46263.842552650211</v>
      </c>
      <c r="G28" s="653">
        <f>FPART!J29</f>
        <v>0.80624051696347643</v>
      </c>
      <c r="H28" s="637">
        <f t="shared" si="3"/>
        <v>14512.329305342577</v>
      </c>
      <c r="I28" s="638">
        <f t="shared" si="4"/>
        <v>89810.215076071443</v>
      </c>
      <c r="J28" s="613">
        <v>0.35844500000000001</v>
      </c>
      <c r="K28" s="613">
        <v>0.57684599999999997</v>
      </c>
      <c r="L28" s="613">
        <v>0.79757500000000003</v>
      </c>
      <c r="M28" s="639">
        <f t="shared" si="5"/>
        <v>-2.199902882082938E-8</v>
      </c>
      <c r="N28" s="640">
        <f t="shared" si="6"/>
        <v>5.6874499672813217E-3</v>
      </c>
      <c r="O28" s="641">
        <f t="shared" si="7"/>
        <v>-8.665516963476394E-3</v>
      </c>
    </row>
    <row r="29" spans="1:15" s="613" customFormat="1" x14ac:dyDescent="0.2">
      <c r="A29" s="631">
        <v>15</v>
      </c>
      <c r="B29" s="652" t="s">
        <v>77</v>
      </c>
      <c r="C29" s="632">
        <f>'COEFIC 2023'!I22</f>
        <v>0.41342675673205659</v>
      </c>
      <c r="D29" s="633">
        <f t="shared" si="1"/>
        <v>33487.567295296583</v>
      </c>
      <c r="E29" s="634">
        <f>'COEFIC 2023'!P22</f>
        <v>2.4541796257109025</v>
      </c>
      <c r="F29" s="635">
        <f t="shared" si="2"/>
        <v>198788.54968258311</v>
      </c>
      <c r="G29" s="653">
        <f>FPART!J30</f>
        <v>0.30145252425752023</v>
      </c>
      <c r="H29" s="637">
        <f t="shared" si="3"/>
        <v>5426.1454366353637</v>
      </c>
      <c r="I29" s="638">
        <f t="shared" si="4"/>
        <v>237702.26241451505</v>
      </c>
      <c r="J29" s="613">
        <v>0.41342699999999999</v>
      </c>
      <c r="K29" s="613">
        <v>2.4974780000000001</v>
      </c>
      <c r="L29" s="613">
        <v>0.295574</v>
      </c>
      <c r="M29" s="639">
        <f t="shared" si="5"/>
        <v>-2.4326794340057134E-7</v>
      </c>
      <c r="N29" s="640">
        <f t="shared" si="6"/>
        <v>4.3298374289097552E-2</v>
      </c>
      <c r="O29" s="641">
        <f t="shared" si="7"/>
        <v>-5.8785242575202235E-3</v>
      </c>
    </row>
    <row r="30" spans="1:15" s="613" customFormat="1" x14ac:dyDescent="0.2">
      <c r="A30" s="631">
        <v>16</v>
      </c>
      <c r="B30" s="631" t="s">
        <v>79</v>
      </c>
      <c r="C30" s="632">
        <f>'COEFIC 2023'!I23</f>
        <v>0.44147567640643642</v>
      </c>
      <c r="D30" s="633">
        <f t="shared" si="1"/>
        <v>35759.529788921354</v>
      </c>
      <c r="E30" s="634">
        <f>'COEFIC 2023'!P23</f>
        <v>0.50820227003137264</v>
      </c>
      <c r="F30" s="635">
        <f t="shared" si="2"/>
        <v>41164.383872541184</v>
      </c>
      <c r="G30" s="653">
        <f>FPART!J31</f>
        <v>0.97200905439695728</v>
      </c>
      <c r="H30" s="637">
        <f t="shared" si="3"/>
        <v>17496.162979145232</v>
      </c>
      <c r="I30" s="638">
        <f t="shared" si="4"/>
        <v>94420.076640607775</v>
      </c>
      <c r="J30" s="613">
        <v>0.44147599999999998</v>
      </c>
      <c r="K30" s="613">
        <v>0.49704599999999999</v>
      </c>
      <c r="L30" s="613">
        <v>0.97894400000000004</v>
      </c>
      <c r="M30" s="639">
        <f t="shared" si="5"/>
        <v>-3.2359356355593505E-7</v>
      </c>
      <c r="N30" s="640">
        <f t="shared" si="6"/>
        <v>-1.115627003137265E-2</v>
      </c>
      <c r="O30" s="641">
        <f t="shared" si="7"/>
        <v>6.9349456030427525E-3</v>
      </c>
    </row>
    <row r="31" spans="1:15" s="613" customFormat="1" x14ac:dyDescent="0.2">
      <c r="A31" s="631">
        <v>17</v>
      </c>
      <c r="B31" s="631" t="s">
        <v>81</v>
      </c>
      <c r="C31" s="632">
        <f>'COEFIC 2023'!I24</f>
        <v>0.73849520494031606</v>
      </c>
      <c r="D31" s="633">
        <f t="shared" si="1"/>
        <v>59818.111600165597</v>
      </c>
      <c r="E31" s="634">
        <f>'COEFIC 2023'!P24</f>
        <v>0.66896812392176042</v>
      </c>
      <c r="F31" s="635">
        <f t="shared" si="2"/>
        <v>54186.418037662595</v>
      </c>
      <c r="G31" s="653">
        <f>FPART!J32</f>
        <v>1.0971107594620315</v>
      </c>
      <c r="H31" s="637">
        <f t="shared" si="3"/>
        <v>19747.993670316569</v>
      </c>
      <c r="I31" s="638">
        <f t="shared" si="4"/>
        <v>133752.52330814477</v>
      </c>
      <c r="J31" s="613">
        <v>0.73849500000000001</v>
      </c>
      <c r="K31" s="613">
        <v>0.62271200000000004</v>
      </c>
      <c r="L31" s="613">
        <v>1.129065</v>
      </c>
      <c r="M31" s="639">
        <f t="shared" si="5"/>
        <v>2.0494031605089447E-7</v>
      </c>
      <c r="N31" s="640">
        <f t="shared" si="6"/>
        <v>-4.6256123921760373E-2</v>
      </c>
      <c r="O31" s="641">
        <f t="shared" si="7"/>
        <v>3.195424053796847E-2</v>
      </c>
    </row>
    <row r="32" spans="1:15" s="613" customFormat="1" x14ac:dyDescent="0.2">
      <c r="A32" s="631">
        <v>18</v>
      </c>
      <c r="B32" s="631" t="s">
        <v>82</v>
      </c>
      <c r="C32" s="632">
        <f>'COEFIC 2023'!I25</f>
        <v>0.19971167732118497</v>
      </c>
      <c r="D32" s="633">
        <f t="shared" si="1"/>
        <v>16176.645863015983</v>
      </c>
      <c r="E32" s="634">
        <f>'COEFIC 2023'!P25</f>
        <v>0.28026543034401025</v>
      </c>
      <c r="F32" s="635">
        <f t="shared" si="2"/>
        <v>22701.49985786483</v>
      </c>
      <c r="G32" s="653">
        <f>FPART!J33</f>
        <v>0.87000714146065139</v>
      </c>
      <c r="H32" s="637">
        <f t="shared" si="3"/>
        <v>15660.128546291726</v>
      </c>
      <c r="I32" s="638">
        <f t="shared" si="4"/>
        <v>54538.274267172543</v>
      </c>
      <c r="J32" s="613">
        <v>0.199712</v>
      </c>
      <c r="K32" s="613">
        <v>0.28004499999999999</v>
      </c>
      <c r="L32" s="613">
        <v>0.86631899999999995</v>
      </c>
      <c r="M32" s="639">
        <f t="shared" si="5"/>
        <v>-3.2267881502900941E-7</v>
      </c>
      <c r="N32" s="640">
        <f t="shared" si="6"/>
        <v>-2.2043034401025841E-4</v>
      </c>
      <c r="O32" s="641">
        <f t="shared" si="7"/>
        <v>-3.6881414606514396E-3</v>
      </c>
    </row>
    <row r="33" spans="1:15" s="613" customFormat="1" x14ac:dyDescent="0.2">
      <c r="A33" s="631">
        <v>19</v>
      </c>
      <c r="B33" s="631" t="s">
        <v>344</v>
      </c>
      <c r="C33" s="632">
        <f>'COEFIC 2023'!I26</f>
        <v>0.42532438407141443</v>
      </c>
      <c r="D33" s="633">
        <f t="shared" si="1"/>
        <v>34451.275109784568</v>
      </c>
      <c r="E33" s="634">
        <f>'COEFIC 2023'!P26</f>
        <v>0.62493143387391448</v>
      </c>
      <c r="F33" s="635">
        <f t="shared" si="2"/>
        <v>50619.446143787078</v>
      </c>
      <c r="G33" s="653">
        <f>FPART!J34</f>
        <v>0.84676923048551944</v>
      </c>
      <c r="H33" s="637">
        <f t="shared" si="3"/>
        <v>15241.846148739349</v>
      </c>
      <c r="I33" s="638">
        <f t="shared" si="4"/>
        <v>100312.567402311</v>
      </c>
      <c r="J33" s="613">
        <v>0.42532399999999998</v>
      </c>
      <c r="K33" s="613">
        <v>0.62147699999999995</v>
      </c>
      <c r="L33" s="613">
        <v>0.84557400000000005</v>
      </c>
      <c r="M33" s="639">
        <f t="shared" si="5"/>
        <v>3.8407141444984916E-7</v>
      </c>
      <c r="N33" s="640">
        <f t="shared" si="6"/>
        <v>-3.4544338739145308E-3</v>
      </c>
      <c r="O33" s="641">
        <f t="shared" si="7"/>
        <v>-1.195230485519394E-3</v>
      </c>
    </row>
    <row r="34" spans="1:15" s="613" customFormat="1" x14ac:dyDescent="0.2">
      <c r="A34" s="631">
        <v>20</v>
      </c>
      <c r="B34" s="631" t="s">
        <v>87</v>
      </c>
      <c r="C34" s="632">
        <f>'COEFIC 2023'!I27</f>
        <v>0.62983722782334906</v>
      </c>
      <c r="D34" s="633">
        <f t="shared" si="1"/>
        <v>51016.815453691277</v>
      </c>
      <c r="E34" s="634">
        <f>'COEFIC 2023'!P27</f>
        <v>0.53262041220293821</v>
      </c>
      <c r="F34" s="635">
        <f t="shared" si="2"/>
        <v>43142.253388437995</v>
      </c>
      <c r="G34" s="653">
        <f>FPART!J35</f>
        <v>1.1328986870144744</v>
      </c>
      <c r="H34" s="637">
        <f t="shared" si="3"/>
        <v>20392.176366260537</v>
      </c>
      <c r="I34" s="638">
        <f t="shared" si="4"/>
        <v>114551.24520838981</v>
      </c>
      <c r="J34" s="613">
        <v>0.62983699999999998</v>
      </c>
      <c r="K34" s="613">
        <v>0.53377799999999997</v>
      </c>
      <c r="L34" s="613">
        <v>1.126457</v>
      </c>
      <c r="M34" s="639">
        <f t="shared" si="5"/>
        <v>2.2782334907489599E-7</v>
      </c>
      <c r="N34" s="640">
        <f t="shared" si="6"/>
        <v>1.1575877970617654E-3</v>
      </c>
      <c r="O34" s="641">
        <f t="shared" si="7"/>
        <v>-6.4416870144743399E-3</v>
      </c>
    </row>
    <row r="35" spans="1:15" s="613" customFormat="1" x14ac:dyDescent="0.2">
      <c r="A35" s="631">
        <v>21</v>
      </c>
      <c r="B35" s="631" t="s">
        <v>88</v>
      </c>
      <c r="C35" s="632">
        <f>'COEFIC 2023'!I28</f>
        <v>0.28510084344701853</v>
      </c>
      <c r="D35" s="633">
        <f t="shared" si="1"/>
        <v>23093.168319208504</v>
      </c>
      <c r="E35" s="634">
        <f>'COEFIC 2023'!P28</f>
        <v>0.29534014984136081</v>
      </c>
      <c r="F35" s="635">
        <f t="shared" si="2"/>
        <v>23922.552137150225</v>
      </c>
      <c r="G35" s="653">
        <f>FPART!J36</f>
        <v>1.0270233276278691</v>
      </c>
      <c r="H35" s="637">
        <f t="shared" si="3"/>
        <v>18486.419897301643</v>
      </c>
      <c r="I35" s="638">
        <f t="shared" si="4"/>
        <v>65502.140353660376</v>
      </c>
      <c r="J35" s="613">
        <v>0.28510099999999999</v>
      </c>
      <c r="K35" s="613">
        <v>0.290827</v>
      </c>
      <c r="L35" s="613">
        <v>1.0302100000000001</v>
      </c>
      <c r="M35" s="639">
        <f t="shared" si="5"/>
        <v>-1.5655298146732832E-7</v>
      </c>
      <c r="N35" s="640">
        <f t="shared" si="6"/>
        <v>-4.5131498413608084E-3</v>
      </c>
      <c r="O35" s="641">
        <f t="shared" si="7"/>
        <v>3.1866723721309942E-3</v>
      </c>
    </row>
    <row r="36" spans="1:15" s="613" customFormat="1" x14ac:dyDescent="0.2">
      <c r="A36" s="631">
        <v>22</v>
      </c>
      <c r="B36" s="631" t="s">
        <v>91</v>
      </c>
      <c r="C36" s="632">
        <f>'COEFIC 2023'!I29</f>
        <v>0.52934965673765799</v>
      </c>
      <c r="D36" s="633">
        <f t="shared" si="1"/>
        <v>42877.322195750297</v>
      </c>
      <c r="E36" s="634">
        <f>'COEFIC 2023'!P29</f>
        <v>0.58909725889407172</v>
      </c>
      <c r="F36" s="635">
        <f t="shared" si="2"/>
        <v>47716.87797041981</v>
      </c>
      <c r="G36" s="653">
        <f>FPART!J37</f>
        <v>0.9896169889340688</v>
      </c>
      <c r="H36" s="637">
        <f t="shared" si="3"/>
        <v>17813.105800813239</v>
      </c>
      <c r="I36" s="638">
        <f t="shared" si="4"/>
        <v>108407.30596698335</v>
      </c>
      <c r="J36" s="613">
        <v>0.52934999999999999</v>
      </c>
      <c r="K36" s="613">
        <v>0.57376899999999997</v>
      </c>
      <c r="L36" s="613">
        <v>0.99865599999999999</v>
      </c>
      <c r="M36" s="639">
        <f t="shared" si="5"/>
        <v>-3.4326234199522077E-7</v>
      </c>
      <c r="N36" s="640">
        <f t="shared" si="6"/>
        <v>-1.5328258894071745E-2</v>
      </c>
      <c r="O36" s="641">
        <f t="shared" si="7"/>
        <v>9.0390110659311906E-3</v>
      </c>
    </row>
    <row r="37" spans="1:15" s="613" customFormat="1" x14ac:dyDescent="0.2">
      <c r="A37" s="631">
        <v>23</v>
      </c>
      <c r="B37" s="631" t="s">
        <v>60</v>
      </c>
      <c r="C37" s="632">
        <f>'COEFIC 2023'!I30</f>
        <v>0.21935855574175284</v>
      </c>
      <c r="D37" s="633">
        <f t="shared" si="1"/>
        <v>17768.043015081981</v>
      </c>
      <c r="E37" s="634">
        <f>'COEFIC 2023'!P30</f>
        <v>0.33156680672772304</v>
      </c>
      <c r="F37" s="635">
        <f t="shared" si="2"/>
        <v>26856.911344945569</v>
      </c>
      <c r="G37" s="653">
        <f>FPART!J38</f>
        <v>0.83253345540973678</v>
      </c>
      <c r="H37" s="637">
        <f t="shared" si="3"/>
        <v>14985.602197375261</v>
      </c>
      <c r="I37" s="638">
        <f t="shared" si="4"/>
        <v>59610.556557402815</v>
      </c>
      <c r="J37" s="613">
        <v>0.219359</v>
      </c>
      <c r="K37" s="613">
        <v>0.33601500000000001</v>
      </c>
      <c r="L37" s="613">
        <v>0.82198599999999999</v>
      </c>
      <c r="M37" s="639">
        <f t="shared" si="5"/>
        <v>-4.4425824716198825E-7</v>
      </c>
      <c r="N37" s="640">
        <f t="shared" si="6"/>
        <v>4.4481932722769679E-3</v>
      </c>
      <c r="O37" s="641">
        <f t="shared" si="7"/>
        <v>-1.0547455409736783E-2</v>
      </c>
    </row>
    <row r="38" spans="1:15" s="613" customFormat="1" x14ac:dyDescent="0.2">
      <c r="A38" s="631">
        <v>24</v>
      </c>
      <c r="B38" s="631" t="s">
        <v>95</v>
      </c>
      <c r="C38" s="632">
        <f>'COEFIC 2023'!I31</f>
        <v>0.43349479010269021</v>
      </c>
      <c r="D38" s="633">
        <f t="shared" si="1"/>
        <v>35113.077998317909</v>
      </c>
      <c r="E38" s="634">
        <f>'COEFIC 2023'!P31</f>
        <v>0.37830699446529953</v>
      </c>
      <c r="F38" s="635">
        <f t="shared" si="2"/>
        <v>30642.866551689262</v>
      </c>
      <c r="G38" s="653">
        <f>FPART!J39</f>
        <v>1.1165386556009005</v>
      </c>
      <c r="H38" s="637">
        <f t="shared" si="3"/>
        <v>20097.695800816211</v>
      </c>
      <c r="I38" s="638">
        <f t="shared" si="4"/>
        <v>85853.640350823378</v>
      </c>
      <c r="J38" s="613">
        <v>0.43349500000000002</v>
      </c>
      <c r="K38" s="613">
        <v>0.36723499999999998</v>
      </c>
      <c r="L38" s="613">
        <v>1.1266609999999999</v>
      </c>
      <c r="M38" s="639">
        <f t="shared" si="5"/>
        <v>-2.0989730981080257E-7</v>
      </c>
      <c r="N38" s="640">
        <f t="shared" si="6"/>
        <v>-1.1071994465299551E-2</v>
      </c>
      <c r="O38" s="641">
        <f t="shared" si="7"/>
        <v>1.0122344399099426E-2</v>
      </c>
    </row>
    <row r="39" spans="1:15" s="613" customFormat="1" x14ac:dyDescent="0.2">
      <c r="A39" s="631">
        <v>25</v>
      </c>
      <c r="B39" s="631" t="s">
        <v>97</v>
      </c>
      <c r="C39" s="632">
        <f>'COEFIC 2023'!I32</f>
        <v>0.8541022387333681</v>
      </c>
      <c r="D39" s="633">
        <f t="shared" si="1"/>
        <v>69182.281337402819</v>
      </c>
      <c r="E39" s="634">
        <f>'COEFIC 2023'!P32</f>
        <v>0.57696638894395824</v>
      </c>
      <c r="F39" s="635">
        <f t="shared" si="2"/>
        <v>46734.277504460617</v>
      </c>
      <c r="G39" s="653">
        <f>FPART!J40</f>
        <v>1.2479272892564075</v>
      </c>
      <c r="H39" s="637">
        <f t="shared" si="3"/>
        <v>22462.691206615335</v>
      </c>
      <c r="I39" s="638">
        <f t="shared" si="4"/>
        <v>138379.25004847877</v>
      </c>
      <c r="J39" s="613">
        <v>0.85410200000000003</v>
      </c>
      <c r="K39" s="613">
        <v>0.55961099999999997</v>
      </c>
      <c r="L39" s="613">
        <v>1.257315</v>
      </c>
      <c r="M39" s="639">
        <f t="shared" si="5"/>
        <v>2.3873336807422874E-7</v>
      </c>
      <c r="N39" s="640">
        <f t="shared" si="6"/>
        <v>-1.7355388943958272E-2</v>
      </c>
      <c r="O39" s="641">
        <f t="shared" si="7"/>
        <v>9.3877107435924589E-3</v>
      </c>
    </row>
    <row r="40" spans="1:15" s="613" customFormat="1" x14ac:dyDescent="0.2">
      <c r="A40" s="631">
        <v>26</v>
      </c>
      <c r="B40" s="631" t="s">
        <v>345</v>
      </c>
      <c r="C40" s="632">
        <f>'COEFIC 2023'!I33</f>
        <v>0.10050862883319442</v>
      </c>
      <c r="D40" s="633">
        <f t="shared" si="1"/>
        <v>8141.1989354887473</v>
      </c>
      <c r="E40" s="634">
        <f>'COEFIC 2023'!P33</f>
        <v>0.94812774970318459</v>
      </c>
      <c r="F40" s="635">
        <f t="shared" si="2"/>
        <v>76798.347725957952</v>
      </c>
      <c r="G40" s="653">
        <f>FPART!J41</f>
        <v>0.20040950302944549</v>
      </c>
      <c r="H40" s="637">
        <f t="shared" si="3"/>
        <v>3607.3710545300187</v>
      </c>
      <c r="I40" s="638">
        <f t="shared" si="4"/>
        <v>88546.917715976713</v>
      </c>
      <c r="J40" s="613">
        <v>0.100509</v>
      </c>
      <c r="K40" s="613">
        <v>0.96767099999999995</v>
      </c>
      <c r="L40" s="613">
        <v>0.19581899999999999</v>
      </c>
      <c r="M40" s="639">
        <f t="shared" si="5"/>
        <v>-3.7116680558224591E-7</v>
      </c>
      <c r="N40" s="640">
        <f t="shared" si="6"/>
        <v>1.9543250296815362E-2</v>
      </c>
      <c r="O40" s="641">
        <f t="shared" si="7"/>
        <v>-4.5905030294454974E-3</v>
      </c>
    </row>
    <row r="41" spans="1:15" s="613" customFormat="1" x14ac:dyDescent="0.2">
      <c r="A41" s="631">
        <v>27</v>
      </c>
      <c r="B41" s="631" t="s">
        <v>71</v>
      </c>
      <c r="C41" s="632">
        <f>'COEFIC 2023'!I34</f>
        <v>0.10410950365625671</v>
      </c>
      <c r="D41" s="633">
        <f t="shared" si="1"/>
        <v>8432.8697961567941</v>
      </c>
      <c r="E41" s="634">
        <f>'COEFIC 2023'!P34</f>
        <v>0.23628668401264072</v>
      </c>
      <c r="F41" s="635">
        <f t="shared" si="2"/>
        <v>19139.221405023898</v>
      </c>
      <c r="G41" s="653">
        <f>FPART!J42</f>
        <v>0.63950739550870017</v>
      </c>
      <c r="H41" s="637">
        <f t="shared" si="3"/>
        <v>11511.133119156604</v>
      </c>
      <c r="I41" s="638">
        <f t="shared" si="4"/>
        <v>39083.2243203373</v>
      </c>
      <c r="J41" s="613">
        <v>0.10410999999999999</v>
      </c>
      <c r="K41" s="613">
        <v>0.23497399999999999</v>
      </c>
      <c r="L41" s="613">
        <v>0.63896699999999995</v>
      </c>
      <c r="M41" s="639">
        <f t="shared" si="5"/>
        <v>-4.963437432864426E-7</v>
      </c>
      <c r="N41" s="640">
        <f t="shared" si="6"/>
        <v>-1.3126840126407302E-3</v>
      </c>
      <c r="O41" s="641">
        <f t="shared" si="7"/>
        <v>-5.4039550870021991E-4</v>
      </c>
    </row>
    <row r="42" spans="1:15" s="613" customFormat="1" x14ac:dyDescent="0.2">
      <c r="A42" s="631">
        <v>28</v>
      </c>
      <c r="B42" s="631" t="s">
        <v>72</v>
      </c>
      <c r="C42" s="632">
        <f>'COEFIC 2023'!I35</f>
        <v>0.11019519268470698</v>
      </c>
      <c r="D42" s="633">
        <f t="shared" si="1"/>
        <v>8925.810607461266</v>
      </c>
      <c r="E42" s="634">
        <f>'COEFIC 2023'!P35</f>
        <v>0.25822216015596905</v>
      </c>
      <c r="F42" s="635">
        <f t="shared" si="2"/>
        <v>20915.994972633493</v>
      </c>
      <c r="G42" s="653">
        <f>FPART!J43</f>
        <v>0.62540659063940485</v>
      </c>
      <c r="H42" s="637">
        <f t="shared" si="3"/>
        <v>11257.318631509288</v>
      </c>
      <c r="I42" s="638">
        <f t="shared" si="4"/>
        <v>41099.124211604045</v>
      </c>
      <c r="J42" s="613">
        <v>0.110195</v>
      </c>
      <c r="K42" s="613">
        <v>0.25553999999999999</v>
      </c>
      <c r="L42" s="613">
        <v>0.62703500000000001</v>
      </c>
      <c r="M42" s="639">
        <f t="shared" si="5"/>
        <v>1.9268470698163842E-7</v>
      </c>
      <c r="N42" s="640">
        <f t="shared" si="6"/>
        <v>-2.68216015596906E-3</v>
      </c>
      <c r="O42" s="641">
        <f t="shared" si="7"/>
        <v>1.6284093605951622E-3</v>
      </c>
    </row>
    <row r="43" spans="1:15" s="613" customFormat="1" x14ac:dyDescent="0.2">
      <c r="A43" s="631">
        <v>29</v>
      </c>
      <c r="B43" s="631" t="s">
        <v>61</v>
      </c>
      <c r="C43" s="632">
        <f>'COEFIC 2023'!I36</f>
        <v>0.25989471968558259</v>
      </c>
      <c r="D43" s="633">
        <f t="shared" si="1"/>
        <v>21051.472294532188</v>
      </c>
      <c r="E43" s="634">
        <f>'COEFIC 2023'!P36</f>
        <v>0.80482357884115929</v>
      </c>
      <c r="F43" s="635">
        <f t="shared" si="2"/>
        <v>65190.709886133911</v>
      </c>
      <c r="G43" s="653">
        <f>FPART!J44</f>
        <v>0.51039054519633531</v>
      </c>
      <c r="H43" s="637">
        <f t="shared" si="3"/>
        <v>9187.0298135340345</v>
      </c>
      <c r="I43" s="638">
        <f t="shared" si="4"/>
        <v>95429.21199420013</v>
      </c>
      <c r="J43" s="613">
        <v>0.25989499999999999</v>
      </c>
      <c r="K43" s="613">
        <v>0.81367</v>
      </c>
      <c r="L43" s="613">
        <v>0.50380800000000003</v>
      </c>
      <c r="M43" s="639">
        <f t="shared" si="5"/>
        <v>-2.8031441740017371E-7</v>
      </c>
      <c r="N43" s="640">
        <f t="shared" si="6"/>
        <v>8.8464211588407116E-3</v>
      </c>
      <c r="O43" s="641">
        <f t="shared" si="7"/>
        <v>-6.5825451963352766E-3</v>
      </c>
    </row>
    <row r="44" spans="1:15" s="613" customFormat="1" x14ac:dyDescent="0.2">
      <c r="A44" s="631">
        <v>30</v>
      </c>
      <c r="B44" s="631" t="s">
        <v>104</v>
      </c>
      <c r="C44" s="632">
        <f>'COEFIC 2023'!I37</f>
        <v>0.24953430791396478</v>
      </c>
      <c r="D44" s="633">
        <f t="shared" si="1"/>
        <v>20212.278941031145</v>
      </c>
      <c r="E44" s="634">
        <f>'COEFIC 2023'!P37</f>
        <v>0.37167013004425603</v>
      </c>
      <c r="F44" s="635">
        <f t="shared" si="2"/>
        <v>30105.280533584741</v>
      </c>
      <c r="G44" s="653">
        <f>FPART!J45</f>
        <v>0.83991550252888769</v>
      </c>
      <c r="H44" s="637">
        <f t="shared" si="3"/>
        <v>15118.479045519978</v>
      </c>
      <c r="I44" s="638">
        <f t="shared" si="4"/>
        <v>65436.038520135866</v>
      </c>
      <c r="J44" s="613">
        <v>0.24953400000000001</v>
      </c>
      <c r="K44" s="613">
        <v>0.36852099999999999</v>
      </c>
      <c r="L44" s="613">
        <v>0.84023099999999995</v>
      </c>
      <c r="M44" s="639">
        <f t="shared" si="5"/>
        <v>3.0791396476992361E-7</v>
      </c>
      <c r="N44" s="640">
        <f t="shared" si="6"/>
        <v>-3.1491300442560433E-3</v>
      </c>
      <c r="O44" s="641">
        <f t="shared" si="7"/>
        <v>3.1549747111225823E-4</v>
      </c>
    </row>
    <row r="45" spans="1:15" s="613" customFormat="1" x14ac:dyDescent="0.2">
      <c r="A45" s="631">
        <v>31</v>
      </c>
      <c r="B45" s="631" t="s">
        <v>48</v>
      </c>
      <c r="C45" s="632">
        <f>'COEFIC 2023'!I38</f>
        <v>0.33928242777297896</v>
      </c>
      <c r="D45" s="633">
        <f t="shared" si="1"/>
        <v>27481.876649611295</v>
      </c>
      <c r="E45" s="634">
        <f>'COEFIC 2023'!P38</f>
        <v>0.55583300952537551</v>
      </c>
      <c r="F45" s="635">
        <f t="shared" si="2"/>
        <v>45022.473771555415</v>
      </c>
      <c r="G45" s="653">
        <f>FPART!J46</f>
        <v>0.79254184703312069</v>
      </c>
      <c r="H45" s="637">
        <f t="shared" si="3"/>
        <v>14265.753246596172</v>
      </c>
      <c r="I45" s="638">
        <f t="shared" si="4"/>
        <v>86770.103667762887</v>
      </c>
      <c r="J45" s="613">
        <v>0.33928199999999997</v>
      </c>
      <c r="K45" s="613">
        <v>0.54768600000000001</v>
      </c>
      <c r="L45" s="613">
        <v>0.79606600000000005</v>
      </c>
      <c r="M45" s="639">
        <f t="shared" si="5"/>
        <v>4.2777297898366484E-7</v>
      </c>
      <c r="N45" s="640">
        <f t="shared" si="6"/>
        <v>-8.1470095253755037E-3</v>
      </c>
      <c r="O45" s="641">
        <f t="shared" si="7"/>
        <v>3.524152966879357E-3</v>
      </c>
    </row>
    <row r="46" spans="1:15" s="613" customFormat="1" x14ac:dyDescent="0.2">
      <c r="A46" s="631">
        <v>32</v>
      </c>
      <c r="B46" s="631" t="s">
        <v>83</v>
      </c>
      <c r="C46" s="632">
        <f>'COEFIC 2023'!I39</f>
        <v>0.33092250201417356</v>
      </c>
      <c r="D46" s="633">
        <f t="shared" si="1"/>
        <v>26804.722663148059</v>
      </c>
      <c r="E46" s="634">
        <f>'COEFIC 2023'!P39</f>
        <v>0.35285067758515876</v>
      </c>
      <c r="F46" s="635">
        <f t="shared" si="2"/>
        <v>28580.90488439786</v>
      </c>
      <c r="G46" s="653">
        <f>FPART!J47</f>
        <v>1.0119385015504034</v>
      </c>
      <c r="H46" s="637">
        <f t="shared" si="3"/>
        <v>18214.893027907259</v>
      </c>
      <c r="I46" s="638">
        <f t="shared" si="4"/>
        <v>73600.520575453178</v>
      </c>
      <c r="J46" s="613">
        <v>0.33092300000000002</v>
      </c>
      <c r="K46" s="613">
        <v>0.34267500000000001</v>
      </c>
      <c r="L46" s="613">
        <v>1.0224009999999999</v>
      </c>
      <c r="M46" s="639">
        <f t="shared" si="5"/>
        <v>-4.9798582646420897E-7</v>
      </c>
      <c r="N46" s="640">
        <f t="shared" si="6"/>
        <v>-1.0175677585158749E-2</v>
      </c>
      <c r="O46" s="641">
        <f t="shared" si="7"/>
        <v>1.0462498449596458E-2</v>
      </c>
    </row>
    <row r="47" spans="1:15" s="613" customFormat="1" x14ac:dyDescent="0.2">
      <c r="A47" s="631">
        <v>33</v>
      </c>
      <c r="B47" s="631" t="s">
        <v>108</v>
      </c>
      <c r="C47" s="632">
        <f>'COEFIC 2023'!I40</f>
        <v>0.45202560790558383</v>
      </c>
      <c r="D47" s="633">
        <f t="shared" ref="D47:D78" si="8">$F$8*C47%</f>
        <v>36614.074240352289</v>
      </c>
      <c r="E47" s="634">
        <f>'COEFIC 2023'!P40</f>
        <v>0.49576725952589529</v>
      </c>
      <c r="F47" s="635">
        <f t="shared" ref="F47:F78" si="9">$F$9*E47%</f>
        <v>40157.148021597517</v>
      </c>
      <c r="G47" s="653">
        <f>FPART!J48</f>
        <v>0.99721656830305083</v>
      </c>
      <c r="H47" s="637">
        <f t="shared" ref="H47:H78" si="10">$F$10*G47%</f>
        <v>17949.898229454917</v>
      </c>
      <c r="I47" s="638">
        <f t="shared" ref="I47:I78" si="11">D47+F47+H47</f>
        <v>94721.120491404727</v>
      </c>
      <c r="J47" s="613">
        <v>0.45202599999999998</v>
      </c>
      <c r="K47" s="613">
        <v>0.493064</v>
      </c>
      <c r="L47" s="613">
        <v>0.99537200000000003</v>
      </c>
      <c r="M47" s="639">
        <f t="shared" ref="M47:M78" si="12">C47-J47</f>
        <v>-3.920944161572848E-7</v>
      </c>
      <c r="N47" s="640">
        <f t="shared" ref="N47:N78" si="13">K47-E47</f>
        <v>-2.7032595258952852E-3</v>
      </c>
      <c r="O47" s="641">
        <f t="shared" ref="O47:O78" si="14">L47-G47</f>
        <v>-1.8445683030507976E-3</v>
      </c>
    </row>
    <row r="48" spans="1:15" s="613" customFormat="1" x14ac:dyDescent="0.2">
      <c r="A48" s="631">
        <v>34</v>
      </c>
      <c r="B48" s="631" t="s">
        <v>110</v>
      </c>
      <c r="C48" s="632">
        <f>'COEFIC 2023'!I41</f>
        <v>2.6472115541333623</v>
      </c>
      <c r="D48" s="633">
        <f t="shared" si="8"/>
        <v>214424.13588480232</v>
      </c>
      <c r="E48" s="634">
        <f>'COEFIC 2023'!P41</f>
        <v>1.9717994179898699</v>
      </c>
      <c r="F48" s="635">
        <f t="shared" si="9"/>
        <v>159715.75285717947</v>
      </c>
      <c r="G48" s="653">
        <f>FPART!J49</f>
        <v>1.1983385718274551</v>
      </c>
      <c r="H48" s="637">
        <f t="shared" si="10"/>
        <v>21570.094292894191</v>
      </c>
      <c r="I48" s="638">
        <f t="shared" si="11"/>
        <v>395709.983034876</v>
      </c>
      <c r="J48" s="613">
        <v>2.6472120000000001</v>
      </c>
      <c r="K48" s="613">
        <v>1.94041</v>
      </c>
      <c r="L48" s="613">
        <v>1.2008719999999999</v>
      </c>
      <c r="M48" s="639">
        <f t="shared" si="12"/>
        <v>-4.4586663783263702E-7</v>
      </c>
      <c r="N48" s="640">
        <f t="shared" si="13"/>
        <v>-3.1389417989869939E-2</v>
      </c>
      <c r="O48" s="641">
        <f t="shared" si="14"/>
        <v>2.5334281725448715E-3</v>
      </c>
    </row>
    <row r="49" spans="1:15" s="613" customFormat="1" x14ac:dyDescent="0.2">
      <c r="A49" s="631">
        <v>35</v>
      </c>
      <c r="B49" s="631" t="s">
        <v>112</v>
      </c>
      <c r="C49" s="632">
        <f>'COEFIC 2023'!I42</f>
        <v>0.64493563278320676</v>
      </c>
      <c r="D49" s="633">
        <f t="shared" si="8"/>
        <v>52239.786255439751</v>
      </c>
      <c r="E49" s="634">
        <f>'COEFIC 2023'!P42</f>
        <v>1.3912005894388211</v>
      </c>
      <c r="F49" s="635">
        <f t="shared" si="9"/>
        <v>112687.24774454451</v>
      </c>
      <c r="G49" s="653">
        <f>FPART!J50</f>
        <v>0.66229187199343809</v>
      </c>
      <c r="H49" s="637">
        <f t="shared" si="10"/>
        <v>11921.253695881886</v>
      </c>
      <c r="I49" s="638">
        <f t="shared" si="11"/>
        <v>176848.28769586617</v>
      </c>
      <c r="J49" s="613">
        <v>0.64493599999999995</v>
      </c>
      <c r="K49" s="613">
        <v>1.386803</v>
      </c>
      <c r="L49" s="613">
        <v>0.66060799999999997</v>
      </c>
      <c r="M49" s="639">
        <f t="shared" si="12"/>
        <v>-3.6721679319562384E-7</v>
      </c>
      <c r="N49" s="640">
        <f t="shared" si="13"/>
        <v>-4.3975894388210701E-3</v>
      </c>
      <c r="O49" s="641">
        <f t="shared" si="14"/>
        <v>-1.683871993438113E-3</v>
      </c>
    </row>
    <row r="50" spans="1:15" s="613" customFormat="1" x14ac:dyDescent="0.2">
      <c r="A50" s="631">
        <v>36</v>
      </c>
      <c r="B50" s="631" t="s">
        <v>114</v>
      </c>
      <c r="C50" s="632">
        <f>'COEFIC 2023'!I43</f>
        <v>0.24519641192828742</v>
      </c>
      <c r="D50" s="633">
        <f t="shared" si="8"/>
        <v>19860.909366191281</v>
      </c>
      <c r="E50" s="634">
        <f>'COEFIC 2023'!P43</f>
        <v>0.38634093434527844</v>
      </c>
      <c r="F50" s="635">
        <f t="shared" si="9"/>
        <v>31293.615681967553</v>
      </c>
      <c r="G50" s="653">
        <f>FPART!J51</f>
        <v>0.81181104447788688</v>
      </c>
      <c r="H50" s="637">
        <f t="shared" si="10"/>
        <v>14612.598800601965</v>
      </c>
      <c r="I50" s="638">
        <f t="shared" si="11"/>
        <v>65767.123848760792</v>
      </c>
      <c r="J50" s="613">
        <v>0.245196</v>
      </c>
      <c r="K50" s="613">
        <v>0.38112699999999999</v>
      </c>
      <c r="L50" s="613">
        <v>0.81472599999999995</v>
      </c>
      <c r="M50" s="639">
        <f t="shared" si="12"/>
        <v>4.1192828742486753E-7</v>
      </c>
      <c r="N50" s="640">
        <f t="shared" si="13"/>
        <v>-5.2139343452784481E-3</v>
      </c>
      <c r="O50" s="641">
        <f t="shared" si="14"/>
        <v>2.9149555221130719E-3</v>
      </c>
    </row>
    <row r="51" spans="1:15" s="613" customFormat="1" x14ac:dyDescent="0.2">
      <c r="A51" s="631">
        <v>37</v>
      </c>
      <c r="B51" s="631" t="s">
        <v>92</v>
      </c>
      <c r="C51" s="632">
        <f>'COEFIC 2023'!I44</f>
        <v>0.16730380391362448</v>
      </c>
      <c r="D51" s="633">
        <f t="shared" si="8"/>
        <v>13551.608117003583</v>
      </c>
      <c r="E51" s="634">
        <f>'COEFIC 2023'!P44</f>
        <v>0.29726517420617776</v>
      </c>
      <c r="F51" s="635">
        <f t="shared" si="9"/>
        <v>24078.479110700398</v>
      </c>
      <c r="G51" s="653">
        <f>FPART!J52</f>
        <v>0.75300089428431383</v>
      </c>
      <c r="H51" s="637">
        <f t="shared" si="10"/>
        <v>13554.016097117648</v>
      </c>
      <c r="I51" s="638">
        <f t="shared" si="11"/>
        <v>51184.103324821626</v>
      </c>
      <c r="J51" s="613">
        <v>0.16730400000000001</v>
      </c>
      <c r="K51" s="613">
        <v>0.29624600000000001</v>
      </c>
      <c r="L51" s="613">
        <v>0.751112</v>
      </c>
      <c r="M51" s="639">
        <f t="shared" si="12"/>
        <v>-1.9608637552570585E-7</v>
      </c>
      <c r="N51" s="640">
        <f t="shared" si="13"/>
        <v>-1.0191742061777531E-3</v>
      </c>
      <c r="O51" s="641">
        <f t="shared" si="14"/>
        <v>-1.8888942843138246E-3</v>
      </c>
    </row>
    <row r="52" spans="1:15" s="613" customFormat="1" x14ac:dyDescent="0.2">
      <c r="A52" s="631">
        <v>38</v>
      </c>
      <c r="B52" s="631" t="s">
        <v>51</v>
      </c>
      <c r="C52" s="632">
        <f>'COEFIC 2023'!I45</f>
        <v>0.88385683595551423</v>
      </c>
      <c r="D52" s="633">
        <f t="shared" si="8"/>
        <v>71592.403712396655</v>
      </c>
      <c r="E52" s="634">
        <f>'COEFIC 2023'!P45</f>
        <v>1.9184634861274525</v>
      </c>
      <c r="F52" s="635">
        <f t="shared" si="9"/>
        <v>155395.54237632366</v>
      </c>
      <c r="G52" s="653">
        <f>FPART!J53</f>
        <v>0.65948364803154547</v>
      </c>
      <c r="H52" s="637">
        <f t="shared" si="10"/>
        <v>11870.705664567819</v>
      </c>
      <c r="I52" s="638">
        <f t="shared" si="11"/>
        <v>238858.65175328814</v>
      </c>
      <c r="J52" s="613">
        <v>0.883857</v>
      </c>
      <c r="K52" s="613">
        <v>1.894933</v>
      </c>
      <c r="L52" s="613">
        <v>0.66194500000000001</v>
      </c>
      <c r="M52" s="639">
        <f t="shared" si="12"/>
        <v>-1.6404448577311825E-7</v>
      </c>
      <c r="N52" s="640">
        <f t="shared" si="13"/>
        <v>-2.3530486127452566E-2</v>
      </c>
      <c r="O52" s="641">
        <f t="shared" si="14"/>
        <v>2.4613519684545393E-3</v>
      </c>
    </row>
    <row r="53" spans="1:15" s="613" customFormat="1" x14ac:dyDescent="0.2">
      <c r="A53" s="631">
        <v>39</v>
      </c>
      <c r="B53" s="631" t="s">
        <v>105</v>
      </c>
      <c r="C53" s="632">
        <f>'COEFIC 2023'!I46</f>
        <v>0.18983559374214284</v>
      </c>
      <c r="D53" s="633">
        <f t="shared" si="8"/>
        <v>15376.68309311357</v>
      </c>
      <c r="E53" s="634">
        <f>'COEFIC 2023'!P46</f>
        <v>0.31996796117075799</v>
      </c>
      <c r="F53" s="635">
        <f t="shared" si="9"/>
        <v>25917.404854831399</v>
      </c>
      <c r="G53" s="653">
        <f>FPART!J54</f>
        <v>0.77860048179540364</v>
      </c>
      <c r="H53" s="637">
        <f t="shared" si="10"/>
        <v>14014.808672317266</v>
      </c>
      <c r="I53" s="638">
        <f t="shared" si="11"/>
        <v>55308.896620262232</v>
      </c>
      <c r="J53" s="613">
        <v>0.189836</v>
      </c>
      <c r="K53" s="613">
        <v>0.30679699999999999</v>
      </c>
      <c r="L53" s="613">
        <v>0.79549499999999995</v>
      </c>
      <c r="M53" s="639">
        <f t="shared" si="12"/>
        <v>-4.0625785716064122E-7</v>
      </c>
      <c r="N53" s="640">
        <f t="shared" si="13"/>
        <v>-1.3170961170758E-2</v>
      </c>
      <c r="O53" s="641">
        <f t="shared" si="14"/>
        <v>1.6894518204596309E-2</v>
      </c>
    </row>
    <row r="54" spans="1:15" s="613" customFormat="1" x14ac:dyDescent="0.2">
      <c r="A54" s="631">
        <v>40</v>
      </c>
      <c r="B54" s="631" t="s">
        <v>96</v>
      </c>
      <c r="C54" s="632">
        <f>'COEFIC 2023'!I47</f>
        <v>0.38714668784795297</v>
      </c>
      <c r="D54" s="633">
        <f t="shared" si="8"/>
        <v>31358.881715684191</v>
      </c>
      <c r="E54" s="634">
        <f>'COEFIC 2023'!P47</f>
        <v>0.4670133881314788</v>
      </c>
      <c r="F54" s="635">
        <f t="shared" si="9"/>
        <v>37828.084438649785</v>
      </c>
      <c r="G54" s="653">
        <f>FPART!J55</f>
        <v>0.94771152584822815</v>
      </c>
      <c r="H54" s="637">
        <f t="shared" si="10"/>
        <v>17058.807465268106</v>
      </c>
      <c r="I54" s="638">
        <f t="shared" si="11"/>
        <v>86245.773619602085</v>
      </c>
      <c r="J54" s="613">
        <v>0.38714700000000002</v>
      </c>
      <c r="K54" s="613">
        <v>0.45751199999999997</v>
      </c>
      <c r="L54" s="613">
        <v>0.95387100000000002</v>
      </c>
      <c r="M54" s="639">
        <f t="shared" si="12"/>
        <v>-3.1215204704393429E-7</v>
      </c>
      <c r="N54" s="640">
        <f t="shared" si="13"/>
        <v>-9.5013881314788273E-3</v>
      </c>
      <c r="O54" s="641">
        <f t="shared" si="14"/>
        <v>6.159474151771871E-3</v>
      </c>
    </row>
    <row r="55" spans="1:15" s="613" customFormat="1" x14ac:dyDescent="0.2">
      <c r="A55" s="631">
        <v>41</v>
      </c>
      <c r="B55" s="631" t="s">
        <v>98</v>
      </c>
      <c r="C55" s="632">
        <f>'COEFIC 2023'!I48</f>
        <v>0.3378294431952521</v>
      </c>
      <c r="D55" s="633">
        <f t="shared" si="8"/>
        <v>27364.18489881542</v>
      </c>
      <c r="E55" s="634">
        <f>'COEFIC 2023'!P48</f>
        <v>0.51242411214883699</v>
      </c>
      <c r="F55" s="635">
        <f t="shared" si="9"/>
        <v>41506.353084055794</v>
      </c>
      <c r="G55" s="653">
        <f>FPART!J56</f>
        <v>0.83078552954091656</v>
      </c>
      <c r="H55" s="637">
        <f t="shared" si="10"/>
        <v>14954.139531736497</v>
      </c>
      <c r="I55" s="638">
        <f t="shared" si="11"/>
        <v>83824.677514607713</v>
      </c>
      <c r="J55" s="613">
        <v>0.33782899999999999</v>
      </c>
      <c r="K55" s="613">
        <v>0.50907999999999998</v>
      </c>
      <c r="L55" s="613">
        <v>0.83015000000000005</v>
      </c>
      <c r="M55" s="639">
        <f t="shared" si="12"/>
        <v>4.4319525210889665E-7</v>
      </c>
      <c r="N55" s="640">
        <f t="shared" si="13"/>
        <v>-3.3441121488370085E-3</v>
      </c>
      <c r="O55" s="641">
        <f t="shared" si="14"/>
        <v>-6.3552954091650182E-4</v>
      </c>
    </row>
    <row r="56" spans="1:15" s="613" customFormat="1" x14ac:dyDescent="0.2">
      <c r="A56" s="631">
        <v>42</v>
      </c>
      <c r="B56" s="631" t="s">
        <v>122</v>
      </c>
      <c r="C56" s="632">
        <f>'COEFIC 2023'!I49</f>
        <v>0.30116790479202737</v>
      </c>
      <c r="D56" s="633">
        <f t="shared" si="8"/>
        <v>24394.600288154219</v>
      </c>
      <c r="E56" s="634">
        <f>'COEFIC 2023'!P49</f>
        <v>0.39561419725385255</v>
      </c>
      <c r="F56" s="635">
        <f t="shared" si="9"/>
        <v>32044.749977562053</v>
      </c>
      <c r="G56" s="653">
        <f>FPART!J57</f>
        <v>0.90375681182419565</v>
      </c>
      <c r="H56" s="637">
        <f t="shared" si="10"/>
        <v>16267.622612835523</v>
      </c>
      <c r="I56" s="638">
        <f t="shared" si="11"/>
        <v>72706.972878551795</v>
      </c>
      <c r="J56" s="613">
        <v>0.30116799999999999</v>
      </c>
      <c r="K56" s="613">
        <v>0.38355600000000001</v>
      </c>
      <c r="L56" s="613">
        <v>0.91535299999999997</v>
      </c>
      <c r="M56" s="639">
        <f t="shared" si="12"/>
        <v>-9.520797261686198E-8</v>
      </c>
      <c r="N56" s="640">
        <f t="shared" si="13"/>
        <v>-1.2058197253852543E-2</v>
      </c>
      <c r="O56" s="641">
        <f t="shared" si="14"/>
        <v>1.1596188175804323E-2</v>
      </c>
    </row>
    <row r="57" spans="1:15" s="613" customFormat="1" x14ac:dyDescent="0.2">
      <c r="A57" s="631">
        <v>43</v>
      </c>
      <c r="B57" s="631" t="s">
        <v>346</v>
      </c>
      <c r="C57" s="632">
        <f>'COEFIC 2023'!I50</f>
        <v>1.4483729310236635</v>
      </c>
      <c r="D57" s="633">
        <f t="shared" si="8"/>
        <v>117318.20741291674</v>
      </c>
      <c r="E57" s="634">
        <f>'COEFIC 2023'!P50</f>
        <v>1.9015322371627141</v>
      </c>
      <c r="F57" s="635">
        <f t="shared" si="9"/>
        <v>154024.11121017984</v>
      </c>
      <c r="G57" s="653">
        <f>FPART!J58</f>
        <v>0.90404025564543489</v>
      </c>
      <c r="H57" s="637">
        <f t="shared" si="10"/>
        <v>16272.724601617829</v>
      </c>
      <c r="I57" s="638">
        <f t="shared" si="11"/>
        <v>287615.04322471441</v>
      </c>
      <c r="J57" s="613">
        <v>1.4483729999999999</v>
      </c>
      <c r="K57" s="613">
        <v>1.988977</v>
      </c>
      <c r="L57" s="613">
        <v>0.87690400000000002</v>
      </c>
      <c r="M57" s="639">
        <f t="shared" si="12"/>
        <v>-6.8976336420334405E-8</v>
      </c>
      <c r="N57" s="640">
        <f t="shared" si="13"/>
        <v>8.7444762837285861E-2</v>
      </c>
      <c r="O57" s="641">
        <f t="shared" si="14"/>
        <v>-2.713625564543487E-2</v>
      </c>
    </row>
    <row r="58" spans="1:15" s="613" customFormat="1" x14ac:dyDescent="0.2">
      <c r="A58" s="631">
        <v>44</v>
      </c>
      <c r="B58" s="631" t="s">
        <v>102</v>
      </c>
      <c r="C58" s="632">
        <f>'COEFIC 2023'!I51</f>
        <v>0.27261359917756861</v>
      </c>
      <c r="D58" s="633">
        <f t="shared" si="8"/>
        <v>22081.701533383057</v>
      </c>
      <c r="E58" s="634">
        <f>'COEFIC 2023'!P51</f>
        <v>0.37461514740795937</v>
      </c>
      <c r="F58" s="635">
        <f t="shared" si="9"/>
        <v>30343.82694004471</v>
      </c>
      <c r="G58" s="653">
        <f>FPART!J59</f>
        <v>0.88070325427299512</v>
      </c>
      <c r="H58" s="637">
        <f t="shared" si="10"/>
        <v>15852.658576913911</v>
      </c>
      <c r="I58" s="638">
        <f t="shared" si="11"/>
        <v>68278.187050341672</v>
      </c>
      <c r="J58" s="613">
        <v>0.27261400000000002</v>
      </c>
      <c r="K58" s="613">
        <v>0.37195400000000001</v>
      </c>
      <c r="L58" s="613">
        <v>0.88018600000000002</v>
      </c>
      <c r="M58" s="639">
        <f t="shared" si="12"/>
        <v>-4.0082243141226215E-7</v>
      </c>
      <c r="N58" s="640">
        <f t="shared" si="13"/>
        <v>-2.6611474079593633E-3</v>
      </c>
      <c r="O58" s="641">
        <f t="shared" si="14"/>
        <v>-5.1725427299509352E-4</v>
      </c>
    </row>
    <row r="59" spans="1:15" s="613" customFormat="1" x14ac:dyDescent="0.2">
      <c r="A59" s="631">
        <v>45</v>
      </c>
      <c r="B59" s="631" t="s">
        <v>127</v>
      </c>
      <c r="C59" s="632">
        <f>'COEFIC 2023'!I52</f>
        <v>0.76140603422389352</v>
      </c>
      <c r="D59" s="633">
        <f t="shared" si="8"/>
        <v>61673.888772135375</v>
      </c>
      <c r="E59" s="634">
        <f>'COEFIC 2023'!P52</f>
        <v>0.75599148751357081</v>
      </c>
      <c r="F59" s="635">
        <f t="shared" si="9"/>
        <v>61235.310488599236</v>
      </c>
      <c r="G59" s="653">
        <f>FPART!J60</f>
        <v>1.0491964841174999</v>
      </c>
      <c r="H59" s="637">
        <f t="shared" si="10"/>
        <v>18885.536714114998</v>
      </c>
      <c r="I59" s="638">
        <f t="shared" si="11"/>
        <v>141794.73597484961</v>
      </c>
      <c r="J59" s="613">
        <v>0.76140600000000003</v>
      </c>
      <c r="K59" s="613">
        <v>0.73002400000000001</v>
      </c>
      <c r="L59" s="613">
        <v>1.062451</v>
      </c>
      <c r="M59" s="639">
        <f t="shared" si="12"/>
        <v>3.4223893496942992E-8</v>
      </c>
      <c r="N59" s="640">
        <f t="shared" si="13"/>
        <v>-2.5967487513570808E-2</v>
      </c>
      <c r="O59" s="641">
        <f t="shared" si="14"/>
        <v>1.3254515882500151E-2</v>
      </c>
    </row>
    <row r="60" spans="1:15" s="613" customFormat="1" x14ac:dyDescent="0.2">
      <c r="A60" s="631">
        <v>46</v>
      </c>
      <c r="B60" s="631" t="s">
        <v>119</v>
      </c>
      <c r="C60" s="632">
        <f>'COEFIC 2023'!I53</f>
        <v>0.31451851670911207</v>
      </c>
      <c r="D60" s="633">
        <f t="shared" si="8"/>
        <v>25475.999853438079</v>
      </c>
      <c r="E60" s="634">
        <f>'COEFIC 2023'!P53</f>
        <v>0.43928797738663627</v>
      </c>
      <c r="F60" s="635">
        <f t="shared" si="9"/>
        <v>35582.326168317544</v>
      </c>
      <c r="G60" s="653">
        <f>FPART!J61</f>
        <v>0.87242123304316332</v>
      </c>
      <c r="H60" s="637">
        <f t="shared" si="10"/>
        <v>15703.58219477694</v>
      </c>
      <c r="I60" s="638">
        <f t="shared" si="11"/>
        <v>76761.908216532567</v>
      </c>
      <c r="J60" s="613">
        <v>0.31451899999999999</v>
      </c>
      <c r="K60" s="613">
        <v>0.43107000000000001</v>
      </c>
      <c r="L60" s="613">
        <v>0.87789499999999998</v>
      </c>
      <c r="M60" s="639">
        <f t="shared" si="12"/>
        <v>-4.8329088792042896E-7</v>
      </c>
      <c r="N60" s="640">
        <f t="shared" si="13"/>
        <v>-8.217977386636266E-3</v>
      </c>
      <c r="O60" s="641">
        <f t="shared" si="14"/>
        <v>5.4737669568366565E-3</v>
      </c>
    </row>
    <row r="61" spans="1:15" s="613" customFormat="1" x14ac:dyDescent="0.2">
      <c r="A61" s="631">
        <v>47</v>
      </c>
      <c r="B61" s="631" t="s">
        <v>121</v>
      </c>
      <c r="C61" s="632">
        <f>'COEFIC 2023'!I54</f>
        <v>0.41765936398021752</v>
      </c>
      <c r="D61" s="633">
        <f t="shared" si="8"/>
        <v>33830.408482397615</v>
      </c>
      <c r="E61" s="634">
        <f>'COEFIC 2023'!P54</f>
        <v>0.56420574714884908</v>
      </c>
      <c r="F61" s="635">
        <f t="shared" si="9"/>
        <v>45700.665519056769</v>
      </c>
      <c r="G61" s="653">
        <f>FPART!J62</f>
        <v>0.88942693458047528</v>
      </c>
      <c r="H61" s="637">
        <f t="shared" si="10"/>
        <v>16009.684822448555</v>
      </c>
      <c r="I61" s="638">
        <f t="shared" si="11"/>
        <v>95540.758823902943</v>
      </c>
      <c r="J61" s="613">
        <v>0.417659</v>
      </c>
      <c r="K61" s="613">
        <v>0.55855900000000003</v>
      </c>
      <c r="L61" s="613">
        <v>0.89037100000000002</v>
      </c>
      <c r="M61" s="639">
        <f t="shared" si="12"/>
        <v>3.6398021752148679E-7</v>
      </c>
      <c r="N61" s="640">
        <f t="shared" si="13"/>
        <v>-5.6467471488490517E-3</v>
      </c>
      <c r="O61" s="641">
        <f t="shared" si="14"/>
        <v>9.4406541952474221E-4</v>
      </c>
    </row>
    <row r="62" spans="1:15" s="613" customFormat="1" x14ac:dyDescent="0.2">
      <c r="A62" s="631">
        <v>48</v>
      </c>
      <c r="B62" s="631" t="s">
        <v>47</v>
      </c>
      <c r="C62" s="632">
        <f>'COEFIC 2023'!I55</f>
        <v>0.12097675940639052</v>
      </c>
      <c r="D62" s="633">
        <f t="shared" si="8"/>
        <v>9799.1175119176332</v>
      </c>
      <c r="E62" s="634">
        <f>'COEFIC 2023'!P55</f>
        <v>0.33094459983869112</v>
      </c>
      <c r="F62" s="635">
        <f t="shared" si="9"/>
        <v>26806.512586933979</v>
      </c>
      <c r="G62" s="653">
        <f>FPART!J63</f>
        <v>0.55973048604757003</v>
      </c>
      <c r="H62" s="637">
        <f t="shared" si="10"/>
        <v>10075.14874885626</v>
      </c>
      <c r="I62" s="638">
        <f t="shared" si="11"/>
        <v>46680.778847707872</v>
      </c>
      <c r="J62" s="613">
        <v>0.120977</v>
      </c>
      <c r="K62" s="613">
        <v>0.35283199999999998</v>
      </c>
      <c r="L62" s="613">
        <v>0.53136700000000003</v>
      </c>
      <c r="M62" s="639">
        <f t="shared" si="12"/>
        <v>-2.4059360947958908E-7</v>
      </c>
      <c r="N62" s="640">
        <f t="shared" si="13"/>
        <v>2.1887400161308856E-2</v>
      </c>
      <c r="O62" s="641">
        <f t="shared" si="14"/>
        <v>-2.8363486047569997E-2</v>
      </c>
    </row>
    <row r="63" spans="1:15" s="613" customFormat="1" x14ac:dyDescent="0.2">
      <c r="A63" s="631">
        <v>49</v>
      </c>
      <c r="B63" s="631" t="s">
        <v>115</v>
      </c>
      <c r="C63" s="632">
        <f>'COEFIC 2023'!I56</f>
        <v>0.40190816884775799</v>
      </c>
      <c r="D63" s="633">
        <f t="shared" si="8"/>
        <v>32554.561676668392</v>
      </c>
      <c r="E63" s="634">
        <f>'COEFIC 2023'!P56</f>
        <v>1.3248275146655468</v>
      </c>
      <c r="F63" s="635">
        <f t="shared" si="9"/>
        <v>107311.02868790929</v>
      </c>
      <c r="G63" s="653">
        <f>FPART!J64</f>
        <v>0.48667703346580021</v>
      </c>
      <c r="H63" s="637">
        <f t="shared" si="10"/>
        <v>8760.1866023844032</v>
      </c>
      <c r="I63" s="638">
        <f t="shared" si="11"/>
        <v>148625.77696696209</v>
      </c>
      <c r="J63" s="613">
        <v>0.40190799999999999</v>
      </c>
      <c r="K63" s="613">
        <v>1.304246</v>
      </c>
      <c r="L63" s="613">
        <v>0.49023499999999998</v>
      </c>
      <c r="M63" s="639">
        <f t="shared" si="12"/>
        <v>1.688477579975256E-7</v>
      </c>
      <c r="N63" s="640">
        <f t="shared" si="13"/>
        <v>-2.0581514665546807E-2</v>
      </c>
      <c r="O63" s="641">
        <f t="shared" si="14"/>
        <v>3.5579665341997635E-3</v>
      </c>
    </row>
    <row r="64" spans="1:15" s="613" customFormat="1" x14ac:dyDescent="0.2">
      <c r="A64" s="631">
        <v>50</v>
      </c>
      <c r="B64" s="631" t="s">
        <v>69</v>
      </c>
      <c r="C64" s="632">
        <f>'COEFIC 2023'!I57</f>
        <v>1.8806884872661696</v>
      </c>
      <c r="D64" s="633">
        <f t="shared" si="8"/>
        <v>152335.76746855973</v>
      </c>
      <c r="E64" s="634">
        <f>'COEFIC 2023'!P57</f>
        <v>1.2229607983357664</v>
      </c>
      <c r="F64" s="635">
        <f t="shared" si="9"/>
        <v>99059.824665197084</v>
      </c>
      <c r="G64" s="653">
        <f>FPART!J65</f>
        <v>1.2670218630598797</v>
      </c>
      <c r="H64" s="637">
        <f t="shared" si="10"/>
        <v>22806.393535077837</v>
      </c>
      <c r="I64" s="638">
        <f t="shared" si="11"/>
        <v>274201.98566883465</v>
      </c>
      <c r="J64" s="613">
        <v>1.8806879999999999</v>
      </c>
      <c r="K64" s="613">
        <v>1.151397</v>
      </c>
      <c r="L64" s="613">
        <v>1.2908360000000001</v>
      </c>
      <c r="M64" s="639">
        <f t="shared" si="12"/>
        <v>4.8726616963534752E-7</v>
      </c>
      <c r="N64" s="640">
        <f t="shared" si="13"/>
        <v>-7.1563798335766426E-2</v>
      </c>
      <c r="O64" s="641">
        <f t="shared" si="14"/>
        <v>2.3814136940120356E-2</v>
      </c>
    </row>
    <row r="65" spans="1:15" s="613" customFormat="1" x14ac:dyDescent="0.2">
      <c r="A65" s="631">
        <v>51</v>
      </c>
      <c r="B65" s="631" t="s">
        <v>126</v>
      </c>
      <c r="C65" s="632">
        <f>'COEFIC 2023'!I58</f>
        <v>0.29445048333847845</v>
      </c>
      <c r="D65" s="633">
        <f t="shared" si="8"/>
        <v>23850.489150416754</v>
      </c>
      <c r="E65" s="634">
        <f>'COEFIC 2023'!P58</f>
        <v>0.39645821812299525</v>
      </c>
      <c r="F65" s="635">
        <f t="shared" si="9"/>
        <v>32113.115667962615</v>
      </c>
      <c r="G65" s="653">
        <f>FPART!J66</f>
        <v>0.89111035822978302</v>
      </c>
      <c r="H65" s="637">
        <f t="shared" si="10"/>
        <v>16039.986448136093</v>
      </c>
      <c r="I65" s="638">
        <f t="shared" si="11"/>
        <v>72003.591266515461</v>
      </c>
      <c r="J65" s="613">
        <v>0.29444999999999999</v>
      </c>
      <c r="K65" s="613">
        <v>0.39360200000000001</v>
      </c>
      <c r="L65" s="613">
        <v>0.89060799999999996</v>
      </c>
      <c r="M65" s="639">
        <f t="shared" si="12"/>
        <v>4.8333847846304678E-7</v>
      </c>
      <c r="N65" s="640">
        <f t="shared" si="13"/>
        <v>-2.8562181229952466E-3</v>
      </c>
      <c r="O65" s="641">
        <f t="shared" si="14"/>
        <v>-5.0235822978306199E-4</v>
      </c>
    </row>
    <row r="66" spans="1:15" s="613" customFormat="1" x14ac:dyDescent="0.2">
      <c r="A66" s="631">
        <v>52</v>
      </c>
      <c r="B66" s="631" t="s">
        <v>58</v>
      </c>
      <c r="C66" s="632">
        <f>'COEFIC 2023'!I59</f>
        <v>4.1273816838869903</v>
      </c>
      <c r="D66" s="633">
        <f t="shared" si="8"/>
        <v>334317.91639484622</v>
      </c>
      <c r="E66" s="634">
        <f>'COEFIC 2023'!P59</f>
        <v>3.0951720361744934</v>
      </c>
      <c r="F66" s="635">
        <f t="shared" si="9"/>
        <v>250708.93493013398</v>
      </c>
      <c r="G66" s="653">
        <f>FPART!J67</f>
        <v>1.1948784663978282</v>
      </c>
      <c r="H66" s="637">
        <f t="shared" si="10"/>
        <v>21507.812395160909</v>
      </c>
      <c r="I66" s="638">
        <f t="shared" si="11"/>
        <v>606534.66372014105</v>
      </c>
      <c r="J66" s="613">
        <v>4.1273819999999999</v>
      </c>
      <c r="K66" s="613">
        <v>3.1743700000000001</v>
      </c>
      <c r="L66" s="613">
        <v>1.1763680000000001</v>
      </c>
      <c r="M66" s="639">
        <f t="shared" si="12"/>
        <v>-3.1611300954637045E-7</v>
      </c>
      <c r="N66" s="640">
        <f t="shared" si="13"/>
        <v>7.9197963825506701E-2</v>
      </c>
      <c r="O66" s="641">
        <f t="shared" si="14"/>
        <v>-1.8510466397828162E-2</v>
      </c>
    </row>
    <row r="67" spans="1:15" s="613" customFormat="1" x14ac:dyDescent="0.2">
      <c r="A67" s="631">
        <v>53</v>
      </c>
      <c r="B67" s="631" t="s">
        <v>103</v>
      </c>
      <c r="C67" s="632">
        <f>'COEFIC 2023'!I60</f>
        <v>17.879143690909327</v>
      </c>
      <c r="D67" s="633">
        <f t="shared" si="8"/>
        <v>1448210.6389636556</v>
      </c>
      <c r="E67" s="634">
        <f>'COEFIC 2023'!P60</f>
        <v>7.4172287338747696</v>
      </c>
      <c r="F67" s="635">
        <f t="shared" si="9"/>
        <v>600795.52744385635</v>
      </c>
      <c r="G67" s="653">
        <f>FPART!J68</f>
        <v>1.4778431771649561</v>
      </c>
      <c r="H67" s="637">
        <f t="shared" si="10"/>
        <v>26601.17718896921</v>
      </c>
      <c r="I67" s="638">
        <f t="shared" si="11"/>
        <v>2075607.3435964813</v>
      </c>
      <c r="J67" s="613">
        <v>17.879141000000001</v>
      </c>
      <c r="K67" s="613">
        <v>7.5495349999999997</v>
      </c>
      <c r="L67" s="613">
        <v>1.4632499999999999</v>
      </c>
      <c r="M67" s="639">
        <f t="shared" si="12"/>
        <v>2.6909093264748662E-6</v>
      </c>
      <c r="N67" s="640">
        <f t="shared" si="13"/>
        <v>0.13230626612523011</v>
      </c>
      <c r="O67" s="641">
        <f t="shared" si="14"/>
        <v>-1.4593177164956117E-2</v>
      </c>
    </row>
    <row r="68" spans="1:15" s="613" customFormat="1" x14ac:dyDescent="0.2">
      <c r="A68" s="631">
        <v>54</v>
      </c>
      <c r="B68" s="631" t="s">
        <v>94</v>
      </c>
      <c r="C68" s="632">
        <f>'COEFIC 2023'!I61</f>
        <v>0.16810399831874945</v>
      </c>
      <c r="D68" s="633">
        <f t="shared" si="8"/>
        <v>13616.423863818705</v>
      </c>
      <c r="E68" s="634">
        <f>'COEFIC 2023'!P61</f>
        <v>0.30909086115032519</v>
      </c>
      <c r="F68" s="635">
        <f t="shared" si="9"/>
        <v>25036.359753176341</v>
      </c>
      <c r="G68" s="653">
        <f>FPART!J69</f>
        <v>0.73658381055873901</v>
      </c>
      <c r="H68" s="637">
        <f t="shared" si="10"/>
        <v>13258.508590057301</v>
      </c>
      <c r="I68" s="638">
        <f t="shared" si="11"/>
        <v>51911.292207052349</v>
      </c>
      <c r="J68" s="613">
        <v>0.168104</v>
      </c>
      <c r="K68" s="613">
        <v>0.30653599999999998</v>
      </c>
      <c r="L68" s="613">
        <v>0.73707100000000003</v>
      </c>
      <c r="M68" s="639">
        <f t="shared" si="12"/>
        <v>-1.681250555440883E-9</v>
      </c>
      <c r="N68" s="640">
        <f t="shared" si="13"/>
        <v>-2.5548611503252161E-3</v>
      </c>
      <c r="O68" s="641">
        <f t="shared" si="14"/>
        <v>4.871894412610267E-4</v>
      </c>
    </row>
    <row r="69" spans="1:15" s="613" customFormat="1" x14ac:dyDescent="0.2">
      <c r="A69" s="631">
        <v>55</v>
      </c>
      <c r="B69" s="631" t="s">
        <v>347</v>
      </c>
      <c r="C69" s="632">
        <f>'COEFIC 2023'!I62</f>
        <v>0.96301290882037449</v>
      </c>
      <c r="D69" s="633">
        <f t="shared" si="8"/>
        <v>78004.045614450326</v>
      </c>
      <c r="E69" s="634">
        <f>'COEFIC 2023'!P62</f>
        <v>0.80325130971927761</v>
      </c>
      <c r="F69" s="635">
        <f t="shared" si="9"/>
        <v>65063.356087261491</v>
      </c>
      <c r="G69" s="653">
        <f>FPART!J70</f>
        <v>1.1400301061832034</v>
      </c>
      <c r="H69" s="637">
        <f t="shared" si="10"/>
        <v>20520.54191129766</v>
      </c>
      <c r="I69" s="638">
        <f t="shared" si="11"/>
        <v>163587.94361300947</v>
      </c>
      <c r="J69" s="613">
        <v>0.96301300000000001</v>
      </c>
      <c r="K69" s="613">
        <v>0.81826600000000005</v>
      </c>
      <c r="L69" s="613">
        <v>1.1251119999999999</v>
      </c>
      <c r="M69" s="639">
        <f t="shared" si="12"/>
        <v>-9.1179625516524254E-8</v>
      </c>
      <c r="N69" s="640">
        <f t="shared" si="13"/>
        <v>1.5014690280722442E-2</v>
      </c>
      <c r="O69" s="641">
        <f t="shared" si="14"/>
        <v>-1.491810618320355E-2</v>
      </c>
    </row>
    <row r="70" spans="1:15" s="613" customFormat="1" x14ac:dyDescent="0.2">
      <c r="A70" s="631">
        <v>56</v>
      </c>
      <c r="B70" s="631" t="s">
        <v>348</v>
      </c>
      <c r="C70" s="632">
        <f>'COEFIC 2023'!I63</f>
        <v>0.68644045311218771</v>
      </c>
      <c r="D70" s="633">
        <f t="shared" si="8"/>
        <v>55601.676702087199</v>
      </c>
      <c r="E70" s="634">
        <f>'COEFIC 2023'!P63</f>
        <v>0.46532661427820704</v>
      </c>
      <c r="F70" s="635">
        <f t="shared" si="9"/>
        <v>37691.455756534771</v>
      </c>
      <c r="G70" s="653">
        <f>FPART!J71</f>
        <v>1.2461723056435674</v>
      </c>
      <c r="H70" s="637">
        <f t="shared" si="10"/>
        <v>22431.101501584213</v>
      </c>
      <c r="I70" s="638">
        <f t="shared" si="11"/>
        <v>115724.23396020618</v>
      </c>
      <c r="J70" s="643">
        <v>0.68644000000000005</v>
      </c>
      <c r="K70" s="643">
        <v>0.44658399999999998</v>
      </c>
      <c r="L70" s="643">
        <v>1.2608379999999999</v>
      </c>
      <c r="M70" s="639">
        <f t="shared" si="12"/>
        <v>4.5311218765942129E-7</v>
      </c>
      <c r="N70" s="640">
        <f t="shared" si="13"/>
        <v>-1.8742614278207059E-2</v>
      </c>
      <c r="O70" s="641">
        <f t="shared" si="14"/>
        <v>1.4665694356432502E-2</v>
      </c>
    </row>
    <row r="71" spans="1:15" s="643" customFormat="1" x14ac:dyDescent="0.2">
      <c r="A71" s="631">
        <v>57</v>
      </c>
      <c r="B71" s="631" t="s">
        <v>65</v>
      </c>
      <c r="C71" s="632">
        <f>'COEFIC 2023'!I64</f>
        <v>0.17258929853694982</v>
      </c>
      <c r="D71" s="633">
        <f t="shared" si="8"/>
        <v>13979.733181492935</v>
      </c>
      <c r="E71" s="634">
        <f>'COEFIC 2023'!P64</f>
        <v>0.74491573722474513</v>
      </c>
      <c r="F71" s="635">
        <f t="shared" si="9"/>
        <v>60338.174715204354</v>
      </c>
      <c r="G71" s="653">
        <f>FPART!J72</f>
        <v>0.3933193291422255</v>
      </c>
      <c r="H71" s="637">
        <f t="shared" si="10"/>
        <v>7079.7479245600589</v>
      </c>
      <c r="I71" s="638">
        <f t="shared" si="11"/>
        <v>81397.655821257344</v>
      </c>
      <c r="J71" s="613">
        <v>0.17258899999999999</v>
      </c>
      <c r="K71" s="613">
        <v>0.76302800000000004</v>
      </c>
      <c r="L71" s="613">
        <v>0.38389400000000001</v>
      </c>
      <c r="M71" s="639">
        <f t="shared" si="12"/>
        <v>2.9853694982762136E-7</v>
      </c>
      <c r="N71" s="640">
        <f t="shared" si="13"/>
        <v>1.8112262775254906E-2</v>
      </c>
      <c r="O71" s="641">
        <f t="shared" si="14"/>
        <v>-9.4253291422254915E-3</v>
      </c>
    </row>
    <row r="72" spans="1:15" s="613" customFormat="1" x14ac:dyDescent="0.2">
      <c r="A72" s="631">
        <v>58</v>
      </c>
      <c r="B72" s="631" t="s">
        <v>134</v>
      </c>
      <c r="C72" s="632">
        <f>'COEFIC 2023'!I65</f>
        <v>0.44181260036648906</v>
      </c>
      <c r="D72" s="633">
        <f t="shared" si="8"/>
        <v>35786.820629685615</v>
      </c>
      <c r="E72" s="634">
        <f>'COEFIC 2023'!P65</f>
        <v>0.50525093226213014</v>
      </c>
      <c r="F72" s="635">
        <f t="shared" si="9"/>
        <v>40925.325513232543</v>
      </c>
      <c r="G72" s="653">
        <f>FPART!J73</f>
        <v>0.97543619400196546</v>
      </c>
      <c r="H72" s="637">
        <f t="shared" si="10"/>
        <v>17557.851492035381</v>
      </c>
      <c r="I72" s="638">
        <f t="shared" si="11"/>
        <v>94269.997634953528</v>
      </c>
      <c r="J72" s="613">
        <v>0.44181300000000001</v>
      </c>
      <c r="K72" s="613">
        <v>0.49731500000000001</v>
      </c>
      <c r="L72" s="613">
        <v>0.97905900000000001</v>
      </c>
      <c r="M72" s="639">
        <f t="shared" si="12"/>
        <v>-3.996335109501814E-7</v>
      </c>
      <c r="N72" s="640">
        <f t="shared" si="13"/>
        <v>-7.9359322621301298E-3</v>
      </c>
      <c r="O72" s="641">
        <f t="shared" si="14"/>
        <v>3.6228059980345506E-3</v>
      </c>
    </row>
    <row r="73" spans="1:15" s="613" customFormat="1" x14ac:dyDescent="0.2">
      <c r="A73" s="631">
        <v>59</v>
      </c>
      <c r="B73" s="631" t="s">
        <v>136</v>
      </c>
      <c r="C73" s="632">
        <f>'COEFIC 2023'!I66</f>
        <v>0.19008828671218228</v>
      </c>
      <c r="D73" s="633">
        <f t="shared" si="8"/>
        <v>15397.151223686764</v>
      </c>
      <c r="E73" s="634">
        <f>'COEFIC 2023'!P66</f>
        <v>0.34163452441152531</v>
      </c>
      <c r="F73" s="635">
        <f t="shared" si="9"/>
        <v>27672.39647733355</v>
      </c>
      <c r="G73" s="653">
        <f>FPART!J74</f>
        <v>0.74749784840191158</v>
      </c>
      <c r="H73" s="637">
        <f t="shared" si="10"/>
        <v>13454.961271234408</v>
      </c>
      <c r="I73" s="638">
        <f t="shared" si="11"/>
        <v>56524.508972254727</v>
      </c>
      <c r="J73" s="613">
        <v>0.19008800000000001</v>
      </c>
      <c r="K73" s="613">
        <v>0.33957900000000002</v>
      </c>
      <c r="L73" s="613">
        <v>0.74687499999999996</v>
      </c>
      <c r="M73" s="639">
        <f t="shared" si="12"/>
        <v>2.867121822736074E-7</v>
      </c>
      <c r="N73" s="640">
        <f t="shared" si="13"/>
        <v>-2.0555244115252891E-3</v>
      </c>
      <c r="O73" s="641">
        <f t="shared" si="14"/>
        <v>-6.2284840191162427E-4</v>
      </c>
    </row>
    <row r="74" spans="1:15" s="613" customFormat="1" x14ac:dyDescent="0.2">
      <c r="A74" s="631">
        <v>60</v>
      </c>
      <c r="B74" s="631" t="s">
        <v>137</v>
      </c>
      <c r="C74" s="632">
        <f>'COEFIC 2023'!I67</f>
        <v>0.19872196318853044</v>
      </c>
      <c r="D74" s="633">
        <f t="shared" si="8"/>
        <v>16096.479018270968</v>
      </c>
      <c r="E74" s="634">
        <f>'COEFIC 2023'!P67</f>
        <v>0.41133216924457244</v>
      </c>
      <c r="F74" s="635">
        <f t="shared" si="9"/>
        <v>33317.905708810365</v>
      </c>
      <c r="G74" s="653">
        <f>FPART!J75</f>
        <v>0.68111019086876712</v>
      </c>
      <c r="H74" s="637">
        <f t="shared" si="10"/>
        <v>12259.983435637809</v>
      </c>
      <c r="I74" s="638">
        <f t="shared" si="11"/>
        <v>61674.36816271914</v>
      </c>
      <c r="J74" s="613">
        <v>0.19872200000000001</v>
      </c>
      <c r="K74" s="613">
        <v>0.40887600000000002</v>
      </c>
      <c r="L74" s="613">
        <v>0.68065200000000003</v>
      </c>
      <c r="M74" s="639">
        <f t="shared" si="12"/>
        <v>-3.6811469567021859E-8</v>
      </c>
      <c r="N74" s="640">
        <f t="shared" si="13"/>
        <v>-2.4561692445724259E-3</v>
      </c>
      <c r="O74" s="641">
        <f t="shared" si="14"/>
        <v>-4.5819086876708326E-4</v>
      </c>
    </row>
    <row r="75" spans="1:15" s="613" customFormat="1" x14ac:dyDescent="0.2">
      <c r="A75" s="631">
        <v>61</v>
      </c>
      <c r="B75" s="631" t="s">
        <v>135</v>
      </c>
      <c r="C75" s="632">
        <f>'COEFIC 2023'!I68</f>
        <v>0.52168463664646103</v>
      </c>
      <c r="D75" s="633">
        <f t="shared" si="8"/>
        <v>42256.455568363344</v>
      </c>
      <c r="E75" s="634">
        <f>'COEFIC 2023'!P68</f>
        <v>0.59684263357744027</v>
      </c>
      <c r="F75" s="635">
        <f t="shared" si="9"/>
        <v>48344.253319772666</v>
      </c>
      <c r="G75" s="653">
        <f>FPART!J76</f>
        <v>0.97521720136537549</v>
      </c>
      <c r="H75" s="637">
        <f t="shared" si="10"/>
        <v>17553.909624576758</v>
      </c>
      <c r="I75" s="638">
        <f t="shared" si="11"/>
        <v>108154.61851271277</v>
      </c>
      <c r="J75" s="613">
        <v>0.52168499999999995</v>
      </c>
      <c r="K75" s="613">
        <v>0.59089899999999995</v>
      </c>
      <c r="L75" s="613">
        <v>0.975823</v>
      </c>
      <c r="M75" s="639">
        <f t="shared" si="12"/>
        <v>-3.6335353892358313E-7</v>
      </c>
      <c r="N75" s="640">
        <f t="shared" si="13"/>
        <v>-5.9436335774403215E-3</v>
      </c>
      <c r="O75" s="641">
        <f t="shared" si="14"/>
        <v>6.0579863462451033E-4</v>
      </c>
    </row>
    <row r="76" spans="1:15" s="613" customFormat="1" x14ac:dyDescent="0.2">
      <c r="A76" s="631">
        <v>62</v>
      </c>
      <c r="B76" s="631" t="s">
        <v>113</v>
      </c>
      <c r="C76" s="632">
        <f>'COEFIC 2023'!I69</f>
        <v>0.44280231449914359</v>
      </c>
      <c r="D76" s="633">
        <f t="shared" si="8"/>
        <v>35866.987474430629</v>
      </c>
      <c r="E76" s="634">
        <f>'COEFIC 2023'!P69</f>
        <v>0.48709064033904148</v>
      </c>
      <c r="F76" s="635">
        <f t="shared" si="9"/>
        <v>39454.341867462361</v>
      </c>
      <c r="G76" s="653">
        <f>FPART!J77</f>
        <v>0.99567317695291968</v>
      </c>
      <c r="H76" s="637">
        <f t="shared" si="10"/>
        <v>17922.117185152554</v>
      </c>
      <c r="I76" s="638">
        <f t="shared" si="11"/>
        <v>93243.446527045555</v>
      </c>
      <c r="J76" s="613">
        <v>0.44280199999999997</v>
      </c>
      <c r="K76" s="613">
        <v>0.47675600000000001</v>
      </c>
      <c r="L76" s="613">
        <v>1.002135</v>
      </c>
      <c r="M76" s="639">
        <f t="shared" si="12"/>
        <v>3.1449914361658671E-7</v>
      </c>
      <c r="N76" s="640">
        <f t="shared" si="13"/>
        <v>-1.0334640339041468E-2</v>
      </c>
      <c r="O76" s="641">
        <f t="shared" si="14"/>
        <v>6.4618230470803173E-3</v>
      </c>
    </row>
    <row r="77" spans="1:15" s="613" customFormat="1" x14ac:dyDescent="0.2">
      <c r="A77" s="631">
        <v>63</v>
      </c>
      <c r="B77" s="631" t="s">
        <v>123</v>
      </c>
      <c r="C77" s="632">
        <f>'COEFIC 2023'!I70</f>
        <v>0.31352880257645754</v>
      </c>
      <c r="D77" s="633">
        <f t="shared" si="8"/>
        <v>25395.833008693062</v>
      </c>
      <c r="E77" s="634">
        <f>'COEFIC 2023'!P70</f>
        <v>0.41328818544046847</v>
      </c>
      <c r="F77" s="635">
        <f t="shared" si="9"/>
        <v>33476.343020677945</v>
      </c>
      <c r="G77" s="653">
        <f>FPART!J78</f>
        <v>0.90197034059299264</v>
      </c>
      <c r="H77" s="637">
        <f t="shared" si="10"/>
        <v>16235.466130673865</v>
      </c>
      <c r="I77" s="638">
        <f t="shared" si="11"/>
        <v>75107.642160044881</v>
      </c>
      <c r="J77" s="613">
        <v>0.313529</v>
      </c>
      <c r="K77" s="613">
        <v>0.40459000000000001</v>
      </c>
      <c r="L77" s="613">
        <v>0.90860799999999997</v>
      </c>
      <c r="M77" s="639">
        <f t="shared" si="12"/>
        <v>-1.974235424584414E-7</v>
      </c>
      <c r="N77" s="640">
        <f t="shared" si="13"/>
        <v>-8.6981854404684644E-3</v>
      </c>
      <c r="O77" s="641">
        <f t="shared" si="14"/>
        <v>6.6376594070073347E-3</v>
      </c>
    </row>
    <row r="78" spans="1:15" s="613" customFormat="1" x14ac:dyDescent="0.2">
      <c r="A78" s="631">
        <v>64</v>
      </c>
      <c r="B78" s="631" t="s">
        <v>74</v>
      </c>
      <c r="C78" s="632">
        <f>'COEFIC 2023'!I71</f>
        <v>0.56502148100822813</v>
      </c>
      <c r="D78" s="633">
        <f t="shared" si="8"/>
        <v>45766.739961666477</v>
      </c>
      <c r="E78" s="634">
        <f>'COEFIC 2023'!P71</f>
        <v>0.68085562816258149</v>
      </c>
      <c r="F78" s="635">
        <f t="shared" si="9"/>
        <v>55149.305881169101</v>
      </c>
      <c r="G78" s="653">
        <f>FPART!J79</f>
        <v>0.94826481243502747</v>
      </c>
      <c r="H78" s="637">
        <f t="shared" si="10"/>
        <v>17068.766623830496</v>
      </c>
      <c r="I78" s="638">
        <f t="shared" si="11"/>
        <v>117984.81246666607</v>
      </c>
      <c r="J78" s="613">
        <v>0.565021</v>
      </c>
      <c r="K78" s="613">
        <v>0.66598400000000002</v>
      </c>
      <c r="L78" s="613">
        <v>0.95521400000000001</v>
      </c>
      <c r="M78" s="639">
        <f t="shared" si="12"/>
        <v>4.8100822813701427E-7</v>
      </c>
      <c r="N78" s="640">
        <f t="shared" si="13"/>
        <v>-1.4871628162581474E-2</v>
      </c>
      <c r="O78" s="641">
        <f t="shared" si="14"/>
        <v>6.9491875649725365E-3</v>
      </c>
    </row>
    <row r="79" spans="1:15" s="613" customFormat="1" x14ac:dyDescent="0.2">
      <c r="A79" s="631">
        <v>65</v>
      </c>
      <c r="B79" s="631" t="s">
        <v>89</v>
      </c>
      <c r="C79" s="632">
        <f>'COEFIC 2023'!I72</f>
        <v>0.83508709273789883</v>
      </c>
      <c r="D79" s="633">
        <f t="shared" ref="D79:D110" si="15">$F$8*C79%</f>
        <v>67642.054511769806</v>
      </c>
      <c r="E79" s="634">
        <f>'COEFIC 2023'!P72</f>
        <v>0.61494319721037083</v>
      </c>
      <c r="F79" s="635">
        <f t="shared" ref="F79:F110" si="16">$F$9*E79%</f>
        <v>49810.398974040043</v>
      </c>
      <c r="G79" s="653">
        <f>FPART!J80</f>
        <v>1.204188788717512</v>
      </c>
      <c r="H79" s="637">
        <f t="shared" ref="H79:H110" si="17">$F$10*G79%</f>
        <v>21675.398196915216</v>
      </c>
      <c r="I79" s="638">
        <f t="shared" ref="I79:I110" si="18">D79+F79+H79</f>
        <v>139127.85168272507</v>
      </c>
      <c r="J79" s="613">
        <v>0.83508700000000002</v>
      </c>
      <c r="K79" s="613">
        <v>0.59704800000000002</v>
      </c>
      <c r="L79" s="613">
        <v>1.2135100000000001</v>
      </c>
      <c r="M79" s="639">
        <f t="shared" ref="M79:M110" si="19">C79-J79</f>
        <v>9.2737898804706731E-8</v>
      </c>
      <c r="N79" s="640">
        <f t="shared" ref="N79:N110" si="20">K79-E79</f>
        <v>-1.7895197210370806E-2</v>
      </c>
      <c r="O79" s="641">
        <f t="shared" ref="O79:O110" si="21">L79-G79</f>
        <v>9.3212112824880844E-3</v>
      </c>
    </row>
    <row r="80" spans="1:15" s="613" customFormat="1" x14ac:dyDescent="0.2">
      <c r="A80" s="631">
        <v>66</v>
      </c>
      <c r="B80" s="631" t="s">
        <v>118</v>
      </c>
      <c r="C80" s="632">
        <f>'COEFIC 2023'!I73</f>
        <v>2.0717033148684965</v>
      </c>
      <c r="D80" s="633">
        <f t="shared" si="15"/>
        <v>167807.96850434819</v>
      </c>
      <c r="E80" s="634">
        <f>'COEFIC 2023'!P73</f>
        <v>1.3350772698902451</v>
      </c>
      <c r="F80" s="635">
        <f t="shared" si="16"/>
        <v>108141.25886110986</v>
      </c>
      <c r="G80" s="653">
        <f>FPART!J81</f>
        <v>1.2715202471937566</v>
      </c>
      <c r="H80" s="637">
        <f t="shared" si="17"/>
        <v>22887.364449487617</v>
      </c>
      <c r="I80" s="638">
        <f t="shared" si="18"/>
        <v>298836.59181494563</v>
      </c>
      <c r="J80" s="613">
        <v>2.0717029999999999</v>
      </c>
      <c r="K80" s="613">
        <v>1.3229230000000001</v>
      </c>
      <c r="L80" s="613">
        <v>1.270081</v>
      </c>
      <c r="M80" s="639">
        <f t="shared" si="19"/>
        <v>3.1486849660922189E-7</v>
      </c>
      <c r="N80" s="640">
        <f t="shared" si="20"/>
        <v>-1.215426989024504E-2</v>
      </c>
      <c r="O80" s="641">
        <f t="shared" si="21"/>
        <v>-1.4392471937565432E-3</v>
      </c>
    </row>
    <row r="81" spans="1:15" s="613" customFormat="1" x14ac:dyDescent="0.2">
      <c r="A81" s="631">
        <v>67</v>
      </c>
      <c r="B81" s="631" t="s">
        <v>120</v>
      </c>
      <c r="C81" s="632">
        <f>'COEFIC 2023'!I74</f>
        <v>0.35000082125215265</v>
      </c>
      <c r="D81" s="633">
        <f t="shared" si="15"/>
        <v>28350.066521424367</v>
      </c>
      <c r="E81" s="634">
        <f>'COEFIC 2023'!P74</f>
        <v>0.49564708763613402</v>
      </c>
      <c r="F81" s="635">
        <f t="shared" si="16"/>
        <v>40147.41409852686</v>
      </c>
      <c r="G81" s="653">
        <f>FPART!J82</f>
        <v>0.8654049337071944</v>
      </c>
      <c r="H81" s="637">
        <f t="shared" si="17"/>
        <v>15577.288806729499</v>
      </c>
      <c r="I81" s="638">
        <f t="shared" si="18"/>
        <v>84074.769426680723</v>
      </c>
      <c r="J81" s="613">
        <v>0.35000100000000001</v>
      </c>
      <c r="K81" s="613">
        <v>0.48875299999999999</v>
      </c>
      <c r="L81" s="613">
        <v>0.868421</v>
      </c>
      <c r="M81" s="639">
        <f t="shared" si="19"/>
        <v>-1.7874784735694149E-7</v>
      </c>
      <c r="N81" s="640">
        <f t="shared" si="20"/>
        <v>-6.8940876361340275E-3</v>
      </c>
      <c r="O81" s="641">
        <f t="shared" si="21"/>
        <v>3.016066292805597E-3</v>
      </c>
    </row>
    <row r="82" spans="1:15" s="613" customFormat="1" x14ac:dyDescent="0.2">
      <c r="A82" s="631">
        <v>68</v>
      </c>
      <c r="B82" s="631" t="s">
        <v>144</v>
      </c>
      <c r="C82" s="632">
        <f>'COEFIC 2023'!I75</f>
        <v>0.61886614137413598</v>
      </c>
      <c r="D82" s="633">
        <f t="shared" si="15"/>
        <v>50128.157451305015</v>
      </c>
      <c r="E82" s="634">
        <f>'COEFIC 2023'!P75</f>
        <v>0.67531065033607796</v>
      </c>
      <c r="F82" s="635">
        <f t="shared" si="16"/>
        <v>54700.16267722231</v>
      </c>
      <c r="G82" s="653">
        <f>FPART!J83</f>
        <v>0.99986875676695242</v>
      </c>
      <c r="H82" s="637">
        <f t="shared" si="17"/>
        <v>17997.637621805141</v>
      </c>
      <c r="I82" s="638">
        <f t="shared" si="18"/>
        <v>122825.95775033247</v>
      </c>
      <c r="J82" s="613">
        <v>0.61886600000000003</v>
      </c>
      <c r="K82" s="613">
        <v>0.67108999999999996</v>
      </c>
      <c r="L82" s="613">
        <v>0.99843000000000004</v>
      </c>
      <c r="M82" s="639">
        <f t="shared" si="19"/>
        <v>1.4137413595349813E-7</v>
      </c>
      <c r="N82" s="640">
        <f t="shared" si="20"/>
        <v>-4.2206503360779912E-3</v>
      </c>
      <c r="O82" s="641">
        <f t="shared" si="21"/>
        <v>-1.438756766952376E-3</v>
      </c>
    </row>
    <row r="83" spans="1:15" s="613" customFormat="1" x14ac:dyDescent="0.2">
      <c r="A83" s="631">
        <v>69</v>
      </c>
      <c r="B83" s="631" t="s">
        <v>84</v>
      </c>
      <c r="C83" s="632">
        <f>'COEFIC 2023'!I76</f>
        <v>2.2424395316251569</v>
      </c>
      <c r="D83" s="633">
        <f t="shared" si="15"/>
        <v>181637.60206163771</v>
      </c>
      <c r="E83" s="634">
        <f>'COEFIC 2023'!P76</f>
        <v>1.9355321382709125</v>
      </c>
      <c r="F83" s="635">
        <f t="shared" si="16"/>
        <v>156778.10319994393</v>
      </c>
      <c r="G83" s="653">
        <f>FPART!J84</f>
        <v>1.12226426101586</v>
      </c>
      <c r="H83" s="637">
        <f t="shared" si="17"/>
        <v>20200.756698285481</v>
      </c>
      <c r="I83" s="638">
        <f t="shared" si="18"/>
        <v>358616.4619598671</v>
      </c>
      <c r="J83" s="613">
        <v>2.2424400000000002</v>
      </c>
      <c r="K83" s="613">
        <v>1.944034</v>
      </c>
      <c r="L83" s="613">
        <v>1.1147260000000001</v>
      </c>
      <c r="M83" s="639">
        <f t="shared" si="19"/>
        <v>-4.6837484335426893E-7</v>
      </c>
      <c r="N83" s="640">
        <f t="shared" si="20"/>
        <v>8.501861729087512E-3</v>
      </c>
      <c r="O83" s="641">
        <f t="shared" si="21"/>
        <v>-7.5382610158598595E-3</v>
      </c>
    </row>
    <row r="84" spans="1:15" s="613" customFormat="1" x14ac:dyDescent="0.2">
      <c r="A84" s="631">
        <v>70</v>
      </c>
      <c r="B84" s="631" t="s">
        <v>53</v>
      </c>
      <c r="C84" s="632">
        <f>'COEFIC 2023'!I77</f>
        <v>0.32645825954347646</v>
      </c>
      <c r="D84" s="633">
        <f t="shared" si="15"/>
        <v>26443.119023021594</v>
      </c>
      <c r="E84" s="634">
        <f>'COEFIC 2023'!P77</f>
        <v>0.45201662211357152</v>
      </c>
      <c r="F84" s="635">
        <f t="shared" si="16"/>
        <v>36613.346391199295</v>
      </c>
      <c r="G84" s="653">
        <f>FPART!J85</f>
        <v>0.87684522131647236</v>
      </c>
      <c r="H84" s="637">
        <f t="shared" si="17"/>
        <v>15783.213983696502</v>
      </c>
      <c r="I84" s="638">
        <f t="shared" si="18"/>
        <v>78839.679397917396</v>
      </c>
      <c r="J84" s="613">
        <v>0.32645800000000003</v>
      </c>
      <c r="K84" s="613">
        <v>0.464144</v>
      </c>
      <c r="L84" s="613">
        <v>0.85934100000000002</v>
      </c>
      <c r="M84" s="639">
        <f t="shared" si="19"/>
        <v>2.5954347643297737E-7</v>
      </c>
      <c r="N84" s="640">
        <f t="shared" si="20"/>
        <v>1.2127377886428481E-2</v>
      </c>
      <c r="O84" s="641">
        <f t="shared" si="21"/>
        <v>-1.7504221316472335E-2</v>
      </c>
    </row>
    <row r="85" spans="1:15" s="613" customFormat="1" x14ac:dyDescent="0.2">
      <c r="A85" s="631">
        <v>71</v>
      </c>
      <c r="B85" s="631" t="s">
        <v>143</v>
      </c>
      <c r="C85" s="632">
        <f>'COEFIC 2023'!I78</f>
        <v>1.4584595920777386</v>
      </c>
      <c r="D85" s="633">
        <f t="shared" si="15"/>
        <v>118135.22695829683</v>
      </c>
      <c r="E85" s="634">
        <f>'COEFIC 2023'!P78</f>
        <v>1.0305721617264547</v>
      </c>
      <c r="F85" s="635">
        <f t="shared" si="16"/>
        <v>83476.345099842831</v>
      </c>
      <c r="G85" s="653">
        <f>FPART!J86</f>
        <v>1.2251911375010087</v>
      </c>
      <c r="H85" s="637">
        <f t="shared" si="17"/>
        <v>22053.440475018157</v>
      </c>
      <c r="I85" s="638">
        <f t="shared" si="18"/>
        <v>223665.01253315783</v>
      </c>
      <c r="J85" s="613">
        <v>1.4584600000000001</v>
      </c>
      <c r="K85" s="613">
        <v>0.99449900000000002</v>
      </c>
      <c r="L85" s="613">
        <v>1.2373700000000001</v>
      </c>
      <c r="M85" s="639">
        <f t="shared" si="19"/>
        <v>-4.0792226152497335E-7</v>
      </c>
      <c r="N85" s="640">
        <f t="shared" si="20"/>
        <v>-3.6073161726454694E-2</v>
      </c>
      <c r="O85" s="641">
        <f t="shared" si="21"/>
        <v>1.2178862498991361E-2</v>
      </c>
    </row>
    <row r="86" spans="1:15" s="613" customFormat="1" x14ac:dyDescent="0.2">
      <c r="A86" s="631">
        <v>72</v>
      </c>
      <c r="B86" s="631" t="s">
        <v>132</v>
      </c>
      <c r="C86" s="632">
        <f>'COEFIC 2023'!I79</f>
        <v>0.29398721289340612</v>
      </c>
      <c r="D86" s="633">
        <f t="shared" si="15"/>
        <v>23812.964244365896</v>
      </c>
      <c r="E86" s="634">
        <f>'COEFIC 2023'!P79</f>
        <v>0.37946277923825678</v>
      </c>
      <c r="F86" s="635">
        <f t="shared" si="16"/>
        <v>30736.485118298799</v>
      </c>
      <c r="G86" s="653">
        <f>FPART!J87</f>
        <v>0.91277339179785055</v>
      </c>
      <c r="H86" s="637">
        <f t="shared" si="17"/>
        <v>16429.921052361307</v>
      </c>
      <c r="I86" s="638">
        <f t="shared" si="18"/>
        <v>70979.370415026002</v>
      </c>
      <c r="J86" s="613">
        <v>0.293987</v>
      </c>
      <c r="K86" s="613">
        <v>0.37590699999999999</v>
      </c>
      <c r="L86" s="613">
        <v>0.91330999999999996</v>
      </c>
      <c r="M86" s="639">
        <f t="shared" si="19"/>
        <v>2.1289340612629104E-7</v>
      </c>
      <c r="N86" s="640">
        <f t="shared" si="20"/>
        <v>-3.5557792382567843E-3</v>
      </c>
      <c r="O86" s="641">
        <f t="shared" si="21"/>
        <v>5.366082021494023E-4</v>
      </c>
    </row>
    <row r="87" spans="1:15" s="613" customFormat="1" x14ac:dyDescent="0.2">
      <c r="A87" s="631">
        <v>73</v>
      </c>
      <c r="B87" s="631" t="s">
        <v>85</v>
      </c>
      <c r="C87" s="632">
        <f>'COEFIC 2023'!I80</f>
        <v>0.5722653461493592</v>
      </c>
      <c r="D87" s="633">
        <f t="shared" si="15"/>
        <v>46353.493038098095</v>
      </c>
      <c r="E87" s="634">
        <f>'COEFIC 2023'!P80</f>
        <v>0.54450577422167679</v>
      </c>
      <c r="F87" s="635">
        <f t="shared" si="16"/>
        <v>44104.967711955818</v>
      </c>
      <c r="G87" s="653">
        <f>FPART!J88</f>
        <v>1.0714530756763703</v>
      </c>
      <c r="H87" s="637">
        <f t="shared" si="17"/>
        <v>19286.155362174664</v>
      </c>
      <c r="I87" s="638">
        <f t="shared" si="18"/>
        <v>109744.61611222857</v>
      </c>
      <c r="J87" s="613">
        <v>0.57226500000000002</v>
      </c>
      <c r="K87" s="613">
        <v>0.53395700000000001</v>
      </c>
      <c r="L87" s="613">
        <v>1.0765910000000001</v>
      </c>
      <c r="M87" s="639">
        <f t="shared" si="19"/>
        <v>3.4614935917609557E-7</v>
      </c>
      <c r="N87" s="640">
        <f t="shared" si="20"/>
        <v>-1.0548774221676771E-2</v>
      </c>
      <c r="O87" s="641">
        <f t="shared" si="21"/>
        <v>5.1379243236298056E-3</v>
      </c>
    </row>
    <row r="88" spans="1:15" s="613" customFormat="1" x14ac:dyDescent="0.2">
      <c r="A88" s="631">
        <v>74</v>
      </c>
      <c r="B88" s="652" t="s">
        <v>133</v>
      </c>
      <c r="C88" s="632">
        <f>'COEFIC 2023'!I81</f>
        <v>0.22222240940220003</v>
      </c>
      <c r="D88" s="633">
        <f t="shared" si="15"/>
        <v>18000.015161578202</v>
      </c>
      <c r="E88" s="634">
        <f>'COEFIC 2023'!P81</f>
        <v>0.30271862627818635</v>
      </c>
      <c r="F88" s="635">
        <f t="shared" si="16"/>
        <v>24520.208728533093</v>
      </c>
      <c r="G88" s="653">
        <f>FPART!J89</f>
        <v>0.88515068741753156</v>
      </c>
      <c r="H88" s="637">
        <f t="shared" si="17"/>
        <v>15932.712373515569</v>
      </c>
      <c r="I88" s="638">
        <f t="shared" si="18"/>
        <v>58452.936263626863</v>
      </c>
      <c r="J88" s="613">
        <v>0.222222</v>
      </c>
      <c r="K88" s="613">
        <v>0.29641000000000001</v>
      </c>
      <c r="L88" s="613">
        <v>0.89171100000000003</v>
      </c>
      <c r="M88" s="639">
        <f t="shared" si="19"/>
        <v>4.0940220003005123E-7</v>
      </c>
      <c r="N88" s="640">
        <f t="shared" si="20"/>
        <v>-6.3086262781863467E-3</v>
      </c>
      <c r="O88" s="641">
        <f t="shared" si="21"/>
        <v>6.5603125824684749E-3</v>
      </c>
    </row>
    <row r="89" spans="1:15" s="613" customFormat="1" x14ac:dyDescent="0.2">
      <c r="A89" s="631">
        <v>75</v>
      </c>
      <c r="B89" s="631" t="s">
        <v>146</v>
      </c>
      <c r="C89" s="632">
        <f>'COEFIC 2023'!I82</f>
        <v>1.6621932991720516</v>
      </c>
      <c r="D89" s="633">
        <f t="shared" si="15"/>
        <v>134637.65723293618</v>
      </c>
      <c r="E89" s="634">
        <f>'COEFIC 2023'!P82</f>
        <v>1.0263852879652673</v>
      </c>
      <c r="F89" s="635">
        <f t="shared" si="16"/>
        <v>83137.208325186642</v>
      </c>
      <c r="G89" s="653">
        <f>FPART!J90</f>
        <v>1.2927027552766872</v>
      </c>
      <c r="H89" s="637">
        <f t="shared" si="17"/>
        <v>23268.649594980372</v>
      </c>
      <c r="I89" s="638">
        <f t="shared" si="18"/>
        <v>241043.51515310319</v>
      </c>
      <c r="J89" s="613">
        <v>1.662193</v>
      </c>
      <c r="K89" s="613">
        <v>0.99728600000000001</v>
      </c>
      <c r="L89" s="613">
        <v>1.30071</v>
      </c>
      <c r="M89" s="639">
        <f t="shared" si="19"/>
        <v>2.9917205157659055E-7</v>
      </c>
      <c r="N89" s="640">
        <f t="shared" si="20"/>
        <v>-2.9099287965267284E-2</v>
      </c>
      <c r="O89" s="641">
        <f t="shared" si="21"/>
        <v>8.007244723312823E-3</v>
      </c>
    </row>
    <row r="90" spans="1:15" s="613" customFormat="1" x14ac:dyDescent="0.2">
      <c r="A90" s="631">
        <v>76</v>
      </c>
      <c r="B90" s="631" t="s">
        <v>148</v>
      </c>
      <c r="C90" s="632">
        <f>'COEFIC 2023'!I83</f>
        <v>1.6525488508155455</v>
      </c>
      <c r="D90" s="633">
        <f t="shared" si="15"/>
        <v>133856.45691605916</v>
      </c>
      <c r="E90" s="634">
        <f>'COEFIC 2023'!P83</f>
        <v>1.8504233032214761</v>
      </c>
      <c r="F90" s="635">
        <f t="shared" si="16"/>
        <v>149884.28756093956</v>
      </c>
      <c r="G90" s="653">
        <f>FPART!J91</f>
        <v>0.98641008576890343</v>
      </c>
      <c r="H90" s="637">
        <f t="shared" si="17"/>
        <v>17755.381543840263</v>
      </c>
      <c r="I90" s="638">
        <f t="shared" si="18"/>
        <v>301496.12602083897</v>
      </c>
      <c r="J90" s="613">
        <v>1.652549</v>
      </c>
      <c r="K90" s="613">
        <v>1.800073</v>
      </c>
      <c r="L90" s="613">
        <v>0.99609499999999995</v>
      </c>
      <c r="M90" s="639">
        <f t="shared" si="19"/>
        <v>-1.4918445456757468E-7</v>
      </c>
      <c r="N90" s="640">
        <f t="shared" si="20"/>
        <v>-5.0350303221476045E-2</v>
      </c>
      <c r="O90" s="641">
        <f t="shared" si="21"/>
        <v>9.6849142310965197E-3</v>
      </c>
    </row>
    <row r="91" spans="1:15" s="613" customFormat="1" x14ac:dyDescent="0.2">
      <c r="A91" s="631">
        <v>77</v>
      </c>
      <c r="B91" s="631" t="s">
        <v>45</v>
      </c>
      <c r="C91" s="632">
        <f>'COEFIC 2023'!I84</f>
        <v>0.37223780261562495</v>
      </c>
      <c r="D91" s="633">
        <f t="shared" si="15"/>
        <v>30151.262011865623</v>
      </c>
      <c r="E91" s="634">
        <f>'COEFIC 2023'!P84</f>
        <v>0.62678870776607709</v>
      </c>
      <c r="F91" s="635">
        <f t="shared" si="16"/>
        <v>50769.885329052246</v>
      </c>
      <c r="G91" s="653">
        <f>FPART!J92</f>
        <v>0.77908231415513252</v>
      </c>
      <c r="H91" s="637">
        <f t="shared" si="17"/>
        <v>14023.481654792386</v>
      </c>
      <c r="I91" s="638">
        <f t="shared" si="18"/>
        <v>94944.628995710256</v>
      </c>
      <c r="J91" s="613">
        <v>0.37223800000000001</v>
      </c>
      <c r="K91" s="613">
        <v>0.62886500000000001</v>
      </c>
      <c r="L91" s="613">
        <v>0.77381500000000003</v>
      </c>
      <c r="M91" s="639">
        <f t="shared" si="19"/>
        <v>-1.9738437506688911E-7</v>
      </c>
      <c r="N91" s="640">
        <f t="shared" si="20"/>
        <v>2.0762922339229162E-3</v>
      </c>
      <c r="O91" s="641">
        <f t="shared" si="21"/>
        <v>-5.2673141551324854E-3</v>
      </c>
    </row>
    <row r="92" spans="1:15" s="613" customFormat="1" x14ac:dyDescent="0.2">
      <c r="A92" s="631">
        <v>78</v>
      </c>
      <c r="B92" s="631" t="s">
        <v>349</v>
      </c>
      <c r="C92" s="632">
        <f>'COEFIC 2023'!I85</f>
        <v>0.26979186101212799</v>
      </c>
      <c r="D92" s="633">
        <f t="shared" si="15"/>
        <v>21853.140741982366</v>
      </c>
      <c r="E92" s="634">
        <f>'COEFIC 2023'!P85</f>
        <v>0.40979046274032732</v>
      </c>
      <c r="F92" s="635">
        <f t="shared" si="16"/>
        <v>33193.027481966514</v>
      </c>
      <c r="G92" s="653">
        <f>FPART!J93</f>
        <v>0.83009281053141881</v>
      </c>
      <c r="H92" s="637">
        <f t="shared" si="17"/>
        <v>14941.67058956554</v>
      </c>
      <c r="I92" s="638">
        <f t="shared" si="18"/>
        <v>69987.83881351442</v>
      </c>
      <c r="J92" s="613">
        <v>0.26979199999999998</v>
      </c>
      <c r="K92" s="613">
        <v>0.40129999999999999</v>
      </c>
      <c r="L92" s="613">
        <v>0.83664700000000003</v>
      </c>
      <c r="M92" s="639">
        <f t="shared" si="19"/>
        <v>-1.3898787198929341E-7</v>
      </c>
      <c r="N92" s="640">
        <f t="shared" si="20"/>
        <v>-8.4904627403273314E-3</v>
      </c>
      <c r="O92" s="641">
        <f t="shared" si="21"/>
        <v>6.5541894685812174E-3</v>
      </c>
    </row>
    <row r="93" spans="1:15" s="613" customFormat="1" x14ac:dyDescent="0.2">
      <c r="A93" s="631">
        <v>79</v>
      </c>
      <c r="B93" s="631" t="s">
        <v>138</v>
      </c>
      <c r="C93" s="632">
        <f>'COEFIC 2023'!I86</f>
        <v>1.0506973694240664</v>
      </c>
      <c r="D93" s="633">
        <f t="shared" si="15"/>
        <v>85106.486923349381</v>
      </c>
      <c r="E93" s="634">
        <f>'COEFIC 2023'!P86</f>
        <v>0.84314994921472297</v>
      </c>
      <c r="F93" s="635">
        <f t="shared" si="16"/>
        <v>68295.145886392565</v>
      </c>
      <c r="G93" s="653">
        <f>FPART!J94</f>
        <v>1.160038930477814</v>
      </c>
      <c r="H93" s="637">
        <f t="shared" si="17"/>
        <v>20880.700748600655</v>
      </c>
      <c r="I93" s="638">
        <f t="shared" si="18"/>
        <v>174282.33355834259</v>
      </c>
      <c r="J93" s="613">
        <v>1.050697</v>
      </c>
      <c r="K93" s="613">
        <v>0.82256499999999999</v>
      </c>
      <c r="L93" s="613">
        <v>1.167279</v>
      </c>
      <c r="M93" s="639">
        <f t="shared" si="19"/>
        <v>3.6942406644868697E-7</v>
      </c>
      <c r="N93" s="640">
        <f t="shared" si="20"/>
        <v>-2.0584949214722981E-2</v>
      </c>
      <c r="O93" s="641">
        <f t="shared" si="21"/>
        <v>7.2400695221859213E-3</v>
      </c>
    </row>
    <row r="94" spans="1:15" s="613" customFormat="1" x14ac:dyDescent="0.2">
      <c r="A94" s="631">
        <v>80</v>
      </c>
      <c r="B94" s="631" t="s">
        <v>93</v>
      </c>
      <c r="C94" s="632">
        <f>'COEFIC 2023'!I87</f>
        <v>0.41763830623271425</v>
      </c>
      <c r="D94" s="633">
        <f t="shared" si="15"/>
        <v>33828.702804849854</v>
      </c>
      <c r="E94" s="634">
        <f>'COEFIC 2023'!P87</f>
        <v>0.46314450232260923</v>
      </c>
      <c r="F94" s="635">
        <f t="shared" si="16"/>
        <v>37514.704688131351</v>
      </c>
      <c r="G94" s="653">
        <f>FPART!J95</f>
        <v>0.99145128306937969</v>
      </c>
      <c r="H94" s="637">
        <f t="shared" si="17"/>
        <v>17846.123095248833</v>
      </c>
      <c r="I94" s="638">
        <f t="shared" si="18"/>
        <v>89189.530588230031</v>
      </c>
      <c r="J94" s="613">
        <v>0.41763800000000001</v>
      </c>
      <c r="K94" s="613">
        <v>0.45292300000000002</v>
      </c>
      <c r="L94" s="613">
        <v>0.99838199999999999</v>
      </c>
      <c r="M94" s="639">
        <f t="shared" si="19"/>
        <v>3.062327142422383E-7</v>
      </c>
      <c r="N94" s="640">
        <f t="shared" si="20"/>
        <v>-1.0221502322609211E-2</v>
      </c>
      <c r="O94" s="641">
        <f t="shared" si="21"/>
        <v>6.9307169306203065E-3</v>
      </c>
    </row>
    <row r="95" spans="1:15" s="613" customFormat="1" x14ac:dyDescent="0.2">
      <c r="A95" s="631">
        <v>81</v>
      </c>
      <c r="B95" s="631" t="s">
        <v>116</v>
      </c>
      <c r="C95" s="632">
        <f>'COEFIC 2023'!I88</f>
        <v>0.19112011633984341</v>
      </c>
      <c r="D95" s="633">
        <f t="shared" si="15"/>
        <v>15480.729423527317</v>
      </c>
      <c r="E95" s="634">
        <f>'COEFIC 2023'!P88</f>
        <v>0.43209989462611942</v>
      </c>
      <c r="F95" s="635">
        <f t="shared" si="16"/>
        <v>35000.091464715668</v>
      </c>
      <c r="G95" s="653">
        <f>FPART!J96</f>
        <v>0.64121680254968882</v>
      </c>
      <c r="H95" s="637">
        <f t="shared" si="17"/>
        <v>11541.9024458944</v>
      </c>
      <c r="I95" s="638">
        <f t="shared" si="18"/>
        <v>62022.723334137379</v>
      </c>
      <c r="J95" s="613">
        <v>0.19112000000000001</v>
      </c>
      <c r="K95" s="613">
        <v>0.42940899999999999</v>
      </c>
      <c r="L95" s="613">
        <v>0.64097300000000001</v>
      </c>
      <c r="M95" s="639">
        <f t="shared" si="19"/>
        <v>1.163398433978724E-7</v>
      </c>
      <c r="N95" s="640">
        <f t="shared" si="20"/>
        <v>-2.6908946261194333E-3</v>
      </c>
      <c r="O95" s="641">
        <f t="shared" si="21"/>
        <v>-2.4380254968880966E-4</v>
      </c>
    </row>
    <row r="96" spans="1:15" s="613" customFormat="1" x14ac:dyDescent="0.2">
      <c r="A96" s="631">
        <v>82</v>
      </c>
      <c r="B96" s="631" t="s">
        <v>152</v>
      </c>
      <c r="C96" s="632">
        <f>'COEFIC 2023'!I89</f>
        <v>1.6749332364115408</v>
      </c>
      <c r="D96" s="633">
        <f t="shared" si="15"/>
        <v>135669.59214933479</v>
      </c>
      <c r="E96" s="634">
        <f>'COEFIC 2023'!P89</f>
        <v>1.3119994634053675</v>
      </c>
      <c r="F96" s="635">
        <f t="shared" si="16"/>
        <v>106271.95653583478</v>
      </c>
      <c r="G96" s="653">
        <f>FPART!J97</f>
        <v>1.1724975552384336</v>
      </c>
      <c r="H96" s="637">
        <f t="shared" si="17"/>
        <v>21104.955994291806</v>
      </c>
      <c r="I96" s="638">
        <f t="shared" si="18"/>
        <v>263046.50467946136</v>
      </c>
      <c r="J96" s="613">
        <v>1.674933</v>
      </c>
      <c r="K96" s="613">
        <v>1.2928919999999999</v>
      </c>
      <c r="L96" s="613">
        <v>1.1745049999999999</v>
      </c>
      <c r="M96" s="639">
        <f t="shared" si="19"/>
        <v>2.3641154078823945E-7</v>
      </c>
      <c r="N96" s="640">
        <f t="shared" si="20"/>
        <v>-1.910746340536762E-2</v>
      </c>
      <c r="O96" s="641">
        <f t="shared" si="21"/>
        <v>2.0074447615663349E-3</v>
      </c>
    </row>
    <row r="97" spans="1:15" s="613" customFormat="1" x14ac:dyDescent="0.2">
      <c r="A97" s="631">
        <v>83</v>
      </c>
      <c r="B97" s="631" t="s">
        <v>153</v>
      </c>
      <c r="C97" s="632">
        <f>'COEFIC 2023'!I90</f>
        <v>0.70444482722749913</v>
      </c>
      <c r="D97" s="633">
        <f t="shared" si="15"/>
        <v>57060.031005427431</v>
      </c>
      <c r="E97" s="634">
        <f>'COEFIC 2023'!P90</f>
        <v>0.84846349141285227</v>
      </c>
      <c r="F97" s="635">
        <f t="shared" si="16"/>
        <v>68725.542804441036</v>
      </c>
      <c r="G97" s="653">
        <f>FPART!J98</f>
        <v>0.94850811469966656</v>
      </c>
      <c r="H97" s="637">
        <f t="shared" si="17"/>
        <v>17073.146064593999</v>
      </c>
      <c r="I97" s="638">
        <f t="shared" si="18"/>
        <v>142858.71987446246</v>
      </c>
      <c r="J97" s="613">
        <v>0.70444499999999999</v>
      </c>
      <c r="K97" s="613">
        <v>0.82008700000000001</v>
      </c>
      <c r="L97" s="613">
        <v>0.96162599999999998</v>
      </c>
      <c r="M97" s="639">
        <f t="shared" si="19"/>
        <v>-1.7277250086156215E-7</v>
      </c>
      <c r="N97" s="640">
        <f t="shared" si="20"/>
        <v>-2.8376491412852256E-2</v>
      </c>
      <c r="O97" s="641">
        <f t="shared" si="21"/>
        <v>1.3117885300333421E-2</v>
      </c>
    </row>
    <row r="98" spans="1:15" s="613" customFormat="1" x14ac:dyDescent="0.2">
      <c r="A98" s="631">
        <v>84</v>
      </c>
      <c r="B98" s="631" t="s">
        <v>107</v>
      </c>
      <c r="C98" s="632">
        <f>'COEFIC 2023'!I91</f>
        <v>0.66786751981428749</v>
      </c>
      <c r="D98" s="633">
        <f t="shared" si="15"/>
        <v>54097.269104957282</v>
      </c>
      <c r="E98" s="634">
        <f>'COEFIC 2023'!P91</f>
        <v>0.50669760758141813</v>
      </c>
      <c r="F98" s="635">
        <f t="shared" si="16"/>
        <v>41042.506214094865</v>
      </c>
      <c r="G98" s="653">
        <f>FPART!J99</f>
        <v>1.1889212876884179</v>
      </c>
      <c r="H98" s="637">
        <f t="shared" si="17"/>
        <v>21400.583178391524</v>
      </c>
      <c r="I98" s="638">
        <f t="shared" si="18"/>
        <v>116540.35849744367</v>
      </c>
      <c r="J98" s="613">
        <v>0.66786800000000002</v>
      </c>
      <c r="K98" s="613">
        <v>0.48695899999999998</v>
      </c>
      <c r="L98" s="613">
        <v>1.2035640000000001</v>
      </c>
      <c r="M98" s="639">
        <f t="shared" si="19"/>
        <v>-4.8018571252583797E-7</v>
      </c>
      <c r="N98" s="640">
        <f t="shared" si="20"/>
        <v>-1.9738607581418155E-2</v>
      </c>
      <c r="O98" s="641">
        <f t="shared" si="21"/>
        <v>1.4642712311582207E-2</v>
      </c>
    </row>
    <row r="99" spans="1:15" s="613" customFormat="1" x14ac:dyDescent="0.2">
      <c r="A99" s="631">
        <v>85</v>
      </c>
      <c r="B99" s="631" t="s">
        <v>124</v>
      </c>
      <c r="C99" s="632">
        <f>'COEFIC 2023'!I92</f>
        <v>0.74241194597592763</v>
      </c>
      <c r="D99" s="633">
        <f t="shared" si="15"/>
        <v>60135.367624050137</v>
      </c>
      <c r="E99" s="634">
        <f>'COEFIC 2023'!P92</f>
        <v>0.66451015921013734</v>
      </c>
      <c r="F99" s="635">
        <f t="shared" si="16"/>
        <v>53825.322896021127</v>
      </c>
      <c r="G99" s="653">
        <f>FPART!J100</f>
        <v>1.1033537639277704</v>
      </c>
      <c r="H99" s="637">
        <f t="shared" si="17"/>
        <v>19860.367750699865</v>
      </c>
      <c r="I99" s="638">
        <f t="shared" si="18"/>
        <v>133821.05827077111</v>
      </c>
      <c r="J99" s="613">
        <v>0.74241199999999996</v>
      </c>
      <c r="K99" s="613">
        <v>0.64979600000000004</v>
      </c>
      <c r="L99" s="613">
        <v>1.1097790000000001</v>
      </c>
      <c r="M99" s="639">
        <f t="shared" si="19"/>
        <v>-5.4024072326797068E-8</v>
      </c>
      <c r="N99" s="640">
        <f t="shared" si="20"/>
        <v>-1.4714159210137301E-2</v>
      </c>
      <c r="O99" s="641">
        <f t="shared" si="21"/>
        <v>6.4252360722296675E-3</v>
      </c>
    </row>
    <row r="100" spans="1:15" s="613" customFormat="1" x14ac:dyDescent="0.2">
      <c r="A100" s="631">
        <v>86</v>
      </c>
      <c r="B100" s="631" t="s">
        <v>129</v>
      </c>
      <c r="C100" s="632">
        <f>'COEFIC 2023'!I93</f>
        <v>0.32711104971607841</v>
      </c>
      <c r="D100" s="633">
        <f t="shared" si="15"/>
        <v>26495.995027002351</v>
      </c>
      <c r="E100" s="634">
        <f>'COEFIC 2023'!P93</f>
        <v>0.39136182539384073</v>
      </c>
      <c r="F100" s="635">
        <f t="shared" si="16"/>
        <v>31700.307856901101</v>
      </c>
      <c r="G100" s="653">
        <f>FPART!J101</f>
        <v>0.9519731967183146</v>
      </c>
      <c r="H100" s="637">
        <f t="shared" si="17"/>
        <v>17135.517540929664</v>
      </c>
      <c r="I100" s="638">
        <f t="shared" si="18"/>
        <v>75331.820424833117</v>
      </c>
      <c r="J100" s="613">
        <v>0.32711099999999999</v>
      </c>
      <c r="K100" s="613">
        <v>0.390963</v>
      </c>
      <c r="L100" s="613">
        <v>0.94802900000000001</v>
      </c>
      <c r="M100" s="639">
        <f t="shared" si="19"/>
        <v>4.9716078420747323E-8</v>
      </c>
      <c r="N100" s="640">
        <f t="shared" si="20"/>
        <v>-3.9882539384072935E-4</v>
      </c>
      <c r="O100" s="641">
        <f t="shared" si="21"/>
        <v>-3.9441967183145854E-3</v>
      </c>
    </row>
    <row r="101" spans="1:15" s="613" customFormat="1" x14ac:dyDescent="0.2">
      <c r="A101" s="631">
        <v>87</v>
      </c>
      <c r="B101" s="631" t="s">
        <v>350</v>
      </c>
      <c r="C101" s="632">
        <f>'COEFIC 2023'!I94</f>
        <v>0.32826922582875923</v>
      </c>
      <c r="D101" s="633">
        <f t="shared" si="15"/>
        <v>26589.807292129495</v>
      </c>
      <c r="E101" s="634">
        <f>'COEFIC 2023'!P94</f>
        <v>0.36366268944449609</v>
      </c>
      <c r="F101" s="635">
        <f t="shared" si="16"/>
        <v>29456.677845004182</v>
      </c>
      <c r="G101" s="653">
        <f>FPART!J102</f>
        <v>0.9919886218149192</v>
      </c>
      <c r="H101" s="637">
        <f t="shared" si="17"/>
        <v>17855.795192668545</v>
      </c>
      <c r="I101" s="638">
        <f t="shared" si="18"/>
        <v>73902.280329802219</v>
      </c>
      <c r="J101" s="613">
        <v>0.32826899999999998</v>
      </c>
      <c r="K101" s="613">
        <v>0.35971599999999998</v>
      </c>
      <c r="L101" s="613">
        <v>0.99299499999999996</v>
      </c>
      <c r="M101" s="639">
        <f t="shared" si="19"/>
        <v>2.2582875924825885E-7</v>
      </c>
      <c r="N101" s="640">
        <f t="shared" si="20"/>
        <v>-3.9466894444961098E-3</v>
      </c>
      <c r="O101" s="641">
        <f t="shared" si="21"/>
        <v>1.0063781850807585E-3</v>
      </c>
    </row>
    <row r="102" spans="1:15" s="613" customFormat="1" x14ac:dyDescent="0.2">
      <c r="A102" s="631">
        <v>88</v>
      </c>
      <c r="B102" s="631" t="s">
        <v>99</v>
      </c>
      <c r="C102" s="632">
        <f>'COEFIC 2023'!I95</f>
        <v>2.411385839844038</v>
      </c>
      <c r="D102" s="633">
        <f t="shared" si="15"/>
        <v>195322.25302736709</v>
      </c>
      <c r="E102" s="634">
        <f>'COEFIC 2023'!P95</f>
        <v>1.5072208482992138</v>
      </c>
      <c r="F102" s="635">
        <f t="shared" si="16"/>
        <v>122084.88871223631</v>
      </c>
      <c r="G102" s="653">
        <f>FPART!J103</f>
        <v>1.2866929269784904</v>
      </c>
      <c r="H102" s="637">
        <f t="shared" si="17"/>
        <v>23160.472685612825</v>
      </c>
      <c r="I102" s="638">
        <f t="shared" si="18"/>
        <v>340567.61442521622</v>
      </c>
      <c r="J102" s="613">
        <v>2.4113859999999998</v>
      </c>
      <c r="K102" s="613">
        <v>1.441505</v>
      </c>
      <c r="L102" s="613">
        <v>1.302494</v>
      </c>
      <c r="M102" s="639">
        <f t="shared" si="19"/>
        <v>-1.6015596182583636E-7</v>
      </c>
      <c r="N102" s="640">
        <f t="shared" si="20"/>
        <v>-6.571584829921373E-2</v>
      </c>
      <c r="O102" s="641">
        <f t="shared" si="21"/>
        <v>1.5801073021509682E-2</v>
      </c>
    </row>
    <row r="103" spans="1:15" s="613" customFormat="1" x14ac:dyDescent="0.2">
      <c r="A103" s="631">
        <v>89</v>
      </c>
      <c r="B103" s="631" t="s">
        <v>55</v>
      </c>
      <c r="C103" s="632">
        <f>'COEFIC 2023'!I96</f>
        <v>0.50694421339415929</v>
      </c>
      <c r="D103" s="633">
        <f t="shared" si="15"/>
        <v>41062.4812849269</v>
      </c>
      <c r="E103" s="634">
        <f>'COEFIC 2023'!P96</f>
        <v>0.8277868069583757</v>
      </c>
      <c r="F103" s="635">
        <f t="shared" si="16"/>
        <v>67050.731363628423</v>
      </c>
      <c r="G103" s="653">
        <f>FPART!J104</f>
        <v>0.79415687293111992</v>
      </c>
      <c r="H103" s="637">
        <f t="shared" si="17"/>
        <v>14294.823712760159</v>
      </c>
      <c r="I103" s="638">
        <f t="shared" si="18"/>
        <v>122408.03636131548</v>
      </c>
      <c r="J103" s="613">
        <v>0.50694399999999995</v>
      </c>
      <c r="K103" s="613">
        <v>0.871946</v>
      </c>
      <c r="L103" s="613">
        <v>0.76511399999999996</v>
      </c>
      <c r="M103" s="639">
        <f t="shared" si="19"/>
        <v>2.1339415934296113E-7</v>
      </c>
      <c r="N103" s="640">
        <f t="shared" si="20"/>
        <v>4.4159193041624301E-2</v>
      </c>
      <c r="O103" s="641">
        <f t="shared" si="21"/>
        <v>-2.9042872931119956E-2</v>
      </c>
    </row>
    <row r="104" spans="1:15" s="613" customFormat="1" x14ac:dyDescent="0.2">
      <c r="A104" s="631">
        <v>90</v>
      </c>
      <c r="B104" s="631" t="s">
        <v>147</v>
      </c>
      <c r="C104" s="632">
        <f>'COEFIC 2023'!I97</f>
        <v>0.34376772799117933</v>
      </c>
      <c r="D104" s="633">
        <f t="shared" si="15"/>
        <v>27845.185967285528</v>
      </c>
      <c r="E104" s="634">
        <f>'COEFIC 2023'!P97</f>
        <v>0.35072713773174047</v>
      </c>
      <c r="F104" s="635">
        <f t="shared" si="16"/>
        <v>28408.898156270978</v>
      </c>
      <c r="G104" s="653">
        <f>FPART!J105</f>
        <v>1.0349895076901878</v>
      </c>
      <c r="H104" s="637">
        <f t="shared" si="17"/>
        <v>18629.811138423382</v>
      </c>
      <c r="I104" s="638">
        <f t="shared" si="18"/>
        <v>74883.89526197988</v>
      </c>
      <c r="J104" s="613">
        <v>0.34376800000000002</v>
      </c>
      <c r="K104" s="613">
        <v>0.33877000000000002</v>
      </c>
      <c r="L104" s="613">
        <v>1.0481750000000001</v>
      </c>
      <c r="M104" s="639">
        <f t="shared" si="19"/>
        <v>-2.7200882068978416E-7</v>
      </c>
      <c r="N104" s="640">
        <f t="shared" si="20"/>
        <v>-1.1957137731740453E-2</v>
      </c>
      <c r="O104" s="641">
        <f t="shared" si="21"/>
        <v>1.3185492309812252E-2</v>
      </c>
    </row>
    <row r="105" spans="1:15" s="613" customFormat="1" x14ac:dyDescent="0.2">
      <c r="A105" s="631">
        <v>91</v>
      </c>
      <c r="B105" s="631" t="s">
        <v>351</v>
      </c>
      <c r="C105" s="632">
        <f>'COEFIC 2023'!I98</f>
        <v>0.31447640121410547</v>
      </c>
      <c r="D105" s="633">
        <f t="shared" si="15"/>
        <v>25472.588498342542</v>
      </c>
      <c r="E105" s="634">
        <f>'COEFIC 2023'!P98</f>
        <v>0.3913826442102713</v>
      </c>
      <c r="F105" s="635">
        <f t="shared" si="16"/>
        <v>31701.99418103198</v>
      </c>
      <c r="G105" s="653">
        <f>FPART!J106</f>
        <v>0.93155812720200115</v>
      </c>
      <c r="H105" s="637">
        <f t="shared" si="17"/>
        <v>16768.046289636022</v>
      </c>
      <c r="I105" s="638">
        <f t="shared" si="18"/>
        <v>73942.628969010548</v>
      </c>
      <c r="J105" s="613">
        <v>0.31447599999999998</v>
      </c>
      <c r="K105" s="613">
        <v>0.38093500000000002</v>
      </c>
      <c r="L105" s="613">
        <v>0.94111400000000001</v>
      </c>
      <c r="M105" s="639">
        <f t="shared" si="19"/>
        <v>4.0121410549431857E-7</v>
      </c>
      <c r="N105" s="640">
        <f t="shared" si="20"/>
        <v>-1.0447644210271279E-2</v>
      </c>
      <c r="O105" s="641">
        <f t="shared" si="21"/>
        <v>9.5558727979988545E-3</v>
      </c>
    </row>
    <row r="106" spans="1:15" s="613" customFormat="1" x14ac:dyDescent="0.2">
      <c r="A106" s="631">
        <v>92</v>
      </c>
      <c r="B106" s="631" t="s">
        <v>352</v>
      </c>
      <c r="C106" s="632">
        <f>'COEFIC 2023'!I99</f>
        <v>0.27029724695220692</v>
      </c>
      <c r="D106" s="633">
        <f t="shared" si="15"/>
        <v>21894.077003128761</v>
      </c>
      <c r="E106" s="634">
        <f>'COEFIC 2023'!P99</f>
        <v>1.386545035984039</v>
      </c>
      <c r="F106" s="635">
        <f t="shared" si="16"/>
        <v>112310.14791470715</v>
      </c>
      <c r="G106" s="653">
        <f>FPART!J107</f>
        <v>0.34111462177289331</v>
      </c>
      <c r="H106" s="637">
        <f t="shared" si="17"/>
        <v>6140.0631919120797</v>
      </c>
      <c r="I106" s="638">
        <f t="shared" si="18"/>
        <v>140344.28810974798</v>
      </c>
      <c r="J106" s="613">
        <v>0.27029700000000001</v>
      </c>
      <c r="K106" s="613">
        <v>1.434482</v>
      </c>
      <c r="L106" s="613">
        <v>0.32996599999999998</v>
      </c>
      <c r="M106" s="639">
        <f t="shared" si="19"/>
        <v>2.4695220690595932E-7</v>
      </c>
      <c r="N106" s="640">
        <f t="shared" si="20"/>
        <v>4.7936964015961037E-2</v>
      </c>
      <c r="O106" s="641">
        <f t="shared" si="21"/>
        <v>-1.114862177289333E-2</v>
      </c>
    </row>
    <row r="107" spans="1:15" s="613" customFormat="1" x14ac:dyDescent="0.2">
      <c r="A107" s="631">
        <v>93</v>
      </c>
      <c r="B107" s="631" t="s">
        <v>353</v>
      </c>
      <c r="C107" s="632">
        <f>'COEFIC 2023'!I100</f>
        <v>0.60132503770389689</v>
      </c>
      <c r="D107" s="633">
        <f t="shared" si="15"/>
        <v>48707.328054015648</v>
      </c>
      <c r="E107" s="634">
        <f>'COEFIC 2023'!P100</f>
        <v>0.65567373347769853</v>
      </c>
      <c r="F107" s="635">
        <f t="shared" si="16"/>
        <v>53109.572411693582</v>
      </c>
      <c r="G107" s="653">
        <f>FPART!J108</f>
        <v>1.0002632586827527</v>
      </c>
      <c r="H107" s="637">
        <f t="shared" si="17"/>
        <v>18004.738656289548</v>
      </c>
      <c r="I107" s="638">
        <f t="shared" si="18"/>
        <v>119821.63912199877</v>
      </c>
      <c r="J107" s="613">
        <v>0.601325</v>
      </c>
      <c r="K107" s="613">
        <v>0.62346900000000005</v>
      </c>
      <c r="L107" s="613">
        <v>1.0217430000000001</v>
      </c>
      <c r="M107" s="639">
        <f t="shared" si="19"/>
        <v>3.7703896893503952E-8</v>
      </c>
      <c r="N107" s="640">
        <f t="shared" si="20"/>
        <v>-3.2204733477698477E-2</v>
      </c>
      <c r="O107" s="641">
        <f t="shared" si="21"/>
        <v>2.1479741317247392E-2</v>
      </c>
    </row>
    <row r="108" spans="1:15" s="613" customFormat="1" x14ac:dyDescent="0.2">
      <c r="A108" s="631">
        <v>94</v>
      </c>
      <c r="B108" s="631" t="s">
        <v>354</v>
      </c>
      <c r="C108" s="632">
        <f>'COEFIC 2023'!I101</f>
        <v>0.13519073897111003</v>
      </c>
      <c r="D108" s="633">
        <f t="shared" si="15"/>
        <v>10950.449856659912</v>
      </c>
      <c r="E108" s="634">
        <f>'COEFIC 2023'!P101</f>
        <v>0.28459801121905781</v>
      </c>
      <c r="F108" s="635">
        <f t="shared" si="16"/>
        <v>23052.438908743683</v>
      </c>
      <c r="G108" s="653">
        <f>FPART!J109</f>
        <v>0.67337351189936723</v>
      </c>
      <c r="H108" s="637">
        <f t="shared" si="17"/>
        <v>12120.723214188609</v>
      </c>
      <c r="I108" s="638">
        <f t="shared" si="18"/>
        <v>46123.611979592199</v>
      </c>
      <c r="J108" s="613">
        <v>0.13519100000000001</v>
      </c>
      <c r="K108" s="613">
        <v>0.28670299999999999</v>
      </c>
      <c r="L108" s="613">
        <v>0.66686699999999999</v>
      </c>
      <c r="M108" s="639">
        <f t="shared" si="19"/>
        <v>-2.6102888997514562E-7</v>
      </c>
      <c r="N108" s="640">
        <f t="shared" si="20"/>
        <v>2.1049887809421741E-3</v>
      </c>
      <c r="O108" s="641">
        <f t="shared" si="21"/>
        <v>-6.5065118993672399E-3</v>
      </c>
    </row>
    <row r="109" spans="1:15" s="613" customFormat="1" x14ac:dyDescent="0.2">
      <c r="A109" s="631">
        <v>95</v>
      </c>
      <c r="B109" s="631" t="s">
        <v>100</v>
      </c>
      <c r="C109" s="632">
        <f>'COEFIC 2023'!I102</f>
        <v>0.25953673797802668</v>
      </c>
      <c r="D109" s="633">
        <f t="shared" si="15"/>
        <v>21022.475776220159</v>
      </c>
      <c r="E109" s="634">
        <f>'COEFIC 2023'!P102</f>
        <v>0.50154876438978779</v>
      </c>
      <c r="F109" s="635">
        <f t="shared" si="16"/>
        <v>40625.449915572812</v>
      </c>
      <c r="G109" s="653">
        <f>FPART!J110</f>
        <v>0.7130258503350696</v>
      </c>
      <c r="H109" s="637">
        <f t="shared" si="17"/>
        <v>12834.465306031252</v>
      </c>
      <c r="I109" s="638">
        <f t="shared" si="18"/>
        <v>74482.39099782423</v>
      </c>
      <c r="J109" s="613">
        <v>0.25953700000000002</v>
      </c>
      <c r="K109" s="613">
        <v>0.50096399999999996</v>
      </c>
      <c r="L109" s="613">
        <v>0.71022300000000005</v>
      </c>
      <c r="M109" s="639">
        <f t="shared" si="19"/>
        <v>-2.62021973340687E-7</v>
      </c>
      <c r="N109" s="640">
        <f t="shared" si="20"/>
        <v>-5.8476438978782852E-4</v>
      </c>
      <c r="O109" s="641">
        <f t="shared" si="21"/>
        <v>-2.8028503350695511E-3</v>
      </c>
    </row>
    <row r="110" spans="1:15" s="613" customFormat="1" x14ac:dyDescent="0.2">
      <c r="A110" s="631">
        <v>96</v>
      </c>
      <c r="B110" s="631" t="s">
        <v>78</v>
      </c>
      <c r="C110" s="632">
        <f>'COEFIC 2023'!I103</f>
        <v>0.12573581034213366</v>
      </c>
      <c r="D110" s="633">
        <f t="shared" si="15"/>
        <v>10184.600637712827</v>
      </c>
      <c r="E110" s="634">
        <f>'COEFIC 2023'!P103</f>
        <v>1.3013400949509077</v>
      </c>
      <c r="F110" s="635">
        <f t="shared" si="16"/>
        <v>105408.54769102352</v>
      </c>
      <c r="G110" s="653">
        <f>FPART!J111</f>
        <v>0.18422636972178577</v>
      </c>
      <c r="H110" s="637">
        <f t="shared" si="17"/>
        <v>3316.0746549921437</v>
      </c>
      <c r="I110" s="638">
        <f t="shared" si="18"/>
        <v>118909.22298372848</v>
      </c>
      <c r="J110" s="613">
        <v>0.12573599999999999</v>
      </c>
      <c r="K110" s="613">
        <v>1.295309</v>
      </c>
      <c r="L110" s="613">
        <v>0.184139</v>
      </c>
      <c r="M110" s="639">
        <f t="shared" si="19"/>
        <v>-1.8965786632851867E-7</v>
      </c>
      <c r="N110" s="640">
        <f t="shared" si="20"/>
        <v>-6.0310949509077005E-3</v>
      </c>
      <c r="O110" s="641">
        <f t="shared" si="21"/>
        <v>-8.7369721785773846E-5</v>
      </c>
    </row>
    <row r="111" spans="1:15" s="613" customFormat="1" x14ac:dyDescent="0.2">
      <c r="A111" s="631">
        <v>97</v>
      </c>
      <c r="B111" s="631" t="s">
        <v>130</v>
      </c>
      <c r="C111" s="632">
        <f>'COEFIC 2023'!I104</f>
        <v>0.61185391145554102</v>
      </c>
      <c r="D111" s="633">
        <f t="shared" ref="D111:D127" si="22">$F$8*C111%</f>
        <v>49560.166827898822</v>
      </c>
      <c r="E111" s="634">
        <f>'COEFIC 2023'!P104</f>
        <v>1.6393849867608183</v>
      </c>
      <c r="F111" s="635">
        <f t="shared" ref="F111:F127" si="23">$F$9*E111%</f>
        <v>132790.18392762626</v>
      </c>
      <c r="G111" s="653">
        <f>FPART!J112</f>
        <v>0.56828479898068007</v>
      </c>
      <c r="H111" s="637">
        <f t="shared" ref="H111:H127" si="24">$F$10*G111%</f>
        <v>10229.126381652241</v>
      </c>
      <c r="I111" s="638">
        <f t="shared" ref="I111:I127" si="25">D111+F111+H111</f>
        <v>192579.47713717731</v>
      </c>
      <c r="J111" s="613">
        <v>0.61185400000000001</v>
      </c>
      <c r="K111" s="613">
        <v>1.6279589999999999</v>
      </c>
      <c r="L111" s="613">
        <v>0.56850100000000003</v>
      </c>
      <c r="M111" s="639">
        <f t="shared" ref="M111:M127" si="26">C111-J111</f>
        <v>-8.8544458987094288E-8</v>
      </c>
      <c r="N111" s="640">
        <f t="shared" ref="N111:N127" si="27">K111-E111</f>
        <v>-1.1425986760818407E-2</v>
      </c>
      <c r="O111" s="641">
        <f t="shared" ref="O111:O127" si="28">L111-G111</f>
        <v>2.162010193199615E-4</v>
      </c>
    </row>
    <row r="112" spans="1:15" s="613" customFormat="1" x14ac:dyDescent="0.2">
      <c r="A112" s="631">
        <v>98</v>
      </c>
      <c r="B112" s="631" t="s">
        <v>355</v>
      </c>
      <c r="C112" s="632">
        <f>'COEFIC 2023'!I105</f>
        <v>0.54238440244219333</v>
      </c>
      <c r="D112" s="633">
        <f t="shared" si="22"/>
        <v>43933.136597817655</v>
      </c>
      <c r="E112" s="634">
        <f>'COEFIC 2023'!P105</f>
        <v>0.65675616703162876</v>
      </c>
      <c r="F112" s="635">
        <f t="shared" si="23"/>
        <v>53197.24952956193</v>
      </c>
      <c r="G112" s="653">
        <f>FPART!J113</f>
        <v>0.94575136814049388</v>
      </c>
      <c r="H112" s="637">
        <f t="shared" si="24"/>
        <v>17023.524626528888</v>
      </c>
      <c r="I112" s="638">
        <f t="shared" si="25"/>
        <v>114153.91075390847</v>
      </c>
      <c r="J112" s="613">
        <v>0.54238399999999998</v>
      </c>
      <c r="K112" s="613">
        <v>0.633826</v>
      </c>
      <c r="L112" s="613">
        <v>0.95966099999999999</v>
      </c>
      <c r="M112" s="639">
        <f t="shared" si="26"/>
        <v>4.0244219334795162E-7</v>
      </c>
      <c r="N112" s="640">
        <f t="shared" si="27"/>
        <v>-2.2930167031628756E-2</v>
      </c>
      <c r="O112" s="641">
        <f t="shared" si="28"/>
        <v>1.3909631859506111E-2</v>
      </c>
    </row>
    <row r="113" spans="1:15" s="613" customFormat="1" x14ac:dyDescent="0.2">
      <c r="A113" s="631">
        <v>99</v>
      </c>
      <c r="B113" s="631" t="s">
        <v>139</v>
      </c>
      <c r="C113" s="632">
        <f>'COEFIC 2023'!I106</f>
        <v>0.30173646397461618</v>
      </c>
      <c r="D113" s="633">
        <f t="shared" si="22"/>
        <v>24440.653581943909</v>
      </c>
      <c r="E113" s="634">
        <f>'COEFIC 2023'!P106</f>
        <v>1.0151448119377655</v>
      </c>
      <c r="F113" s="635">
        <f t="shared" si="23"/>
        <v>82226.729766959004</v>
      </c>
      <c r="G113" s="653">
        <f>FPART!J114</f>
        <v>0.47909435811536139</v>
      </c>
      <c r="H113" s="637">
        <f t="shared" si="24"/>
        <v>8623.6984460765052</v>
      </c>
      <c r="I113" s="638">
        <f t="shared" si="25"/>
        <v>115291.08179497943</v>
      </c>
      <c r="J113" s="613">
        <v>0.301736</v>
      </c>
      <c r="K113" s="613">
        <v>1.0048159999999999</v>
      </c>
      <c r="L113" s="613">
        <v>0.48061399999999999</v>
      </c>
      <c r="M113" s="639">
        <f t="shared" si="26"/>
        <v>4.6397461617164737E-7</v>
      </c>
      <c r="N113" s="640">
        <f t="shared" si="27"/>
        <v>-1.0328811937765581E-2</v>
      </c>
      <c r="O113" s="641">
        <f t="shared" si="28"/>
        <v>1.5196418846386006E-3</v>
      </c>
    </row>
    <row r="114" spans="1:15" s="613" customFormat="1" x14ac:dyDescent="0.2">
      <c r="A114" s="631">
        <v>100</v>
      </c>
      <c r="B114" s="631" t="s">
        <v>125</v>
      </c>
      <c r="C114" s="632">
        <f>'COEFIC 2023'!I107</f>
        <v>0.31399207302152987</v>
      </c>
      <c r="D114" s="633">
        <f t="shared" si="22"/>
        <v>25433.35791474392</v>
      </c>
      <c r="E114" s="634">
        <f>'COEFIC 2023'!P107</f>
        <v>0.41005540499195375</v>
      </c>
      <c r="F114" s="635">
        <f t="shared" si="23"/>
        <v>33214.487804348253</v>
      </c>
      <c r="G114" s="653">
        <f>FPART!J115</f>
        <v>0.90675826255322967</v>
      </c>
      <c r="H114" s="637">
        <f t="shared" si="24"/>
        <v>16321.648725958135</v>
      </c>
      <c r="I114" s="638">
        <f t="shared" si="25"/>
        <v>74969.49444505031</v>
      </c>
      <c r="J114" s="613">
        <v>0.31399199999999999</v>
      </c>
      <c r="K114" s="613">
        <v>0.40500599999999998</v>
      </c>
      <c r="L114" s="613">
        <v>0.90883800000000003</v>
      </c>
      <c r="M114" s="639">
        <f t="shared" si="26"/>
        <v>7.302152987831434E-8</v>
      </c>
      <c r="N114" s="640">
        <f t="shared" si="27"/>
        <v>-5.0494049919537765E-3</v>
      </c>
      <c r="O114" s="641">
        <f t="shared" si="28"/>
        <v>2.0797374467703689E-3</v>
      </c>
    </row>
    <row r="115" spans="1:15" s="613" customFormat="1" x14ac:dyDescent="0.2">
      <c r="A115" s="631">
        <v>101</v>
      </c>
      <c r="B115" s="631" t="s">
        <v>66</v>
      </c>
      <c r="C115" s="632">
        <f>'COEFIC 2023'!I108</f>
        <v>0.18646635414161672</v>
      </c>
      <c r="D115" s="633">
        <f t="shared" si="22"/>
        <v>15103.774685470955</v>
      </c>
      <c r="E115" s="634">
        <f>'COEFIC 2023'!P108</f>
        <v>1.1972559825788365</v>
      </c>
      <c r="F115" s="635">
        <f t="shared" si="23"/>
        <v>96977.734588885767</v>
      </c>
      <c r="G115" s="653">
        <f>FPART!J116</f>
        <v>0.28176783207365719</v>
      </c>
      <c r="H115" s="637">
        <f t="shared" si="24"/>
        <v>5071.8209773258295</v>
      </c>
      <c r="I115" s="638">
        <f t="shared" si="25"/>
        <v>117153.33025168255</v>
      </c>
      <c r="J115" s="613">
        <v>0.18646599999999999</v>
      </c>
      <c r="K115" s="613">
        <v>1.19818</v>
      </c>
      <c r="L115" s="613">
        <v>0.28025800000000001</v>
      </c>
      <c r="M115" s="639">
        <f t="shared" si="26"/>
        <v>3.5414161672631117E-7</v>
      </c>
      <c r="N115" s="640">
        <f t="shared" si="27"/>
        <v>9.2401742116354768E-4</v>
      </c>
      <c r="O115" s="641">
        <f t="shared" si="28"/>
        <v>-1.5098320736571802E-3</v>
      </c>
    </row>
    <row r="116" spans="1:15" s="613" customFormat="1" x14ac:dyDescent="0.2">
      <c r="A116" s="631">
        <v>102</v>
      </c>
      <c r="B116" s="631" t="s">
        <v>117</v>
      </c>
      <c r="C116" s="632">
        <f>'COEFIC 2023'!I109</f>
        <v>7.5131095007081719</v>
      </c>
      <c r="D116" s="633">
        <f t="shared" si="22"/>
        <v>608561.86955736193</v>
      </c>
      <c r="E116" s="634">
        <f>'COEFIC 2023'!P109</f>
        <v>3.2046435796815618</v>
      </c>
      <c r="F116" s="635">
        <f t="shared" si="23"/>
        <v>259576.12995420652</v>
      </c>
      <c r="G116" s="653">
        <f>FPART!J117</f>
        <v>1.4657363346795347</v>
      </c>
      <c r="H116" s="637">
        <f t="shared" si="24"/>
        <v>26383.254024231624</v>
      </c>
      <c r="I116" s="638">
        <f t="shared" si="25"/>
        <v>894521.25353580003</v>
      </c>
      <c r="J116" s="613">
        <v>7.5131100000000002</v>
      </c>
      <c r="K116" s="613">
        <v>3.4138639999999998</v>
      </c>
      <c r="L116" s="613">
        <v>1.43092</v>
      </c>
      <c r="M116" s="639">
        <f t="shared" si="26"/>
        <v>-4.9929182832642027E-7</v>
      </c>
      <c r="N116" s="640">
        <f t="shared" si="27"/>
        <v>0.20922042031843802</v>
      </c>
      <c r="O116" s="641">
        <f t="shared" si="28"/>
        <v>-3.4816334679534711E-2</v>
      </c>
    </row>
    <row r="117" spans="1:15" s="613" customFormat="1" x14ac:dyDescent="0.2">
      <c r="A117" s="631">
        <v>103</v>
      </c>
      <c r="B117" s="631" t="s">
        <v>356</v>
      </c>
      <c r="C117" s="632">
        <f>'COEFIC 2023'!I110</f>
        <v>0.49420427615467</v>
      </c>
      <c r="D117" s="633">
        <f t="shared" si="22"/>
        <v>40030.546368528267</v>
      </c>
      <c r="E117" s="634">
        <f>'COEFIC 2023'!P110</f>
        <v>0.56434491249142493</v>
      </c>
      <c r="F117" s="635">
        <f t="shared" si="23"/>
        <v>45711.93791180542</v>
      </c>
      <c r="G117" s="653">
        <f>FPART!J118</f>
        <v>0.97619221060691552</v>
      </c>
      <c r="H117" s="637">
        <f t="shared" si="24"/>
        <v>17571.459790924477</v>
      </c>
      <c r="I117" s="638">
        <f t="shared" si="25"/>
        <v>103313.94407125816</v>
      </c>
      <c r="J117" s="613">
        <v>0.49420399999999998</v>
      </c>
      <c r="K117" s="613">
        <v>0.58701000000000003</v>
      </c>
      <c r="L117" s="613">
        <v>0.951241</v>
      </c>
      <c r="M117" s="639">
        <f t="shared" si="26"/>
        <v>2.7615467002028993E-7</v>
      </c>
      <c r="N117" s="640">
        <f t="shared" si="27"/>
        <v>2.2665087508575099E-2</v>
      </c>
      <c r="O117" s="641">
        <f t="shared" si="28"/>
        <v>-2.4951210606915519E-2</v>
      </c>
    </row>
    <row r="118" spans="1:15" s="613" customFormat="1" x14ac:dyDescent="0.2">
      <c r="A118" s="631">
        <v>104</v>
      </c>
      <c r="B118" s="631" t="s">
        <v>109</v>
      </c>
      <c r="C118" s="632">
        <f>'COEFIC 2023'!I111</f>
        <v>0.33406010639216349</v>
      </c>
      <c r="D118" s="633">
        <f t="shared" si="22"/>
        <v>27058.868617765242</v>
      </c>
      <c r="E118" s="634">
        <f>'COEFIC 2023'!P111</f>
        <v>0.47064902069414494</v>
      </c>
      <c r="F118" s="635">
        <f t="shared" si="23"/>
        <v>38122.57067622574</v>
      </c>
      <c r="G118" s="653">
        <f>FPART!J119</f>
        <v>0.86801168304157472</v>
      </c>
      <c r="H118" s="637">
        <f t="shared" si="24"/>
        <v>15624.210294748344</v>
      </c>
      <c r="I118" s="638">
        <f t="shared" si="25"/>
        <v>80805.649588739325</v>
      </c>
      <c r="J118" s="613">
        <v>0.33406000000000002</v>
      </c>
      <c r="K118" s="613">
        <v>0.45590000000000003</v>
      </c>
      <c r="L118" s="613">
        <v>0.88006600000000001</v>
      </c>
      <c r="M118" s="639">
        <f t="shared" si="26"/>
        <v>1.0639216346808311E-7</v>
      </c>
      <c r="N118" s="640">
        <f t="shared" si="27"/>
        <v>-1.474902069414491E-2</v>
      </c>
      <c r="O118" s="641">
        <f t="shared" si="28"/>
        <v>1.2054316958425293E-2</v>
      </c>
    </row>
    <row r="119" spans="1:15" s="613" customFormat="1" x14ac:dyDescent="0.2">
      <c r="A119" s="631">
        <v>105</v>
      </c>
      <c r="B119" s="631" t="s">
        <v>150</v>
      </c>
      <c r="C119" s="632">
        <f>'COEFIC 2023'!I112</f>
        <v>0.44183365811399233</v>
      </c>
      <c r="D119" s="633">
        <f t="shared" si="22"/>
        <v>35788.526307233384</v>
      </c>
      <c r="E119" s="634">
        <f>'COEFIC 2023'!P112</f>
        <v>0.4853513770445434</v>
      </c>
      <c r="F119" s="635">
        <f t="shared" si="23"/>
        <v>39313.461540608019</v>
      </c>
      <c r="G119" s="653">
        <f>FPART!J120</f>
        <v>0.99639666628438228</v>
      </c>
      <c r="H119" s="637">
        <f t="shared" si="24"/>
        <v>17935.139993118883</v>
      </c>
      <c r="I119" s="638">
        <f t="shared" si="25"/>
        <v>93037.127840960282</v>
      </c>
      <c r="J119" s="613">
        <v>0.441834</v>
      </c>
      <c r="K119" s="613">
        <v>0.476939</v>
      </c>
      <c r="L119" s="613">
        <v>1.0007969999999999</v>
      </c>
      <c r="M119" s="639">
        <f t="shared" si="26"/>
        <v>-3.4188600767093291E-7</v>
      </c>
      <c r="N119" s="640">
        <f t="shared" si="27"/>
        <v>-8.4123770445433954E-3</v>
      </c>
      <c r="O119" s="641">
        <f t="shared" si="28"/>
        <v>4.4003337156176547E-3</v>
      </c>
    </row>
    <row r="120" spans="1:15" s="613" customFormat="1" x14ac:dyDescent="0.2">
      <c r="A120" s="631">
        <v>106</v>
      </c>
      <c r="B120" s="631" t="s">
        <v>357</v>
      </c>
      <c r="C120" s="632">
        <f>'COEFIC 2023'!I113</f>
        <v>0.68022841759871766</v>
      </c>
      <c r="D120" s="633">
        <f t="shared" si="22"/>
        <v>55098.501825496132</v>
      </c>
      <c r="E120" s="634">
        <f>'COEFIC 2023'!P113</f>
        <v>0.6649816513046064</v>
      </c>
      <c r="F120" s="635">
        <f t="shared" si="23"/>
        <v>53863.513755673121</v>
      </c>
      <c r="G120" s="653">
        <f>FPART!J121</f>
        <v>1.0573153678859981</v>
      </c>
      <c r="H120" s="637">
        <f t="shared" si="24"/>
        <v>19031.676621947965</v>
      </c>
      <c r="I120" s="638">
        <f t="shared" si="25"/>
        <v>127993.69220311721</v>
      </c>
      <c r="J120" s="613">
        <v>0.68022800000000005</v>
      </c>
      <c r="K120" s="613">
        <v>0.65937800000000002</v>
      </c>
      <c r="L120" s="613">
        <v>1.0567530000000001</v>
      </c>
      <c r="M120" s="639">
        <f t="shared" si="26"/>
        <v>4.1759871760582712E-7</v>
      </c>
      <c r="N120" s="640">
        <f t="shared" si="27"/>
        <v>-5.6036513046063829E-3</v>
      </c>
      <c r="O120" s="641">
        <f t="shared" si="28"/>
        <v>-5.6236788599806076E-4</v>
      </c>
    </row>
    <row r="121" spans="1:15" s="613" customFormat="1" x14ac:dyDescent="0.2">
      <c r="A121" s="631">
        <v>107</v>
      </c>
      <c r="B121" s="631" t="s">
        <v>358</v>
      </c>
      <c r="C121" s="632">
        <f>'COEFIC 2023'!I114</f>
        <v>1.6178456829301266</v>
      </c>
      <c r="D121" s="633">
        <f t="shared" si="22"/>
        <v>131045.50031734027</v>
      </c>
      <c r="E121" s="634">
        <f>'COEFIC 2023'!P114</f>
        <v>1.0775803879663932</v>
      </c>
      <c r="F121" s="635">
        <f t="shared" si="23"/>
        <v>87284.011425277859</v>
      </c>
      <c r="G121" s="653">
        <f>FPART!J122</f>
        <v>1.2550168374600785</v>
      </c>
      <c r="H121" s="637">
        <f t="shared" si="24"/>
        <v>22590.303074281412</v>
      </c>
      <c r="I121" s="638">
        <f t="shared" si="25"/>
        <v>240919.81481689951</v>
      </c>
      <c r="J121" s="613">
        <v>1.6178459999999999</v>
      </c>
      <c r="K121" s="613">
        <v>1.0579620000000001</v>
      </c>
      <c r="L121" s="613">
        <v>1.258281</v>
      </c>
      <c r="M121" s="639">
        <f t="shared" si="26"/>
        <v>-3.1706987324575664E-7</v>
      </c>
      <c r="N121" s="640">
        <f t="shared" si="27"/>
        <v>-1.9618387966393147E-2</v>
      </c>
      <c r="O121" s="641">
        <f t="shared" si="28"/>
        <v>3.2641625399214558E-3</v>
      </c>
    </row>
    <row r="122" spans="1:15" s="613" customFormat="1" x14ac:dyDescent="0.2">
      <c r="A122" s="631">
        <v>108</v>
      </c>
      <c r="B122" s="631" t="s">
        <v>149</v>
      </c>
      <c r="C122" s="632">
        <f>'COEFIC 2023'!I115</f>
        <v>4.313890153523614</v>
      </c>
      <c r="D122" s="633">
        <f t="shared" si="22"/>
        <v>349425.10243541276</v>
      </c>
      <c r="E122" s="634">
        <f>'COEFIC 2023'!P115</f>
        <v>2.6970472672578447</v>
      </c>
      <c r="F122" s="635">
        <f t="shared" si="23"/>
        <v>218460.82864788541</v>
      </c>
      <c r="G122" s="653">
        <f>FPART!J123</f>
        <v>1.2865683823402381</v>
      </c>
      <c r="H122" s="637">
        <f t="shared" si="24"/>
        <v>23158.230882124284</v>
      </c>
      <c r="I122" s="638">
        <f t="shared" si="25"/>
        <v>591044.16196542245</v>
      </c>
      <c r="J122" s="613">
        <v>4.3138899999999998</v>
      </c>
      <c r="K122" s="613">
        <v>2.6700910000000002</v>
      </c>
      <c r="L122" s="613">
        <v>1.285469</v>
      </c>
      <c r="M122" s="639">
        <f t="shared" si="26"/>
        <v>1.5352361426579364E-7</v>
      </c>
      <c r="N122" s="640">
        <f t="shared" si="27"/>
        <v>-2.6956267257844502E-2</v>
      </c>
      <c r="O122" s="641">
        <f t="shared" si="28"/>
        <v>-1.0993823402380976E-3</v>
      </c>
    </row>
    <row r="123" spans="1:15" s="613" customFormat="1" x14ac:dyDescent="0.2">
      <c r="A123" s="631">
        <v>109</v>
      </c>
      <c r="B123" s="631" t="s">
        <v>50</v>
      </c>
      <c r="C123" s="632">
        <f>'COEFIC 2023'!I116</f>
        <v>6.8058639930627357E-2</v>
      </c>
      <c r="D123" s="633">
        <f t="shared" si="22"/>
        <v>5512.7498343808156</v>
      </c>
      <c r="E123" s="634">
        <f>'COEFIC 2023'!P116</f>
        <v>0.2211655189413736</v>
      </c>
      <c r="F123" s="635">
        <f t="shared" si="23"/>
        <v>17914.40703425126</v>
      </c>
      <c r="G123" s="653">
        <f>FPART!J124</f>
        <v>0.49202659964457895</v>
      </c>
      <c r="H123" s="637">
        <f t="shared" si="24"/>
        <v>8856.4787936024222</v>
      </c>
      <c r="I123" s="638">
        <f t="shared" si="25"/>
        <v>32283.635662234497</v>
      </c>
      <c r="J123" s="613">
        <v>6.8058999999999995E-2</v>
      </c>
      <c r="K123" s="613">
        <v>0.233103</v>
      </c>
      <c r="L123" s="613">
        <v>0.470304</v>
      </c>
      <c r="M123" s="639">
        <f t="shared" si="26"/>
        <v>-3.6006937263743932E-7</v>
      </c>
      <c r="N123" s="640">
        <f t="shared" si="27"/>
        <v>1.1937481058626409E-2</v>
      </c>
      <c r="O123" s="641">
        <f t="shared" si="28"/>
        <v>-2.1722599644578955E-2</v>
      </c>
    </row>
    <row r="124" spans="1:15" s="613" customFormat="1" x14ac:dyDescent="0.2">
      <c r="A124" s="631">
        <v>110</v>
      </c>
      <c r="B124" s="631" t="s">
        <v>111</v>
      </c>
      <c r="C124" s="632">
        <f>'COEFIC 2023'!I117</f>
        <v>1.0319349163986367</v>
      </c>
      <c r="D124" s="633">
        <f t="shared" si="22"/>
        <v>83586.728228289561</v>
      </c>
      <c r="E124" s="634">
        <f>'COEFIC 2023'!P117</f>
        <v>0.93707100970791035</v>
      </c>
      <c r="F124" s="635">
        <f t="shared" si="23"/>
        <v>75902.751786340741</v>
      </c>
      <c r="G124" s="653">
        <f>FPART!J125</f>
        <v>1.0958349989493676</v>
      </c>
      <c r="H124" s="637">
        <f t="shared" si="24"/>
        <v>19725.029981088617</v>
      </c>
      <c r="I124" s="638">
        <f t="shared" si="25"/>
        <v>179214.50999571892</v>
      </c>
      <c r="J124" s="613">
        <v>1.031935</v>
      </c>
      <c r="K124" s="613">
        <v>0.91855699999999996</v>
      </c>
      <c r="L124" s="613">
        <v>1.1010420000000001</v>
      </c>
      <c r="M124" s="639">
        <f t="shared" si="26"/>
        <v>-8.3601363387586503E-8</v>
      </c>
      <c r="N124" s="640">
        <f t="shared" si="27"/>
        <v>-1.8514009707910395E-2</v>
      </c>
      <c r="O124" s="641">
        <f t="shared" si="28"/>
        <v>5.2070010506324316E-3</v>
      </c>
    </row>
    <row r="125" spans="1:15" s="613" customFormat="1" x14ac:dyDescent="0.2">
      <c r="A125" s="631">
        <v>111</v>
      </c>
      <c r="B125" s="631" t="s">
        <v>140</v>
      </c>
      <c r="C125" s="632">
        <f>'COEFIC 2023'!I118</f>
        <v>0.38750466955550888</v>
      </c>
      <c r="D125" s="633">
        <f t="shared" si="22"/>
        <v>31387.87823399622</v>
      </c>
      <c r="E125" s="634">
        <f>'COEFIC 2023'!P118</f>
        <v>0.45366995431345297</v>
      </c>
      <c r="F125" s="635">
        <f t="shared" si="23"/>
        <v>36747.266299389688</v>
      </c>
      <c r="G125" s="653">
        <f>FPART!J126</f>
        <v>0.96323146383146219</v>
      </c>
      <c r="H125" s="637">
        <f t="shared" si="24"/>
        <v>17338.166348966319</v>
      </c>
      <c r="I125" s="638">
        <f t="shared" si="25"/>
        <v>85473.31088235222</v>
      </c>
      <c r="J125" s="613">
        <v>0.38750499999999999</v>
      </c>
      <c r="K125" s="613">
        <v>0.439112</v>
      </c>
      <c r="L125" s="613">
        <v>0.97559200000000001</v>
      </c>
      <c r="M125" s="639">
        <f t="shared" si="26"/>
        <v>-3.30444491103421E-7</v>
      </c>
      <c r="N125" s="640">
        <f t="shared" si="27"/>
        <v>-1.455795431345297E-2</v>
      </c>
      <c r="O125" s="641">
        <f t="shared" si="28"/>
        <v>1.2360536168537828E-2</v>
      </c>
    </row>
    <row r="126" spans="1:15" s="613" customFormat="1" x14ac:dyDescent="0.2">
      <c r="A126" s="631">
        <v>112</v>
      </c>
      <c r="B126" s="631" t="s">
        <v>142</v>
      </c>
      <c r="C126" s="632">
        <f>'COEFIC 2023'!I119</f>
        <v>3.3072455918764265</v>
      </c>
      <c r="D126" s="633">
        <f t="shared" si="22"/>
        <v>267886.89294199058</v>
      </c>
      <c r="E126" s="634">
        <f>'COEFIC 2023'!P119</f>
        <v>1.8287280295210968</v>
      </c>
      <c r="F126" s="635">
        <f t="shared" si="23"/>
        <v>148126.97039120886</v>
      </c>
      <c r="G126" s="653">
        <f>FPART!J127</f>
        <v>1.3464292708166699</v>
      </c>
      <c r="H126" s="637">
        <f t="shared" si="24"/>
        <v>24235.726874700056</v>
      </c>
      <c r="I126" s="638">
        <f t="shared" si="25"/>
        <v>440249.59020789945</v>
      </c>
      <c r="J126" s="613">
        <v>3.3072460000000001</v>
      </c>
      <c r="K126" s="613">
        <v>1.857993</v>
      </c>
      <c r="L126" s="613">
        <v>1.332514</v>
      </c>
      <c r="M126" s="639">
        <f t="shared" si="26"/>
        <v>-4.0812357360309193E-7</v>
      </c>
      <c r="N126" s="640">
        <f t="shared" si="27"/>
        <v>2.9264970478903196E-2</v>
      </c>
      <c r="O126" s="641">
        <f t="shared" si="28"/>
        <v>-1.3915270816669878E-2</v>
      </c>
    </row>
    <row r="127" spans="1:15" s="613" customFormat="1" x14ac:dyDescent="0.2">
      <c r="A127" s="631">
        <v>113</v>
      </c>
      <c r="B127" s="631" t="s">
        <v>101</v>
      </c>
      <c r="C127" s="632">
        <f>'COEFIC 2023'!I120</f>
        <v>0.55198673530369269</v>
      </c>
      <c r="D127" s="633">
        <f t="shared" si="22"/>
        <v>44710.925559599113</v>
      </c>
      <c r="E127" s="634">
        <f>'COEFIC 2023'!P120</f>
        <v>0.58979875485710986</v>
      </c>
      <c r="F127" s="635">
        <f t="shared" si="23"/>
        <v>47773.699143425896</v>
      </c>
      <c r="G127" s="653">
        <f>FPART!J128</f>
        <v>1.0108436899472564</v>
      </c>
      <c r="H127" s="637">
        <f t="shared" si="24"/>
        <v>18195.186419050617</v>
      </c>
      <c r="I127" s="638">
        <f t="shared" si="25"/>
        <v>110679.81112207563</v>
      </c>
      <c r="J127" s="643">
        <v>0.55198700000000001</v>
      </c>
      <c r="K127" s="643">
        <v>0.57878200000000002</v>
      </c>
      <c r="L127" s="643">
        <v>1.0158990000000001</v>
      </c>
      <c r="M127" s="639">
        <f t="shared" si="26"/>
        <v>-2.6469630731718041E-7</v>
      </c>
      <c r="N127" s="640">
        <f t="shared" si="27"/>
        <v>-1.1016754857109845E-2</v>
      </c>
      <c r="O127" s="641">
        <f t="shared" si="28"/>
        <v>5.0553100527437334E-3</v>
      </c>
    </row>
    <row r="128" spans="1:15" s="643" customFormat="1" ht="13.5" thickBot="1" x14ac:dyDescent="0.25">
      <c r="A128" s="644"/>
      <c r="B128" s="645" t="s">
        <v>156</v>
      </c>
      <c r="C128" s="654">
        <f t="shared" ref="C128:I128" si="29">SUM(C15:C127)</f>
        <v>100.00000000000004</v>
      </c>
      <c r="D128" s="647">
        <f t="shared" si="29"/>
        <v>8100000.0000000019</v>
      </c>
      <c r="E128" s="654">
        <f t="shared" si="29"/>
        <v>99.999999999999915</v>
      </c>
      <c r="F128" s="647">
        <f t="shared" si="29"/>
        <v>8100000</v>
      </c>
      <c r="G128" s="663">
        <f t="shared" si="29"/>
        <v>100.00000000000006</v>
      </c>
      <c r="H128" s="647">
        <f t="shared" si="29"/>
        <v>1800000.0000000007</v>
      </c>
      <c r="I128" s="647">
        <f t="shared" si="29"/>
        <v>18000000</v>
      </c>
      <c r="J128" s="668"/>
      <c r="K128" s="668"/>
      <c r="L128" s="658"/>
      <c r="M128" s="656"/>
      <c r="N128" s="657"/>
    </row>
    <row r="129" spans="1:10" s="613" customFormat="1" ht="13.5" thickTop="1" x14ac:dyDescent="0.2">
      <c r="D129" s="620"/>
      <c r="F129" s="620"/>
      <c r="H129" s="620"/>
      <c r="I129" s="620"/>
      <c r="J129" s="658"/>
    </row>
    <row r="130" spans="1:10" s="613" customFormat="1" x14ac:dyDescent="0.2">
      <c r="D130" s="620"/>
      <c r="E130" s="620"/>
      <c r="F130" s="620"/>
      <c r="G130" s="620"/>
      <c r="H130" s="620"/>
      <c r="I130" s="620"/>
    </row>
    <row r="131" spans="1:10" s="613" customFormat="1" x14ac:dyDescent="0.2">
      <c r="H131" s="620"/>
    </row>
    <row r="132" spans="1:10" s="613" customFormat="1" x14ac:dyDescent="0.2">
      <c r="D132" s="620"/>
    </row>
    <row r="133" spans="1:10" s="613" customFormat="1" x14ac:dyDescent="0.2"/>
    <row r="134" spans="1:10" s="613" customFormat="1" x14ac:dyDescent="0.2">
      <c r="C134" s="648" t="s">
        <v>7</v>
      </c>
      <c r="D134" s="648"/>
      <c r="I134" s="621"/>
    </row>
    <row r="135" spans="1:10" s="613" customFormat="1" x14ac:dyDescent="0.2">
      <c r="A135" s="613" t="s">
        <v>7</v>
      </c>
      <c r="B135" s="613" t="s">
        <v>7</v>
      </c>
      <c r="I135" s="621"/>
    </row>
    <row r="136" spans="1:10" s="613" customFormat="1" x14ac:dyDescent="0.2">
      <c r="A136" s="613" t="s">
        <v>7</v>
      </c>
      <c r="B136" s="613" t="s">
        <v>7</v>
      </c>
      <c r="I136" s="621"/>
    </row>
    <row r="137" spans="1:10" s="613" customFormat="1" x14ac:dyDescent="0.2">
      <c r="I137" s="621"/>
    </row>
    <row r="138" spans="1:10" s="613" customFormat="1" x14ac:dyDescent="0.2">
      <c r="I138" s="621"/>
    </row>
    <row r="139" spans="1:10" s="613" customFormat="1" x14ac:dyDescent="0.2">
      <c r="I139" s="621"/>
    </row>
    <row r="140" spans="1:10" s="613" customFormat="1" x14ac:dyDescent="0.2">
      <c r="I140" s="621"/>
    </row>
    <row r="141" spans="1:10" s="613" customFormat="1" x14ac:dyDescent="0.2">
      <c r="I141" s="621"/>
    </row>
    <row r="142" spans="1:10" s="613" customFormat="1" x14ac:dyDescent="0.2">
      <c r="I142" s="621"/>
    </row>
    <row r="143" spans="1:10" s="613" customFormat="1" x14ac:dyDescent="0.2">
      <c r="I143" s="621"/>
    </row>
    <row r="144" spans="1:10" s="613" customFormat="1" x14ac:dyDescent="0.2">
      <c r="I144" s="621"/>
    </row>
    <row r="145" spans="9:9" s="613" customFormat="1" x14ac:dyDescent="0.2">
      <c r="I145" s="621"/>
    </row>
    <row r="146" spans="9:9" s="613" customFormat="1" x14ac:dyDescent="0.2">
      <c r="I146" s="621"/>
    </row>
    <row r="147" spans="9:9" s="613" customFormat="1" x14ac:dyDescent="0.2">
      <c r="I147" s="621"/>
    </row>
    <row r="148" spans="9:9" s="613" customFormat="1" x14ac:dyDescent="0.2">
      <c r="I148" s="621"/>
    </row>
    <row r="149" spans="9:9" s="613" customFormat="1" x14ac:dyDescent="0.2">
      <c r="I149" s="621"/>
    </row>
    <row r="150" spans="9:9" s="613" customFormat="1" x14ac:dyDescent="0.2">
      <c r="I150" s="621"/>
    </row>
    <row r="151" spans="9:9" s="613" customFormat="1" x14ac:dyDescent="0.2">
      <c r="I151" s="621"/>
    </row>
    <row r="152" spans="9:9" s="613" customFormat="1" x14ac:dyDescent="0.2">
      <c r="I152" s="621"/>
    </row>
    <row r="153" spans="9:9" s="613" customFormat="1" x14ac:dyDescent="0.2">
      <c r="I153" s="621"/>
    </row>
    <row r="154" spans="9:9" s="613" customFormat="1" x14ac:dyDescent="0.2">
      <c r="I154" s="621"/>
    </row>
    <row r="155" spans="9:9" s="613" customFormat="1" x14ac:dyDescent="0.2">
      <c r="I155" s="621"/>
    </row>
    <row r="156" spans="9:9" s="613" customFormat="1" x14ac:dyDescent="0.2">
      <c r="I156" s="621"/>
    </row>
    <row r="157" spans="9:9" s="613" customFormat="1" x14ac:dyDescent="0.2">
      <c r="I157" s="621"/>
    </row>
    <row r="158" spans="9:9" s="613" customFormat="1" x14ac:dyDescent="0.2">
      <c r="I158" s="621"/>
    </row>
    <row r="159" spans="9:9" s="613" customFormat="1" x14ac:dyDescent="0.2">
      <c r="I159" s="621"/>
    </row>
    <row r="160" spans="9:9" s="613" customFormat="1" x14ac:dyDescent="0.2">
      <c r="I160" s="621"/>
    </row>
    <row r="161" spans="9:9" s="613" customFormat="1" x14ac:dyDescent="0.2">
      <c r="I161" s="621"/>
    </row>
    <row r="162" spans="9:9" s="613" customFormat="1" x14ac:dyDescent="0.2">
      <c r="I162" s="621"/>
    </row>
    <row r="163" spans="9:9" s="613" customFormat="1" x14ac:dyDescent="0.2">
      <c r="I163" s="621"/>
    </row>
    <row r="164" spans="9:9" s="613" customFormat="1" x14ac:dyDescent="0.2">
      <c r="I164" s="621"/>
    </row>
    <row r="165" spans="9:9" s="613" customFormat="1" x14ac:dyDescent="0.2">
      <c r="I165" s="621"/>
    </row>
    <row r="166" spans="9:9" s="613" customFormat="1" x14ac:dyDescent="0.2">
      <c r="I166" s="621"/>
    </row>
    <row r="167" spans="9:9" s="613" customFormat="1" x14ac:dyDescent="0.2">
      <c r="I167" s="621"/>
    </row>
    <row r="168" spans="9:9" s="613" customFormat="1" x14ac:dyDescent="0.2">
      <c r="I168" s="621"/>
    </row>
    <row r="169" spans="9:9" s="613" customFormat="1" x14ac:dyDescent="0.2">
      <c r="I169" s="621"/>
    </row>
    <row r="170" spans="9:9" s="613" customFormat="1" x14ac:dyDescent="0.2">
      <c r="I170" s="621"/>
    </row>
    <row r="171" spans="9:9" s="613" customFormat="1" x14ac:dyDescent="0.2">
      <c r="I171" s="621"/>
    </row>
    <row r="172" spans="9:9" s="613" customFormat="1" x14ac:dyDescent="0.2">
      <c r="I172" s="621"/>
    </row>
    <row r="173" spans="9:9" s="613" customFormat="1" x14ac:dyDescent="0.2">
      <c r="I173" s="621"/>
    </row>
    <row r="174" spans="9:9" s="613" customFormat="1" x14ac:dyDescent="0.2">
      <c r="I174" s="621"/>
    </row>
    <row r="175" spans="9:9" s="613" customFormat="1" x14ac:dyDescent="0.2">
      <c r="I175" s="621"/>
    </row>
    <row r="176" spans="9:9" s="613" customFormat="1" x14ac:dyDescent="0.2">
      <c r="I176" s="621"/>
    </row>
    <row r="177" spans="9:9" s="613" customFormat="1" x14ac:dyDescent="0.2">
      <c r="I177" s="621"/>
    </row>
    <row r="178" spans="9:9" s="613" customFormat="1" x14ac:dyDescent="0.2">
      <c r="I178" s="621"/>
    </row>
    <row r="179" spans="9:9" s="613" customFormat="1" x14ac:dyDescent="0.2">
      <c r="I179" s="621"/>
    </row>
    <row r="180" spans="9:9" s="613" customFormat="1" x14ac:dyDescent="0.2">
      <c r="I180" s="621"/>
    </row>
    <row r="181" spans="9:9" s="613" customFormat="1" x14ac:dyDescent="0.2">
      <c r="I181" s="621"/>
    </row>
    <row r="182" spans="9:9" s="613" customFormat="1" x14ac:dyDescent="0.2">
      <c r="I182" s="621"/>
    </row>
    <row r="183" spans="9:9" s="613" customFormat="1" x14ac:dyDescent="0.2">
      <c r="I183" s="621"/>
    </row>
    <row r="184" spans="9:9" s="613" customFormat="1" x14ac:dyDescent="0.2">
      <c r="I184" s="621"/>
    </row>
    <row r="185" spans="9:9" s="613" customFormat="1" x14ac:dyDescent="0.2">
      <c r="I185" s="621"/>
    </row>
    <row r="186" spans="9:9" s="613" customFormat="1" x14ac:dyDescent="0.2">
      <c r="I186" s="621"/>
    </row>
    <row r="187" spans="9:9" s="613" customFormat="1" x14ac:dyDescent="0.2">
      <c r="I187" s="621"/>
    </row>
    <row r="188" spans="9:9" s="613" customFormat="1" x14ac:dyDescent="0.2">
      <c r="I188" s="621"/>
    </row>
    <row r="189" spans="9:9" s="613" customFormat="1" x14ac:dyDescent="0.2">
      <c r="I189" s="621"/>
    </row>
    <row r="190" spans="9:9" s="613" customFormat="1" x14ac:dyDescent="0.2">
      <c r="I190" s="621"/>
    </row>
    <row r="191" spans="9:9" s="613" customFormat="1" x14ac:dyDescent="0.2">
      <c r="I191" s="621"/>
    </row>
    <row r="192" spans="9:9" s="613" customFormat="1" x14ac:dyDescent="0.2">
      <c r="I192" s="621"/>
    </row>
    <row r="193" spans="9:9" s="613" customFormat="1" x14ac:dyDescent="0.2">
      <c r="I193" s="621"/>
    </row>
    <row r="194" spans="9:9" s="613" customFormat="1" x14ac:dyDescent="0.2">
      <c r="I194" s="621"/>
    </row>
    <row r="195" spans="9:9" s="613" customFormat="1" x14ac:dyDescent="0.2">
      <c r="I195" s="621"/>
    </row>
    <row r="196" spans="9:9" s="613" customFormat="1" x14ac:dyDescent="0.2">
      <c r="I196" s="621"/>
    </row>
    <row r="197" spans="9:9" s="613" customFormat="1" x14ac:dyDescent="0.2">
      <c r="I197" s="621"/>
    </row>
    <row r="198" spans="9:9" s="613" customFormat="1" x14ac:dyDescent="0.2">
      <c r="I198" s="621"/>
    </row>
    <row r="199" spans="9:9" s="613" customFormat="1" x14ac:dyDescent="0.2">
      <c r="I199" s="621"/>
    </row>
    <row r="200" spans="9:9" s="613" customFormat="1" x14ac:dyDescent="0.2">
      <c r="I200" s="621"/>
    </row>
    <row r="201" spans="9:9" s="613" customFormat="1" x14ac:dyDescent="0.2">
      <c r="I201" s="621"/>
    </row>
    <row r="202" spans="9:9" s="613" customFormat="1" x14ac:dyDescent="0.2">
      <c r="I202" s="621"/>
    </row>
    <row r="203" spans="9:9" s="613" customFormat="1" x14ac:dyDescent="0.2">
      <c r="I203" s="621"/>
    </row>
    <row r="204" spans="9:9" s="613" customFormat="1" x14ac:dyDescent="0.2">
      <c r="I204" s="621"/>
    </row>
    <row r="205" spans="9:9" s="613" customFormat="1" x14ac:dyDescent="0.2">
      <c r="I205" s="621"/>
    </row>
    <row r="206" spans="9:9" s="613" customFormat="1" x14ac:dyDescent="0.2">
      <c r="I206" s="621"/>
    </row>
    <row r="207" spans="9:9" s="613" customFormat="1" x14ac:dyDescent="0.2">
      <c r="I207" s="621"/>
    </row>
    <row r="208" spans="9:9" s="613" customFormat="1" x14ac:dyDescent="0.2">
      <c r="I208" s="621"/>
    </row>
    <row r="209" spans="9:9" s="613" customFormat="1" x14ac:dyDescent="0.2">
      <c r="I209" s="621"/>
    </row>
    <row r="210" spans="9:9" s="613" customFormat="1" x14ac:dyDescent="0.2">
      <c r="I210" s="621"/>
    </row>
    <row r="211" spans="9:9" s="613" customFormat="1" x14ac:dyDescent="0.2">
      <c r="I211" s="621"/>
    </row>
    <row r="212" spans="9:9" s="613" customFormat="1" x14ac:dyDescent="0.2">
      <c r="I212" s="621"/>
    </row>
    <row r="213" spans="9:9" s="613" customFormat="1" x14ac:dyDescent="0.2">
      <c r="I213" s="621"/>
    </row>
    <row r="214" spans="9:9" s="613" customFormat="1" x14ac:dyDescent="0.2">
      <c r="I214" s="621"/>
    </row>
    <row r="215" spans="9:9" s="613" customFormat="1" x14ac:dyDescent="0.2">
      <c r="I215" s="621"/>
    </row>
    <row r="216" spans="9:9" s="613" customFormat="1" x14ac:dyDescent="0.2">
      <c r="I216" s="621"/>
    </row>
    <row r="217" spans="9:9" s="613" customFormat="1" x14ac:dyDescent="0.2">
      <c r="I217" s="621"/>
    </row>
    <row r="218" spans="9:9" s="613" customFormat="1" x14ac:dyDescent="0.2">
      <c r="I218" s="621"/>
    </row>
    <row r="219" spans="9:9" s="613" customFormat="1" x14ac:dyDescent="0.2">
      <c r="I219" s="621"/>
    </row>
    <row r="220" spans="9:9" s="613" customFormat="1" x14ac:dyDescent="0.2">
      <c r="I220" s="621"/>
    </row>
    <row r="221" spans="9:9" s="613" customFormat="1" x14ac:dyDescent="0.2">
      <c r="I221" s="621"/>
    </row>
    <row r="222" spans="9:9" s="613" customFormat="1" x14ac:dyDescent="0.2">
      <c r="I222" s="621"/>
    </row>
    <row r="223" spans="9:9" s="613" customFormat="1" x14ac:dyDescent="0.2">
      <c r="I223" s="621"/>
    </row>
    <row r="224" spans="9:9" s="613" customFormat="1" x14ac:dyDescent="0.2">
      <c r="I224" s="621"/>
    </row>
    <row r="225" spans="9:9" s="613" customFormat="1" x14ac:dyDescent="0.2">
      <c r="I225" s="621"/>
    </row>
    <row r="226" spans="9:9" s="613" customFormat="1" x14ac:dyDescent="0.2">
      <c r="I226" s="621"/>
    </row>
    <row r="227" spans="9:9" s="613" customFormat="1" x14ac:dyDescent="0.2">
      <c r="I227" s="621"/>
    </row>
    <row r="228" spans="9:9" s="613" customFormat="1" x14ac:dyDescent="0.2">
      <c r="I228" s="621"/>
    </row>
    <row r="229" spans="9:9" s="613" customFormat="1" x14ac:dyDescent="0.2">
      <c r="I229" s="621"/>
    </row>
    <row r="230" spans="9:9" s="613" customFormat="1" x14ac:dyDescent="0.2">
      <c r="I230" s="621"/>
    </row>
    <row r="231" spans="9:9" s="613" customFormat="1" x14ac:dyDescent="0.2">
      <c r="I231" s="621"/>
    </row>
    <row r="232" spans="9:9" s="613" customFormat="1" x14ac:dyDescent="0.2">
      <c r="I232" s="621"/>
    </row>
    <row r="233" spans="9:9" s="613" customFormat="1" x14ac:dyDescent="0.2">
      <c r="I233" s="621"/>
    </row>
    <row r="234" spans="9:9" s="613" customFormat="1" x14ac:dyDescent="0.2">
      <c r="I234" s="621"/>
    </row>
    <row r="235" spans="9:9" s="613" customFormat="1" x14ac:dyDescent="0.2">
      <c r="I235" s="621"/>
    </row>
    <row r="236" spans="9:9" s="613" customFormat="1" x14ac:dyDescent="0.2">
      <c r="I236" s="621"/>
    </row>
    <row r="237" spans="9:9" s="613" customFormat="1" x14ac:dyDescent="0.2">
      <c r="I237" s="621"/>
    </row>
    <row r="238" spans="9:9" s="613" customFormat="1" x14ac:dyDescent="0.2">
      <c r="I238" s="621"/>
    </row>
    <row r="239" spans="9:9" s="613" customFormat="1" x14ac:dyDescent="0.2">
      <c r="I239" s="621"/>
    </row>
    <row r="240" spans="9:9" s="613" customFormat="1" x14ac:dyDescent="0.2">
      <c r="I240" s="621"/>
    </row>
    <row r="241" spans="9:9" s="613" customFormat="1" x14ac:dyDescent="0.2">
      <c r="I241" s="621"/>
    </row>
    <row r="242" spans="9:9" s="613" customFormat="1" x14ac:dyDescent="0.2">
      <c r="I242" s="621"/>
    </row>
    <row r="243" spans="9:9" s="613" customFormat="1" x14ac:dyDescent="0.2">
      <c r="I243" s="621"/>
    </row>
    <row r="244" spans="9:9" s="613" customFormat="1" x14ac:dyDescent="0.2">
      <c r="I244" s="621"/>
    </row>
    <row r="245" spans="9:9" s="613" customFormat="1" x14ac:dyDescent="0.2">
      <c r="I245" s="621"/>
    </row>
    <row r="246" spans="9:9" s="613" customFormat="1" x14ac:dyDescent="0.2">
      <c r="I246" s="621"/>
    </row>
    <row r="247" spans="9:9" s="613" customFormat="1" x14ac:dyDescent="0.2">
      <c r="I247" s="621"/>
    </row>
    <row r="248" spans="9:9" s="613" customFormat="1" x14ac:dyDescent="0.2">
      <c r="I248" s="621"/>
    </row>
    <row r="249" spans="9:9" s="613" customFormat="1" x14ac:dyDescent="0.2">
      <c r="I249" s="621"/>
    </row>
    <row r="250" spans="9:9" s="613" customFormat="1" x14ac:dyDescent="0.2">
      <c r="I250" s="621"/>
    </row>
    <row r="251" spans="9:9" s="613" customFormat="1" x14ac:dyDescent="0.2">
      <c r="I251" s="621"/>
    </row>
    <row r="252" spans="9:9" s="613" customFormat="1" x14ac:dyDescent="0.2">
      <c r="I252" s="621"/>
    </row>
    <row r="253" spans="9:9" s="613" customFormat="1" x14ac:dyDescent="0.2">
      <c r="I253" s="621"/>
    </row>
    <row r="254" spans="9:9" s="613" customFormat="1" x14ac:dyDescent="0.2">
      <c r="I254" s="621"/>
    </row>
    <row r="255" spans="9:9" s="613" customFormat="1" x14ac:dyDescent="0.2">
      <c r="I255" s="621"/>
    </row>
    <row r="256" spans="9:9" s="613" customFormat="1" x14ac:dyDescent="0.2">
      <c r="I256" s="621"/>
    </row>
    <row r="257" spans="9:9" s="613" customFormat="1" x14ac:dyDescent="0.2">
      <c r="I257" s="621"/>
    </row>
    <row r="258" spans="9:9" s="613" customFormat="1" x14ac:dyDescent="0.2">
      <c r="I258" s="621"/>
    </row>
    <row r="259" spans="9:9" s="613" customFormat="1" x14ac:dyDescent="0.2">
      <c r="I259" s="621"/>
    </row>
    <row r="260" spans="9:9" s="613" customFormat="1" x14ac:dyDescent="0.2">
      <c r="I260" s="621"/>
    </row>
    <row r="261" spans="9:9" s="613" customFormat="1" x14ac:dyDescent="0.2">
      <c r="I261" s="621"/>
    </row>
    <row r="262" spans="9:9" s="613" customFormat="1" x14ac:dyDescent="0.2">
      <c r="I262" s="621"/>
    </row>
    <row r="263" spans="9:9" s="613" customFormat="1" x14ac:dyDescent="0.2">
      <c r="I263" s="621"/>
    </row>
    <row r="264" spans="9:9" s="613" customFormat="1" x14ac:dyDescent="0.2">
      <c r="I264" s="621"/>
    </row>
    <row r="265" spans="9:9" s="613" customFormat="1" x14ac:dyDescent="0.2">
      <c r="I265" s="621"/>
    </row>
    <row r="266" spans="9:9" s="613" customFormat="1" x14ac:dyDescent="0.2">
      <c r="I266" s="621"/>
    </row>
    <row r="267" spans="9:9" s="613" customFormat="1" x14ac:dyDescent="0.2">
      <c r="I267" s="621"/>
    </row>
    <row r="268" spans="9:9" s="613" customFormat="1" x14ac:dyDescent="0.2">
      <c r="I268" s="621"/>
    </row>
    <row r="269" spans="9:9" s="613" customFormat="1" x14ac:dyDescent="0.2">
      <c r="I269" s="621"/>
    </row>
    <row r="270" spans="9:9" s="613" customFormat="1" x14ac:dyDescent="0.2">
      <c r="I270" s="621"/>
    </row>
    <row r="271" spans="9:9" s="613" customFormat="1" x14ac:dyDescent="0.2">
      <c r="I271" s="621"/>
    </row>
    <row r="272" spans="9:9" s="613" customFormat="1" x14ac:dyDescent="0.2">
      <c r="I272" s="621"/>
    </row>
    <row r="273" spans="9:9" s="613" customFormat="1" x14ac:dyDescent="0.2">
      <c r="I273" s="621"/>
    </row>
    <row r="274" spans="9:9" s="613" customFormat="1" x14ac:dyDescent="0.2">
      <c r="I274" s="621"/>
    </row>
    <row r="275" spans="9:9" s="613" customFormat="1" x14ac:dyDescent="0.2">
      <c r="I275" s="621"/>
    </row>
    <row r="276" spans="9:9" s="613" customFormat="1" x14ac:dyDescent="0.2">
      <c r="I276" s="621"/>
    </row>
    <row r="277" spans="9:9" s="613" customFormat="1" x14ac:dyDescent="0.2">
      <c r="I277" s="621"/>
    </row>
    <row r="278" spans="9:9" s="613" customFormat="1" x14ac:dyDescent="0.2">
      <c r="I278" s="621"/>
    </row>
    <row r="279" spans="9:9" s="613" customFormat="1" x14ac:dyDescent="0.2">
      <c r="I279" s="621"/>
    </row>
    <row r="280" spans="9:9" s="613" customFormat="1" x14ac:dyDescent="0.2">
      <c r="I280" s="621"/>
    </row>
    <row r="281" spans="9:9" s="613" customFormat="1" x14ac:dyDescent="0.2">
      <c r="I281" s="621"/>
    </row>
    <row r="282" spans="9:9" s="613" customFormat="1" x14ac:dyDescent="0.2">
      <c r="I282" s="621"/>
    </row>
    <row r="283" spans="9:9" s="613" customFormat="1" x14ac:dyDescent="0.2">
      <c r="I283" s="621"/>
    </row>
    <row r="284" spans="9:9" s="613" customFormat="1" x14ac:dyDescent="0.2">
      <c r="I284" s="621"/>
    </row>
    <row r="285" spans="9:9" s="613" customFormat="1" x14ac:dyDescent="0.2">
      <c r="I285" s="621"/>
    </row>
    <row r="286" spans="9:9" s="613" customFormat="1" x14ac:dyDescent="0.2">
      <c r="I286" s="621"/>
    </row>
    <row r="287" spans="9:9" s="613" customFormat="1" x14ac:dyDescent="0.2">
      <c r="I287" s="621"/>
    </row>
    <row r="288" spans="9:9" s="613" customFormat="1" x14ac:dyDescent="0.2">
      <c r="I288" s="621"/>
    </row>
    <row r="289" spans="9:9" s="613" customFormat="1" x14ac:dyDescent="0.2">
      <c r="I289" s="621"/>
    </row>
    <row r="290" spans="9:9" s="613" customFormat="1" x14ac:dyDescent="0.2">
      <c r="I290" s="621"/>
    </row>
    <row r="291" spans="9:9" s="613" customFormat="1" x14ac:dyDescent="0.2">
      <c r="I291" s="621"/>
    </row>
    <row r="292" spans="9:9" s="613" customFormat="1" x14ac:dyDescent="0.2">
      <c r="I292" s="621"/>
    </row>
    <row r="293" spans="9:9" s="613" customFormat="1" x14ac:dyDescent="0.2">
      <c r="I293" s="621"/>
    </row>
    <row r="294" spans="9:9" s="613" customFormat="1" x14ac:dyDescent="0.2">
      <c r="I294" s="621"/>
    </row>
    <row r="295" spans="9:9" s="613" customFormat="1" x14ac:dyDescent="0.2">
      <c r="I295" s="621"/>
    </row>
    <row r="296" spans="9:9" s="613" customFormat="1" x14ac:dyDescent="0.2">
      <c r="I296" s="621"/>
    </row>
    <row r="297" spans="9:9" s="613" customFormat="1" x14ac:dyDescent="0.2">
      <c r="I297" s="621"/>
    </row>
    <row r="298" spans="9:9" s="613" customFormat="1" x14ac:dyDescent="0.2">
      <c r="I298" s="621"/>
    </row>
    <row r="299" spans="9:9" s="613" customFormat="1" x14ac:dyDescent="0.2">
      <c r="I299" s="621"/>
    </row>
    <row r="300" spans="9:9" s="613" customFormat="1" x14ac:dyDescent="0.2">
      <c r="I300" s="621"/>
    </row>
    <row r="301" spans="9:9" s="613" customFormat="1" x14ac:dyDescent="0.2">
      <c r="I301" s="621"/>
    </row>
    <row r="302" spans="9:9" s="613" customFormat="1" x14ac:dyDescent="0.2">
      <c r="I302" s="621"/>
    </row>
    <row r="303" spans="9:9" s="613" customFormat="1" x14ac:dyDescent="0.2">
      <c r="I303" s="621"/>
    </row>
    <row r="304" spans="9:9" s="613" customFormat="1" x14ac:dyDescent="0.2">
      <c r="I304" s="621"/>
    </row>
    <row r="305" spans="9:9" s="613" customFormat="1" x14ac:dyDescent="0.2">
      <c r="I305" s="621"/>
    </row>
    <row r="306" spans="9:9" s="613" customFormat="1" x14ac:dyDescent="0.2">
      <c r="I306" s="621"/>
    </row>
    <row r="307" spans="9:9" s="613" customFormat="1" x14ac:dyDescent="0.2">
      <c r="I307" s="621"/>
    </row>
    <row r="308" spans="9:9" s="613" customFormat="1" x14ac:dyDescent="0.2">
      <c r="I308" s="621"/>
    </row>
    <row r="309" spans="9:9" s="613" customFormat="1" x14ac:dyDescent="0.2">
      <c r="I309" s="621"/>
    </row>
    <row r="310" spans="9:9" s="613" customFormat="1" x14ac:dyDescent="0.2">
      <c r="I310" s="621"/>
    </row>
    <row r="311" spans="9:9" s="613" customFormat="1" x14ac:dyDescent="0.2">
      <c r="I311" s="621"/>
    </row>
    <row r="312" spans="9:9" s="613" customFormat="1" x14ac:dyDescent="0.2">
      <c r="I312" s="621"/>
    </row>
    <row r="313" spans="9:9" s="613" customFormat="1" x14ac:dyDescent="0.2">
      <c r="I313" s="621"/>
    </row>
    <row r="314" spans="9:9" s="613" customFormat="1" x14ac:dyDescent="0.2">
      <c r="I314" s="621"/>
    </row>
    <row r="315" spans="9:9" s="613" customFormat="1" x14ac:dyDescent="0.2">
      <c r="I315" s="621"/>
    </row>
    <row r="316" spans="9:9" s="613" customFormat="1" x14ac:dyDescent="0.2">
      <c r="I316" s="621"/>
    </row>
    <row r="317" spans="9:9" s="613" customFormat="1" x14ac:dyDescent="0.2">
      <c r="I317" s="621"/>
    </row>
    <row r="318" spans="9:9" s="613" customFormat="1" x14ac:dyDescent="0.2">
      <c r="I318" s="621"/>
    </row>
    <row r="319" spans="9:9" s="613" customFormat="1" x14ac:dyDescent="0.2">
      <c r="I319" s="621"/>
    </row>
    <row r="320" spans="9:9" s="613" customFormat="1" x14ac:dyDescent="0.2">
      <c r="I320" s="621"/>
    </row>
    <row r="321" spans="9:9" s="613" customFormat="1" x14ac:dyDescent="0.2">
      <c r="I321" s="621"/>
    </row>
    <row r="322" spans="9:9" s="613" customFormat="1" x14ac:dyDescent="0.2">
      <c r="I322" s="621"/>
    </row>
    <row r="323" spans="9:9" s="613" customFormat="1" x14ac:dyDescent="0.2">
      <c r="I323" s="621"/>
    </row>
    <row r="324" spans="9:9" s="613" customFormat="1" x14ac:dyDescent="0.2">
      <c r="I324" s="621"/>
    </row>
    <row r="325" spans="9:9" s="613" customFormat="1" x14ac:dyDescent="0.2">
      <c r="I325" s="621"/>
    </row>
    <row r="326" spans="9:9" s="613" customFormat="1" x14ac:dyDescent="0.2">
      <c r="I326" s="621"/>
    </row>
    <row r="327" spans="9:9" s="613" customFormat="1" x14ac:dyDescent="0.2">
      <c r="I327" s="621"/>
    </row>
    <row r="328" spans="9:9" s="613" customFormat="1" x14ac:dyDescent="0.2">
      <c r="I328" s="621"/>
    </row>
    <row r="329" spans="9:9" s="613" customFormat="1" x14ac:dyDescent="0.2">
      <c r="I329" s="621"/>
    </row>
    <row r="330" spans="9:9" s="613" customFormat="1" x14ac:dyDescent="0.2">
      <c r="I330" s="621"/>
    </row>
    <row r="331" spans="9:9" s="613" customFormat="1" x14ac:dyDescent="0.2">
      <c r="I331" s="621"/>
    </row>
    <row r="332" spans="9:9" s="613" customFormat="1" x14ac:dyDescent="0.2">
      <c r="I332" s="621"/>
    </row>
    <row r="333" spans="9:9" s="613" customFormat="1" x14ac:dyDescent="0.2">
      <c r="I333" s="621"/>
    </row>
    <row r="334" spans="9:9" s="613" customFormat="1" x14ac:dyDescent="0.2">
      <c r="I334" s="621"/>
    </row>
    <row r="335" spans="9:9" s="613" customFormat="1" x14ac:dyDescent="0.2">
      <c r="I335" s="621"/>
    </row>
    <row r="336" spans="9:9" s="613" customFormat="1" x14ac:dyDescent="0.2">
      <c r="I336" s="621"/>
    </row>
    <row r="337" spans="9:9" s="613" customFormat="1" x14ac:dyDescent="0.2">
      <c r="I337" s="621"/>
    </row>
    <row r="338" spans="9:9" s="613" customFormat="1" x14ac:dyDescent="0.2">
      <c r="I338" s="621"/>
    </row>
    <row r="339" spans="9:9" s="613" customFormat="1" x14ac:dyDescent="0.2">
      <c r="I339" s="621"/>
    </row>
    <row r="340" spans="9:9" s="613" customFormat="1" x14ac:dyDescent="0.2">
      <c r="I340" s="621"/>
    </row>
    <row r="341" spans="9:9" s="613" customFormat="1" x14ac:dyDescent="0.2">
      <c r="I341" s="621"/>
    </row>
    <row r="342" spans="9:9" s="613" customFormat="1" x14ac:dyDescent="0.2">
      <c r="I342" s="621"/>
    </row>
    <row r="343" spans="9:9" s="613" customFormat="1" x14ac:dyDescent="0.2">
      <c r="I343" s="621"/>
    </row>
    <row r="344" spans="9:9" s="613" customFormat="1" x14ac:dyDescent="0.2">
      <c r="I344" s="621"/>
    </row>
    <row r="345" spans="9:9" s="613" customFormat="1" x14ac:dyDescent="0.2">
      <c r="I345" s="621"/>
    </row>
    <row r="346" spans="9:9" s="613" customFormat="1" x14ac:dyDescent="0.2">
      <c r="I346" s="621"/>
    </row>
    <row r="347" spans="9:9" s="613" customFormat="1" x14ac:dyDescent="0.2">
      <c r="I347" s="621"/>
    </row>
    <row r="348" spans="9:9" s="613" customFormat="1" x14ac:dyDescent="0.2">
      <c r="I348" s="621"/>
    </row>
    <row r="349" spans="9:9" s="613" customFormat="1" x14ac:dyDescent="0.2">
      <c r="I349" s="621"/>
    </row>
    <row r="350" spans="9:9" s="613" customFormat="1" x14ac:dyDescent="0.2">
      <c r="I350" s="621"/>
    </row>
    <row r="351" spans="9:9" s="613" customFormat="1" x14ac:dyDescent="0.2">
      <c r="I351" s="621"/>
    </row>
    <row r="352" spans="9:9" s="613" customFormat="1" x14ac:dyDescent="0.2">
      <c r="I352" s="621"/>
    </row>
    <row r="353" spans="9:9" s="613" customFormat="1" x14ac:dyDescent="0.2">
      <c r="I353" s="621"/>
    </row>
    <row r="354" spans="9:9" s="613" customFormat="1" x14ac:dyDescent="0.2">
      <c r="I354" s="621"/>
    </row>
    <row r="355" spans="9:9" s="613" customFormat="1" x14ac:dyDescent="0.2">
      <c r="I355" s="621"/>
    </row>
    <row r="356" spans="9:9" s="613" customFormat="1" x14ac:dyDescent="0.2">
      <c r="I356" s="621"/>
    </row>
    <row r="357" spans="9:9" s="613" customFormat="1" x14ac:dyDescent="0.2">
      <c r="I357" s="621"/>
    </row>
    <row r="358" spans="9:9" s="613" customFormat="1" x14ac:dyDescent="0.2">
      <c r="I358" s="621"/>
    </row>
    <row r="359" spans="9:9" s="613" customFormat="1" x14ac:dyDescent="0.2">
      <c r="I359" s="621"/>
    </row>
    <row r="360" spans="9:9" s="613" customFormat="1" x14ac:dyDescent="0.2">
      <c r="I360" s="621"/>
    </row>
    <row r="361" spans="9:9" s="613" customFormat="1" x14ac:dyDescent="0.2">
      <c r="I361" s="621"/>
    </row>
    <row r="362" spans="9:9" s="613" customFormat="1" x14ac:dyDescent="0.2">
      <c r="I362" s="621"/>
    </row>
    <row r="363" spans="9:9" s="613" customFormat="1" x14ac:dyDescent="0.2">
      <c r="I363" s="621"/>
    </row>
    <row r="364" spans="9:9" s="613" customFormat="1" x14ac:dyDescent="0.2">
      <c r="I364" s="621"/>
    </row>
    <row r="365" spans="9:9" s="613" customFormat="1" x14ac:dyDescent="0.2">
      <c r="I365" s="621"/>
    </row>
    <row r="366" spans="9:9" s="613" customFormat="1" x14ac:dyDescent="0.2">
      <c r="I366" s="621"/>
    </row>
    <row r="367" spans="9:9" s="613" customFormat="1" x14ac:dyDescent="0.2">
      <c r="I367" s="621"/>
    </row>
    <row r="368" spans="9:9" s="613" customFormat="1" x14ac:dyDescent="0.2">
      <c r="I368" s="621"/>
    </row>
    <row r="369" spans="9:9" s="613" customFormat="1" x14ac:dyDescent="0.2">
      <c r="I369" s="621"/>
    </row>
    <row r="370" spans="9:9" s="613" customFormat="1" x14ac:dyDescent="0.2">
      <c r="I370" s="621"/>
    </row>
    <row r="371" spans="9:9" s="613" customFormat="1" x14ac:dyDescent="0.2">
      <c r="I371" s="621"/>
    </row>
    <row r="372" spans="9:9" s="613" customFormat="1" x14ac:dyDescent="0.2">
      <c r="I372" s="621"/>
    </row>
    <row r="373" spans="9:9" s="613" customFormat="1" x14ac:dyDescent="0.2">
      <c r="I373" s="621"/>
    </row>
    <row r="374" spans="9:9" s="613" customFormat="1" x14ac:dyDescent="0.2">
      <c r="I374" s="621"/>
    </row>
    <row r="375" spans="9:9" s="613" customFormat="1" x14ac:dyDescent="0.2">
      <c r="I375" s="621"/>
    </row>
    <row r="376" spans="9:9" s="613" customFormat="1" x14ac:dyDescent="0.2">
      <c r="I376" s="621"/>
    </row>
    <row r="377" spans="9:9" s="613" customFormat="1" x14ac:dyDescent="0.2">
      <c r="I377" s="621"/>
    </row>
    <row r="378" spans="9:9" s="613" customFormat="1" x14ac:dyDescent="0.2">
      <c r="I378" s="621"/>
    </row>
    <row r="379" spans="9:9" s="613" customFormat="1" x14ac:dyDescent="0.2">
      <c r="I379" s="621"/>
    </row>
    <row r="380" spans="9:9" s="613" customFormat="1" x14ac:dyDescent="0.2">
      <c r="I380" s="621"/>
    </row>
    <row r="381" spans="9:9" s="613" customFormat="1" x14ac:dyDescent="0.2">
      <c r="I381" s="621"/>
    </row>
    <row r="382" spans="9:9" s="613" customFormat="1" x14ac:dyDescent="0.2">
      <c r="I382" s="621"/>
    </row>
    <row r="383" spans="9:9" s="613" customFormat="1" x14ac:dyDescent="0.2">
      <c r="I383" s="621"/>
    </row>
    <row r="384" spans="9:9" s="613" customFormat="1" x14ac:dyDescent="0.2">
      <c r="I384" s="621"/>
    </row>
    <row r="385" spans="9:9" s="613" customFormat="1" x14ac:dyDescent="0.2">
      <c r="I385" s="621"/>
    </row>
    <row r="386" spans="9:9" s="613" customFormat="1" x14ac:dyDescent="0.2">
      <c r="I386" s="621"/>
    </row>
    <row r="387" spans="9:9" s="613" customFormat="1" x14ac:dyDescent="0.2">
      <c r="I387" s="621"/>
    </row>
    <row r="388" spans="9:9" s="613" customFormat="1" x14ac:dyDescent="0.2">
      <c r="I388" s="621"/>
    </row>
    <row r="389" spans="9:9" s="613" customFormat="1" x14ac:dyDescent="0.2">
      <c r="I389" s="621"/>
    </row>
    <row r="390" spans="9:9" s="613" customFormat="1" x14ac:dyDescent="0.2">
      <c r="I390" s="621"/>
    </row>
    <row r="391" spans="9:9" s="613" customFormat="1" x14ac:dyDescent="0.2">
      <c r="I391" s="621"/>
    </row>
    <row r="392" spans="9:9" s="613" customFormat="1" x14ac:dyDescent="0.2">
      <c r="I392" s="621"/>
    </row>
    <row r="393" spans="9:9" s="613" customFormat="1" x14ac:dyDescent="0.2">
      <c r="I393" s="621"/>
    </row>
    <row r="394" spans="9:9" s="613" customFormat="1" x14ac:dyDescent="0.2">
      <c r="I394" s="621"/>
    </row>
    <row r="395" spans="9:9" s="613" customFormat="1" x14ac:dyDescent="0.2">
      <c r="I395" s="621"/>
    </row>
    <row r="396" spans="9:9" s="613" customFormat="1" x14ac:dyDescent="0.2">
      <c r="I396" s="621"/>
    </row>
    <row r="397" spans="9:9" s="613" customFormat="1" x14ac:dyDescent="0.2">
      <c r="I397" s="621"/>
    </row>
    <row r="398" spans="9:9" s="613" customFormat="1" x14ac:dyDescent="0.2">
      <c r="I398" s="621"/>
    </row>
    <row r="399" spans="9:9" s="613" customFormat="1" x14ac:dyDescent="0.2">
      <c r="I399" s="621"/>
    </row>
    <row r="400" spans="9:9" s="613" customFormat="1" x14ac:dyDescent="0.2">
      <c r="I400" s="621"/>
    </row>
    <row r="401" spans="9:9" s="613" customFormat="1" x14ac:dyDescent="0.2">
      <c r="I401" s="621"/>
    </row>
    <row r="402" spans="9:9" s="613" customFormat="1" x14ac:dyDescent="0.2">
      <c r="I402" s="621"/>
    </row>
    <row r="403" spans="9:9" s="613" customFormat="1" x14ac:dyDescent="0.2">
      <c r="I403" s="621"/>
    </row>
    <row r="404" spans="9:9" s="613" customFormat="1" x14ac:dyDescent="0.2">
      <c r="I404" s="621"/>
    </row>
    <row r="405" spans="9:9" s="613" customFormat="1" x14ac:dyDescent="0.2">
      <c r="I405" s="621"/>
    </row>
    <row r="406" spans="9:9" s="613" customFormat="1" x14ac:dyDescent="0.2">
      <c r="I406" s="621"/>
    </row>
    <row r="407" spans="9:9" s="613" customFormat="1" x14ac:dyDescent="0.2">
      <c r="I407" s="621"/>
    </row>
    <row r="408" spans="9:9" s="613" customFormat="1" x14ac:dyDescent="0.2">
      <c r="I408" s="621"/>
    </row>
    <row r="409" spans="9:9" s="613" customFormat="1" x14ac:dyDescent="0.2">
      <c r="I409" s="621"/>
    </row>
    <row r="410" spans="9:9" s="613" customFormat="1" x14ac:dyDescent="0.2">
      <c r="I410" s="621"/>
    </row>
    <row r="411" spans="9:9" s="613" customFormat="1" x14ac:dyDescent="0.2">
      <c r="I411" s="621"/>
    </row>
    <row r="412" spans="9:9" s="613" customFormat="1" x14ac:dyDescent="0.2">
      <c r="I412" s="621"/>
    </row>
    <row r="413" spans="9:9" s="613" customFormat="1" x14ac:dyDescent="0.2">
      <c r="I413" s="621"/>
    </row>
    <row r="414" spans="9:9" s="613" customFormat="1" x14ac:dyDescent="0.2">
      <c r="I414" s="621"/>
    </row>
    <row r="415" spans="9:9" s="613" customFormat="1" x14ac:dyDescent="0.2">
      <c r="I415" s="621"/>
    </row>
    <row r="416" spans="9:9" s="613" customFormat="1" x14ac:dyDescent="0.2">
      <c r="I416" s="621"/>
    </row>
    <row r="417" spans="9:9" s="613" customFormat="1" x14ac:dyDescent="0.2">
      <c r="I417" s="621"/>
    </row>
    <row r="418" spans="9:9" s="613" customFormat="1" x14ac:dyDescent="0.2">
      <c r="I418" s="621"/>
    </row>
    <row r="419" spans="9:9" s="613" customFormat="1" x14ac:dyDescent="0.2">
      <c r="I419" s="621"/>
    </row>
    <row r="420" spans="9:9" s="613" customFormat="1" x14ac:dyDescent="0.2">
      <c r="I420" s="621"/>
    </row>
    <row r="421" spans="9:9" s="613" customFormat="1" x14ac:dyDescent="0.2">
      <c r="I421" s="621"/>
    </row>
    <row r="422" spans="9:9" s="613" customFormat="1" x14ac:dyDescent="0.2">
      <c r="I422" s="621"/>
    </row>
    <row r="423" spans="9:9" s="613" customFormat="1" x14ac:dyDescent="0.2">
      <c r="I423" s="621"/>
    </row>
    <row r="424" spans="9:9" s="613" customFormat="1" x14ac:dyDescent="0.2">
      <c r="I424" s="621"/>
    </row>
    <row r="425" spans="9:9" s="613" customFormat="1" x14ac:dyDescent="0.2">
      <c r="I425" s="621"/>
    </row>
    <row r="426" spans="9:9" s="613" customFormat="1" x14ac:dyDescent="0.2">
      <c r="I426" s="621"/>
    </row>
    <row r="427" spans="9:9" s="613" customFormat="1" x14ac:dyDescent="0.2">
      <c r="I427" s="621"/>
    </row>
    <row r="428" spans="9:9" s="613" customFormat="1" x14ac:dyDescent="0.2">
      <c r="I428" s="621"/>
    </row>
    <row r="429" spans="9:9" s="613" customFormat="1" x14ac:dyDescent="0.2">
      <c r="I429" s="621"/>
    </row>
    <row r="430" spans="9:9" s="613" customFormat="1" x14ac:dyDescent="0.2">
      <c r="I430" s="621"/>
    </row>
    <row r="431" spans="9:9" s="613" customFormat="1" x14ac:dyDescent="0.2">
      <c r="I431" s="621"/>
    </row>
    <row r="432" spans="9:9" s="613" customFormat="1" x14ac:dyDescent="0.2">
      <c r="I432" s="621"/>
    </row>
    <row r="433" spans="9:9" s="613" customFormat="1" x14ac:dyDescent="0.2">
      <c r="I433" s="621"/>
    </row>
    <row r="434" spans="9:9" s="613" customFormat="1" x14ac:dyDescent="0.2">
      <c r="I434" s="621"/>
    </row>
    <row r="435" spans="9:9" s="613" customFormat="1" x14ac:dyDescent="0.2">
      <c r="I435" s="621"/>
    </row>
    <row r="436" spans="9:9" s="613" customFormat="1" x14ac:dyDescent="0.2">
      <c r="I436" s="621"/>
    </row>
    <row r="437" spans="9:9" s="613" customFormat="1" x14ac:dyDescent="0.2">
      <c r="I437" s="621"/>
    </row>
    <row r="438" spans="9:9" s="613" customFormat="1" x14ac:dyDescent="0.2">
      <c r="I438" s="621"/>
    </row>
    <row r="439" spans="9:9" s="613" customFormat="1" x14ac:dyDescent="0.2">
      <c r="I439" s="621"/>
    </row>
    <row r="440" spans="9:9" s="613" customFormat="1" x14ac:dyDescent="0.2">
      <c r="I440" s="621"/>
    </row>
    <row r="441" spans="9:9" s="613" customFormat="1" x14ac:dyDescent="0.2">
      <c r="I441" s="621"/>
    </row>
    <row r="442" spans="9:9" s="613" customFormat="1" x14ac:dyDescent="0.2">
      <c r="I442" s="621"/>
    </row>
    <row r="443" spans="9:9" s="613" customFormat="1" x14ac:dyDescent="0.2">
      <c r="I443" s="621"/>
    </row>
    <row r="444" spans="9:9" s="613" customFormat="1" x14ac:dyDescent="0.2">
      <c r="I444" s="621"/>
    </row>
    <row r="445" spans="9:9" s="613" customFormat="1" x14ac:dyDescent="0.2">
      <c r="I445" s="621"/>
    </row>
    <row r="446" spans="9:9" s="613" customFormat="1" x14ac:dyDescent="0.2">
      <c r="I446" s="621"/>
    </row>
    <row r="447" spans="9:9" s="613" customFormat="1" x14ac:dyDescent="0.2">
      <c r="I447" s="621"/>
    </row>
    <row r="448" spans="9:9" s="613" customFormat="1" x14ac:dyDescent="0.2">
      <c r="I448" s="621"/>
    </row>
    <row r="449" spans="9:9" s="613" customFormat="1" x14ac:dyDescent="0.2">
      <c r="I449" s="621"/>
    </row>
    <row r="450" spans="9:9" s="613" customFormat="1" x14ac:dyDescent="0.2">
      <c r="I450" s="621"/>
    </row>
    <row r="451" spans="9:9" s="613" customFormat="1" x14ac:dyDescent="0.2">
      <c r="I451" s="621"/>
    </row>
    <row r="452" spans="9:9" s="613" customFormat="1" x14ac:dyDescent="0.2">
      <c r="I452" s="621"/>
    </row>
    <row r="453" spans="9:9" s="613" customFormat="1" x14ac:dyDescent="0.2">
      <c r="I453" s="621"/>
    </row>
    <row r="454" spans="9:9" s="613" customFormat="1" x14ac:dyDescent="0.2">
      <c r="I454" s="621"/>
    </row>
    <row r="455" spans="9:9" s="613" customFormat="1" x14ac:dyDescent="0.2">
      <c r="I455" s="621"/>
    </row>
    <row r="456" spans="9:9" s="613" customFormat="1" x14ac:dyDescent="0.2">
      <c r="I456" s="621"/>
    </row>
    <row r="457" spans="9:9" s="613" customFormat="1" x14ac:dyDescent="0.2">
      <c r="I457" s="621"/>
    </row>
    <row r="458" spans="9:9" s="613" customFormat="1" x14ac:dyDescent="0.2">
      <c r="I458" s="621"/>
    </row>
    <row r="459" spans="9:9" s="613" customFormat="1" x14ac:dyDescent="0.2">
      <c r="I459" s="621"/>
    </row>
    <row r="460" spans="9:9" s="613" customFormat="1" x14ac:dyDescent="0.2">
      <c r="I460" s="621"/>
    </row>
    <row r="461" spans="9:9" s="613" customFormat="1" x14ac:dyDescent="0.2">
      <c r="I461" s="621"/>
    </row>
    <row r="462" spans="9:9" s="613" customFormat="1" x14ac:dyDescent="0.2">
      <c r="I462" s="621"/>
    </row>
    <row r="463" spans="9:9" s="613" customFormat="1" x14ac:dyDescent="0.2">
      <c r="I463" s="621"/>
    </row>
    <row r="464" spans="9:9" s="613" customFormat="1" x14ac:dyDescent="0.2">
      <c r="I464" s="621"/>
    </row>
    <row r="465" spans="9:9" s="613" customFormat="1" x14ac:dyDescent="0.2">
      <c r="I465" s="621"/>
    </row>
    <row r="466" spans="9:9" s="613" customFormat="1" x14ac:dyDescent="0.2">
      <c r="I466" s="621"/>
    </row>
    <row r="467" spans="9:9" s="613" customFormat="1" x14ac:dyDescent="0.2">
      <c r="I467" s="621"/>
    </row>
    <row r="468" spans="9:9" s="613" customFormat="1" x14ac:dyDescent="0.2">
      <c r="I468" s="621"/>
    </row>
    <row r="469" spans="9:9" s="613" customFormat="1" x14ac:dyDescent="0.2">
      <c r="I469" s="621"/>
    </row>
    <row r="470" spans="9:9" s="613" customFormat="1" x14ac:dyDescent="0.2">
      <c r="I470" s="621"/>
    </row>
    <row r="471" spans="9:9" s="613" customFormat="1" x14ac:dyDescent="0.2">
      <c r="I471" s="621"/>
    </row>
    <row r="472" spans="9:9" s="613" customFormat="1" x14ac:dyDescent="0.2">
      <c r="I472" s="621"/>
    </row>
    <row r="473" spans="9:9" s="613" customFormat="1" x14ac:dyDescent="0.2">
      <c r="I473" s="621"/>
    </row>
    <row r="474" spans="9:9" s="613" customFormat="1" x14ac:dyDescent="0.2">
      <c r="I474" s="621"/>
    </row>
    <row r="475" spans="9:9" s="613" customFormat="1" x14ac:dyDescent="0.2">
      <c r="I475" s="621"/>
    </row>
    <row r="476" spans="9:9" s="613" customFormat="1" x14ac:dyDescent="0.2">
      <c r="I476" s="621"/>
    </row>
    <row r="477" spans="9:9" s="613" customFormat="1" x14ac:dyDescent="0.2">
      <c r="I477" s="621"/>
    </row>
    <row r="478" spans="9:9" s="613" customFormat="1" x14ac:dyDescent="0.2">
      <c r="I478" s="621"/>
    </row>
    <row r="479" spans="9:9" s="613" customFormat="1" x14ac:dyDescent="0.2">
      <c r="I479" s="621"/>
    </row>
    <row r="480" spans="9:9" s="613" customFormat="1" x14ac:dyDescent="0.2">
      <c r="I480" s="621"/>
    </row>
    <row r="481" spans="9:9" s="613" customFormat="1" x14ac:dyDescent="0.2">
      <c r="I481" s="621"/>
    </row>
    <row r="482" spans="9:9" s="613" customFormat="1" x14ac:dyDescent="0.2">
      <c r="I482" s="621"/>
    </row>
    <row r="483" spans="9:9" s="613" customFormat="1" x14ac:dyDescent="0.2">
      <c r="I483" s="621"/>
    </row>
    <row r="484" spans="9:9" s="613" customFormat="1" x14ac:dyDescent="0.2">
      <c r="I484" s="621"/>
    </row>
    <row r="485" spans="9:9" s="613" customFormat="1" x14ac:dyDescent="0.2">
      <c r="I485" s="621"/>
    </row>
    <row r="486" spans="9:9" s="613" customFormat="1" x14ac:dyDescent="0.2">
      <c r="I486" s="621"/>
    </row>
    <row r="487" spans="9:9" s="613" customFormat="1" x14ac:dyDescent="0.2">
      <c r="I487" s="621"/>
    </row>
    <row r="488" spans="9:9" s="613" customFormat="1" x14ac:dyDescent="0.2">
      <c r="I488" s="621"/>
    </row>
    <row r="489" spans="9:9" s="613" customFormat="1" x14ac:dyDescent="0.2">
      <c r="I489" s="621"/>
    </row>
    <row r="490" spans="9:9" s="613" customFormat="1" x14ac:dyDescent="0.2">
      <c r="I490" s="621"/>
    </row>
    <row r="491" spans="9:9" s="613" customFormat="1" x14ac:dyDescent="0.2">
      <c r="I491" s="621"/>
    </row>
    <row r="492" spans="9:9" s="613" customFormat="1" x14ac:dyDescent="0.2">
      <c r="I492" s="621"/>
    </row>
    <row r="493" spans="9:9" s="613" customFormat="1" x14ac:dyDescent="0.2">
      <c r="I493" s="621"/>
    </row>
    <row r="494" spans="9:9" s="613" customFormat="1" x14ac:dyDescent="0.2">
      <c r="I494" s="621"/>
    </row>
    <row r="495" spans="9:9" s="613" customFormat="1" x14ac:dyDescent="0.2">
      <c r="I495" s="621"/>
    </row>
    <row r="496" spans="9:9" s="613" customFormat="1" x14ac:dyDescent="0.2">
      <c r="I496" s="621"/>
    </row>
    <row r="497" spans="9:9" s="613" customFormat="1" x14ac:dyDescent="0.2">
      <c r="I497" s="621"/>
    </row>
    <row r="498" spans="9:9" s="613" customFormat="1" x14ac:dyDescent="0.2">
      <c r="I498" s="621"/>
    </row>
    <row r="499" spans="9:9" s="613" customFormat="1" x14ac:dyDescent="0.2">
      <c r="I499" s="621"/>
    </row>
    <row r="500" spans="9:9" s="613" customFormat="1" x14ac:dyDescent="0.2">
      <c r="I500" s="621"/>
    </row>
    <row r="501" spans="9:9" s="613" customFormat="1" x14ac:dyDescent="0.2">
      <c r="I501" s="621"/>
    </row>
    <row r="502" spans="9:9" s="613" customFormat="1" x14ac:dyDescent="0.2">
      <c r="I502" s="621"/>
    </row>
    <row r="503" spans="9:9" s="613" customFormat="1" x14ac:dyDescent="0.2">
      <c r="I503" s="621"/>
    </row>
    <row r="504" spans="9:9" s="613" customFormat="1" x14ac:dyDescent="0.2">
      <c r="I504" s="621"/>
    </row>
    <row r="505" spans="9:9" s="613" customFormat="1" x14ac:dyDescent="0.2">
      <c r="I505" s="621"/>
    </row>
    <row r="506" spans="9:9" s="613" customFormat="1" x14ac:dyDescent="0.2">
      <c r="I506" s="621"/>
    </row>
    <row r="507" spans="9:9" s="613" customFormat="1" x14ac:dyDescent="0.2">
      <c r="I507" s="621"/>
    </row>
    <row r="508" spans="9:9" s="613" customFormat="1" x14ac:dyDescent="0.2">
      <c r="I508" s="621"/>
    </row>
    <row r="509" spans="9:9" s="613" customFormat="1" x14ac:dyDescent="0.2">
      <c r="I509" s="621"/>
    </row>
    <row r="510" spans="9:9" s="613" customFormat="1" x14ac:dyDescent="0.2">
      <c r="I510" s="621"/>
    </row>
    <row r="511" spans="9:9" s="613" customFormat="1" x14ac:dyDescent="0.2">
      <c r="I511" s="621"/>
    </row>
    <row r="512" spans="9:9" s="613" customFormat="1" x14ac:dyDescent="0.2">
      <c r="I512" s="621"/>
    </row>
    <row r="513" spans="9:9" s="613" customFormat="1" x14ac:dyDescent="0.2">
      <c r="I513" s="621"/>
    </row>
    <row r="514" spans="9:9" s="613" customFormat="1" x14ac:dyDescent="0.2">
      <c r="I514" s="621"/>
    </row>
    <row r="515" spans="9:9" s="613" customFormat="1" x14ac:dyDescent="0.2">
      <c r="I515" s="621"/>
    </row>
    <row r="516" spans="9:9" s="613" customFormat="1" x14ac:dyDescent="0.2">
      <c r="I516" s="621"/>
    </row>
    <row r="517" spans="9:9" s="613" customFormat="1" x14ac:dyDescent="0.2">
      <c r="I517" s="621"/>
    </row>
    <row r="518" spans="9:9" s="613" customFormat="1" x14ac:dyDescent="0.2">
      <c r="I518" s="621"/>
    </row>
    <row r="519" spans="9:9" s="613" customFormat="1" x14ac:dyDescent="0.2">
      <c r="I519" s="621"/>
    </row>
    <row r="520" spans="9:9" s="613" customFormat="1" x14ac:dyDescent="0.2">
      <c r="I520" s="621"/>
    </row>
    <row r="521" spans="9:9" s="613" customFormat="1" x14ac:dyDescent="0.2">
      <c r="I521" s="621"/>
    </row>
    <row r="522" spans="9:9" s="613" customFormat="1" x14ac:dyDescent="0.2">
      <c r="I522" s="621"/>
    </row>
    <row r="523" spans="9:9" s="613" customFormat="1" x14ac:dyDescent="0.2">
      <c r="I523" s="621"/>
    </row>
    <row r="524" spans="9:9" s="613" customFormat="1" x14ac:dyDescent="0.2">
      <c r="I524" s="621"/>
    </row>
    <row r="525" spans="9:9" s="613" customFormat="1" x14ac:dyDescent="0.2">
      <c r="I525" s="621"/>
    </row>
    <row r="526" spans="9:9" s="613" customFormat="1" x14ac:dyDescent="0.2">
      <c r="I526" s="621"/>
    </row>
    <row r="527" spans="9:9" s="613" customFormat="1" x14ac:dyDescent="0.2">
      <c r="I527" s="621"/>
    </row>
    <row r="528" spans="9:9" s="613" customFormat="1" x14ac:dyDescent="0.2">
      <c r="I528" s="621"/>
    </row>
    <row r="529" spans="9:9" s="613" customFormat="1" x14ac:dyDescent="0.2">
      <c r="I529" s="621"/>
    </row>
    <row r="530" spans="9:9" s="613" customFormat="1" x14ac:dyDescent="0.2">
      <c r="I530" s="621"/>
    </row>
    <row r="531" spans="9:9" s="613" customFormat="1" x14ac:dyDescent="0.2">
      <c r="I531" s="621"/>
    </row>
    <row r="532" spans="9:9" s="613" customFormat="1" x14ac:dyDescent="0.2">
      <c r="I532" s="621"/>
    </row>
    <row r="533" spans="9:9" s="613" customFormat="1" x14ac:dyDescent="0.2">
      <c r="I533" s="621"/>
    </row>
    <row r="534" spans="9:9" s="613" customFormat="1" x14ac:dyDescent="0.2">
      <c r="I534" s="621"/>
    </row>
    <row r="535" spans="9:9" s="613" customFormat="1" x14ac:dyDescent="0.2">
      <c r="I535" s="621"/>
    </row>
    <row r="536" spans="9:9" s="613" customFormat="1" x14ac:dyDescent="0.2">
      <c r="I536" s="621"/>
    </row>
    <row r="537" spans="9:9" s="613" customFormat="1" x14ac:dyDescent="0.2">
      <c r="I537" s="621"/>
    </row>
    <row r="538" spans="9:9" s="613" customFormat="1" x14ac:dyDescent="0.2">
      <c r="I538" s="621"/>
    </row>
    <row r="539" spans="9:9" s="613" customFormat="1" x14ac:dyDescent="0.2">
      <c r="I539" s="621"/>
    </row>
    <row r="540" spans="9:9" s="613" customFormat="1" x14ac:dyDescent="0.2">
      <c r="I540" s="621"/>
    </row>
    <row r="541" spans="9:9" s="613" customFormat="1" x14ac:dyDescent="0.2">
      <c r="I541" s="621"/>
    </row>
    <row r="542" spans="9:9" s="613" customFormat="1" x14ac:dyDescent="0.2">
      <c r="I542" s="621"/>
    </row>
    <row r="543" spans="9:9" s="613" customFormat="1" x14ac:dyDescent="0.2">
      <c r="I543" s="621"/>
    </row>
    <row r="544" spans="9:9" s="613" customFormat="1" x14ac:dyDescent="0.2">
      <c r="I544" s="621"/>
    </row>
    <row r="545" spans="9:9" s="613" customFormat="1" x14ac:dyDescent="0.2">
      <c r="I545" s="621"/>
    </row>
    <row r="546" spans="9:9" s="613" customFormat="1" x14ac:dyDescent="0.2">
      <c r="I546" s="621"/>
    </row>
    <row r="547" spans="9:9" s="613" customFormat="1" x14ac:dyDescent="0.2">
      <c r="I547" s="621"/>
    </row>
    <row r="548" spans="9:9" s="613" customFormat="1" x14ac:dyDescent="0.2">
      <c r="I548" s="621"/>
    </row>
    <row r="549" spans="9:9" s="613" customFormat="1" x14ac:dyDescent="0.2">
      <c r="I549" s="621"/>
    </row>
    <row r="550" spans="9:9" s="613" customFormat="1" x14ac:dyDescent="0.2">
      <c r="I550" s="621"/>
    </row>
    <row r="551" spans="9:9" s="613" customFormat="1" x14ac:dyDescent="0.2">
      <c r="I551" s="621"/>
    </row>
    <row r="552" spans="9:9" s="613" customFormat="1" x14ac:dyDescent="0.2">
      <c r="I552" s="621"/>
    </row>
    <row r="553" spans="9:9" s="613" customFormat="1" x14ac:dyDescent="0.2">
      <c r="I553" s="621"/>
    </row>
    <row r="554" spans="9:9" s="613" customFormat="1" x14ac:dyDescent="0.2">
      <c r="I554" s="621"/>
    </row>
    <row r="555" spans="9:9" s="613" customFormat="1" x14ac:dyDescent="0.2">
      <c r="I555" s="621"/>
    </row>
    <row r="556" spans="9:9" s="613" customFormat="1" x14ac:dyDescent="0.2">
      <c r="I556" s="621"/>
    </row>
    <row r="557" spans="9:9" s="613" customFormat="1" x14ac:dyDescent="0.2">
      <c r="I557" s="621"/>
    </row>
    <row r="558" spans="9:9" s="613" customFormat="1" x14ac:dyDescent="0.2">
      <c r="I558" s="621"/>
    </row>
    <row r="559" spans="9:9" s="613" customFormat="1" x14ac:dyDescent="0.2">
      <c r="I559" s="621"/>
    </row>
    <row r="560" spans="9:9" s="613" customFormat="1" x14ac:dyDescent="0.2">
      <c r="I560" s="621"/>
    </row>
    <row r="561" spans="9:9" s="613" customFormat="1" x14ac:dyDescent="0.2">
      <c r="I561" s="621"/>
    </row>
    <row r="562" spans="9:9" s="613" customFormat="1" x14ac:dyDescent="0.2">
      <c r="I562" s="621"/>
    </row>
    <row r="563" spans="9:9" s="613" customFormat="1" x14ac:dyDescent="0.2">
      <c r="I563" s="621"/>
    </row>
    <row r="564" spans="9:9" s="613" customFormat="1" x14ac:dyDescent="0.2">
      <c r="I564" s="621"/>
    </row>
    <row r="565" spans="9:9" s="613" customFormat="1" x14ac:dyDescent="0.2">
      <c r="I565" s="621"/>
    </row>
    <row r="566" spans="9:9" s="613" customFormat="1" x14ac:dyDescent="0.2">
      <c r="I566" s="621"/>
    </row>
    <row r="567" spans="9:9" s="613" customFormat="1" x14ac:dyDescent="0.2">
      <c r="I567" s="621"/>
    </row>
    <row r="568" spans="9:9" s="613" customFormat="1" x14ac:dyDescent="0.2">
      <c r="I568" s="621"/>
    </row>
    <row r="569" spans="9:9" s="613" customFormat="1" x14ac:dyDescent="0.2">
      <c r="I569" s="621"/>
    </row>
    <row r="570" spans="9:9" s="613" customFormat="1" x14ac:dyDescent="0.2">
      <c r="I570" s="621"/>
    </row>
    <row r="571" spans="9:9" s="613" customFormat="1" x14ac:dyDescent="0.2">
      <c r="I571" s="621"/>
    </row>
    <row r="572" spans="9:9" s="613" customFormat="1" x14ac:dyDescent="0.2">
      <c r="I572" s="621"/>
    </row>
    <row r="573" spans="9:9" s="613" customFormat="1" x14ac:dyDescent="0.2">
      <c r="I573" s="621"/>
    </row>
    <row r="574" spans="9:9" s="613" customFormat="1" x14ac:dyDescent="0.2">
      <c r="I574" s="621"/>
    </row>
    <row r="575" spans="9:9" s="613" customFormat="1" x14ac:dyDescent="0.2">
      <c r="I575" s="621"/>
    </row>
    <row r="576" spans="9:9" s="613" customFormat="1" x14ac:dyDescent="0.2">
      <c r="I576" s="621"/>
    </row>
    <row r="577" spans="9:9" s="613" customFormat="1" x14ac:dyDescent="0.2">
      <c r="I577" s="621"/>
    </row>
    <row r="578" spans="9:9" s="613" customFormat="1" x14ac:dyDescent="0.2">
      <c r="I578" s="621"/>
    </row>
    <row r="579" spans="9:9" s="613" customFormat="1" x14ac:dyDescent="0.2">
      <c r="I579" s="621"/>
    </row>
    <row r="580" spans="9:9" s="613" customFormat="1" x14ac:dyDescent="0.2">
      <c r="I580" s="621"/>
    </row>
    <row r="581" spans="9:9" s="613" customFormat="1" x14ac:dyDescent="0.2">
      <c r="I581" s="621"/>
    </row>
    <row r="582" spans="9:9" s="613" customFormat="1" x14ac:dyDescent="0.2">
      <c r="I582" s="621"/>
    </row>
    <row r="583" spans="9:9" s="613" customFormat="1" x14ac:dyDescent="0.2">
      <c r="I583" s="621"/>
    </row>
    <row r="584" spans="9:9" s="613" customFormat="1" x14ac:dyDescent="0.2">
      <c r="I584" s="621"/>
    </row>
    <row r="585" spans="9:9" s="613" customFormat="1" x14ac:dyDescent="0.2">
      <c r="I585" s="621"/>
    </row>
    <row r="586" spans="9:9" s="613" customFormat="1" x14ac:dyDescent="0.2">
      <c r="I586" s="621"/>
    </row>
    <row r="587" spans="9:9" s="613" customFormat="1" x14ac:dyDescent="0.2">
      <c r="I587" s="621"/>
    </row>
    <row r="588" spans="9:9" s="613" customFormat="1" x14ac:dyDescent="0.2">
      <c r="I588" s="621"/>
    </row>
    <row r="589" spans="9:9" s="613" customFormat="1" x14ac:dyDescent="0.2">
      <c r="I589" s="621"/>
    </row>
    <row r="590" spans="9:9" s="613" customFormat="1" x14ac:dyDescent="0.2">
      <c r="I590" s="621"/>
    </row>
    <row r="591" spans="9:9" s="613" customFormat="1" x14ac:dyDescent="0.2">
      <c r="I591" s="621"/>
    </row>
    <row r="592" spans="9:9" s="613" customFormat="1" x14ac:dyDescent="0.2">
      <c r="I592" s="621"/>
    </row>
    <row r="593" spans="9:9" s="613" customFormat="1" x14ac:dyDescent="0.2">
      <c r="I593" s="621"/>
    </row>
    <row r="594" spans="9:9" s="613" customFormat="1" x14ac:dyDescent="0.2">
      <c r="I594" s="621"/>
    </row>
    <row r="595" spans="9:9" s="613" customFormat="1" x14ac:dyDescent="0.2">
      <c r="I595" s="621"/>
    </row>
    <row r="596" spans="9:9" s="613" customFormat="1" x14ac:dyDescent="0.2">
      <c r="I596" s="621"/>
    </row>
    <row r="597" spans="9:9" s="613" customFormat="1" x14ac:dyDescent="0.2">
      <c r="I597" s="621"/>
    </row>
    <row r="598" spans="9:9" s="613" customFormat="1" x14ac:dyDescent="0.2">
      <c r="I598" s="621"/>
    </row>
    <row r="599" spans="9:9" s="613" customFormat="1" x14ac:dyDescent="0.2">
      <c r="I599" s="621"/>
    </row>
    <row r="600" spans="9:9" s="613" customFormat="1" x14ac:dyDescent="0.2">
      <c r="I600" s="621"/>
    </row>
    <row r="601" spans="9:9" s="613" customFormat="1" x14ac:dyDescent="0.2">
      <c r="I601" s="621"/>
    </row>
    <row r="602" spans="9:9" s="613" customFormat="1" x14ac:dyDescent="0.2">
      <c r="I602" s="621"/>
    </row>
    <row r="603" spans="9:9" s="613" customFormat="1" x14ac:dyDescent="0.2">
      <c r="I603" s="621"/>
    </row>
    <row r="604" spans="9:9" s="613" customFormat="1" x14ac:dyDescent="0.2">
      <c r="I604" s="621"/>
    </row>
    <row r="605" spans="9:9" s="613" customFormat="1" x14ac:dyDescent="0.2">
      <c r="I605" s="621"/>
    </row>
    <row r="606" spans="9:9" s="613" customFormat="1" x14ac:dyDescent="0.2">
      <c r="I606" s="621"/>
    </row>
    <row r="607" spans="9:9" s="613" customFormat="1" x14ac:dyDescent="0.2">
      <c r="I607" s="621"/>
    </row>
    <row r="608" spans="9:9" s="613" customFormat="1" x14ac:dyDescent="0.2">
      <c r="I608" s="621"/>
    </row>
    <row r="609" spans="9:9" s="613" customFormat="1" x14ac:dyDescent="0.2">
      <c r="I609" s="621"/>
    </row>
    <row r="610" spans="9:9" s="613" customFormat="1" x14ac:dyDescent="0.2">
      <c r="I610" s="621"/>
    </row>
    <row r="611" spans="9:9" s="613" customFormat="1" x14ac:dyDescent="0.2">
      <c r="I611" s="621"/>
    </row>
    <row r="612" spans="9:9" s="613" customFormat="1" x14ac:dyDescent="0.2">
      <c r="I612" s="621"/>
    </row>
    <row r="613" spans="9:9" s="613" customFormat="1" x14ac:dyDescent="0.2">
      <c r="I613" s="621"/>
    </row>
    <row r="614" spans="9:9" s="613" customFormat="1" x14ac:dyDescent="0.2">
      <c r="I614" s="621"/>
    </row>
    <row r="615" spans="9:9" s="613" customFormat="1" x14ac:dyDescent="0.2">
      <c r="I615" s="621"/>
    </row>
    <row r="616" spans="9:9" s="613" customFormat="1" x14ac:dyDescent="0.2">
      <c r="I616" s="621"/>
    </row>
    <row r="617" spans="9:9" s="613" customFormat="1" x14ac:dyDescent="0.2">
      <c r="I617" s="621"/>
    </row>
    <row r="618" spans="9:9" s="613" customFormat="1" x14ac:dyDescent="0.2">
      <c r="I618" s="621"/>
    </row>
    <row r="619" spans="9:9" s="613" customFormat="1" x14ac:dyDescent="0.2">
      <c r="I619" s="621"/>
    </row>
    <row r="620" spans="9:9" s="613" customFormat="1" x14ac:dyDescent="0.2">
      <c r="I620" s="621"/>
    </row>
    <row r="621" spans="9:9" s="613" customFormat="1" x14ac:dyDescent="0.2">
      <c r="I621" s="621"/>
    </row>
    <row r="622" spans="9:9" s="613" customFormat="1" x14ac:dyDescent="0.2">
      <c r="I622" s="621"/>
    </row>
    <row r="623" spans="9:9" s="613" customFormat="1" x14ac:dyDescent="0.2">
      <c r="I623" s="621"/>
    </row>
    <row r="624" spans="9:9" s="613" customFormat="1" x14ac:dyDescent="0.2">
      <c r="I624" s="621"/>
    </row>
    <row r="625" spans="9:9" s="613" customFormat="1" x14ac:dyDescent="0.2">
      <c r="I625" s="621"/>
    </row>
    <row r="626" spans="9:9" s="613" customFormat="1" x14ac:dyDescent="0.2">
      <c r="I626" s="621"/>
    </row>
    <row r="627" spans="9:9" s="613" customFormat="1" x14ac:dyDescent="0.2">
      <c r="I627" s="621"/>
    </row>
    <row r="628" spans="9:9" s="613" customFormat="1" x14ac:dyDescent="0.2">
      <c r="I628" s="621"/>
    </row>
    <row r="629" spans="9:9" s="613" customFormat="1" x14ac:dyDescent="0.2">
      <c r="I629" s="621"/>
    </row>
    <row r="630" spans="9:9" s="613" customFormat="1" x14ac:dyDescent="0.2">
      <c r="I630" s="621"/>
    </row>
    <row r="631" spans="9:9" s="613" customFormat="1" x14ac:dyDescent="0.2">
      <c r="I631" s="621"/>
    </row>
    <row r="632" spans="9:9" s="613" customFormat="1" x14ac:dyDescent="0.2">
      <c r="I632" s="621"/>
    </row>
    <row r="633" spans="9:9" s="613" customFormat="1" x14ac:dyDescent="0.2">
      <c r="I633" s="621"/>
    </row>
    <row r="634" spans="9:9" s="613" customFormat="1" x14ac:dyDescent="0.2">
      <c r="I634" s="621"/>
    </row>
    <row r="635" spans="9:9" s="613" customFormat="1" x14ac:dyDescent="0.2">
      <c r="I635" s="621"/>
    </row>
    <row r="636" spans="9:9" s="613" customFormat="1" x14ac:dyDescent="0.2">
      <c r="I636" s="621"/>
    </row>
    <row r="637" spans="9:9" s="613" customFormat="1" x14ac:dyDescent="0.2">
      <c r="I637" s="621"/>
    </row>
    <row r="638" spans="9:9" s="613" customFormat="1" x14ac:dyDescent="0.2">
      <c r="I638" s="621"/>
    </row>
    <row r="639" spans="9:9" s="613" customFormat="1" x14ac:dyDescent="0.2">
      <c r="I639" s="621"/>
    </row>
    <row r="640" spans="9:9" s="613" customFormat="1" x14ac:dyDescent="0.2">
      <c r="I640" s="621"/>
    </row>
    <row r="641" spans="9:9" s="613" customFormat="1" x14ac:dyDescent="0.2">
      <c r="I641" s="621"/>
    </row>
    <row r="642" spans="9:9" s="613" customFormat="1" x14ac:dyDescent="0.2">
      <c r="I642" s="621"/>
    </row>
    <row r="643" spans="9:9" s="613" customFormat="1" x14ac:dyDescent="0.2">
      <c r="I643" s="621"/>
    </row>
    <row r="644" spans="9:9" s="613" customFormat="1" x14ac:dyDescent="0.2">
      <c r="I644" s="621"/>
    </row>
    <row r="645" spans="9:9" s="613" customFormat="1" x14ac:dyDescent="0.2">
      <c r="I645" s="621"/>
    </row>
    <row r="646" spans="9:9" s="613" customFormat="1" x14ac:dyDescent="0.2">
      <c r="I646" s="621"/>
    </row>
    <row r="647" spans="9:9" s="613" customFormat="1" x14ac:dyDescent="0.2">
      <c r="I647" s="621"/>
    </row>
    <row r="648" spans="9:9" s="613" customFormat="1" x14ac:dyDescent="0.2">
      <c r="I648" s="621"/>
    </row>
    <row r="649" spans="9:9" s="613" customFormat="1" x14ac:dyDescent="0.2">
      <c r="I649" s="621"/>
    </row>
    <row r="650" spans="9:9" s="613" customFormat="1" x14ac:dyDescent="0.2">
      <c r="I650" s="621"/>
    </row>
    <row r="651" spans="9:9" s="613" customFormat="1" x14ac:dyDescent="0.2">
      <c r="I651" s="621"/>
    </row>
    <row r="652" spans="9:9" s="613" customFormat="1" x14ac:dyDescent="0.2">
      <c r="I652" s="621"/>
    </row>
    <row r="653" spans="9:9" s="613" customFormat="1" x14ac:dyDescent="0.2">
      <c r="I653" s="621"/>
    </row>
    <row r="654" spans="9:9" s="613" customFormat="1" x14ac:dyDescent="0.2">
      <c r="I654" s="621"/>
    </row>
    <row r="655" spans="9:9" s="613" customFormat="1" x14ac:dyDescent="0.2">
      <c r="I655" s="621"/>
    </row>
    <row r="656" spans="9:9" s="613" customFormat="1" x14ac:dyDescent="0.2">
      <c r="I656" s="621"/>
    </row>
    <row r="657" spans="9:9" s="613" customFormat="1" x14ac:dyDescent="0.2">
      <c r="I657" s="621"/>
    </row>
    <row r="658" spans="9:9" s="613" customFormat="1" x14ac:dyDescent="0.2">
      <c r="I658" s="621"/>
    </row>
    <row r="659" spans="9:9" s="613" customFormat="1" x14ac:dyDescent="0.2">
      <c r="I659" s="621"/>
    </row>
    <row r="660" spans="9:9" s="613" customFormat="1" x14ac:dyDescent="0.2">
      <c r="I660" s="621"/>
    </row>
    <row r="661" spans="9:9" s="613" customFormat="1" x14ac:dyDescent="0.2">
      <c r="I661" s="621"/>
    </row>
    <row r="662" spans="9:9" s="613" customFormat="1" x14ac:dyDescent="0.2">
      <c r="I662" s="621"/>
    </row>
    <row r="663" spans="9:9" s="613" customFormat="1" x14ac:dyDescent="0.2">
      <c r="I663" s="621"/>
    </row>
    <row r="664" spans="9:9" s="613" customFormat="1" x14ac:dyDescent="0.2">
      <c r="I664" s="621"/>
    </row>
    <row r="665" spans="9:9" s="613" customFormat="1" x14ac:dyDescent="0.2">
      <c r="I665" s="621"/>
    </row>
    <row r="666" spans="9:9" s="613" customFormat="1" x14ac:dyDescent="0.2">
      <c r="I666" s="621"/>
    </row>
    <row r="667" spans="9:9" s="613" customFormat="1" x14ac:dyDescent="0.2">
      <c r="I667" s="621"/>
    </row>
    <row r="668" spans="9:9" s="613" customFormat="1" x14ac:dyDescent="0.2">
      <c r="I668" s="621"/>
    </row>
    <row r="669" spans="9:9" s="613" customFormat="1" x14ac:dyDescent="0.2">
      <c r="I669" s="621"/>
    </row>
    <row r="670" spans="9:9" s="613" customFormat="1" x14ac:dyDescent="0.2">
      <c r="I670" s="621"/>
    </row>
    <row r="671" spans="9:9" s="613" customFormat="1" x14ac:dyDescent="0.2">
      <c r="I671" s="621"/>
    </row>
    <row r="672" spans="9:9" s="613" customFormat="1" x14ac:dyDescent="0.2">
      <c r="I672" s="621"/>
    </row>
    <row r="673" spans="9:9" s="613" customFormat="1" x14ac:dyDescent="0.2">
      <c r="I673" s="621"/>
    </row>
    <row r="674" spans="9:9" s="613" customFormat="1" x14ac:dyDescent="0.2">
      <c r="I674" s="621"/>
    </row>
    <row r="675" spans="9:9" s="613" customFormat="1" x14ac:dyDescent="0.2">
      <c r="I675" s="621"/>
    </row>
    <row r="676" spans="9:9" s="613" customFormat="1" x14ac:dyDescent="0.2">
      <c r="I676" s="621"/>
    </row>
    <row r="677" spans="9:9" s="613" customFormat="1" x14ac:dyDescent="0.2">
      <c r="I677" s="621"/>
    </row>
    <row r="678" spans="9:9" s="613" customFormat="1" x14ac:dyDescent="0.2">
      <c r="I678" s="621"/>
    </row>
    <row r="679" spans="9:9" s="613" customFormat="1" x14ac:dyDescent="0.2">
      <c r="I679" s="621"/>
    </row>
    <row r="680" spans="9:9" s="613" customFormat="1" x14ac:dyDescent="0.2">
      <c r="I680" s="621"/>
    </row>
    <row r="681" spans="9:9" s="613" customFormat="1" x14ac:dyDescent="0.2">
      <c r="I681" s="621"/>
    </row>
    <row r="682" spans="9:9" s="613" customFormat="1" x14ac:dyDescent="0.2">
      <c r="I682" s="621"/>
    </row>
    <row r="683" spans="9:9" s="613" customFormat="1" x14ac:dyDescent="0.2">
      <c r="I683" s="621"/>
    </row>
    <row r="684" spans="9:9" s="613" customFormat="1" x14ac:dyDescent="0.2">
      <c r="I684" s="621"/>
    </row>
    <row r="685" spans="9:9" s="613" customFormat="1" x14ac:dyDescent="0.2">
      <c r="I685" s="621"/>
    </row>
    <row r="686" spans="9:9" s="613" customFormat="1" x14ac:dyDescent="0.2">
      <c r="I686" s="621"/>
    </row>
    <row r="687" spans="9:9" s="613" customFormat="1" x14ac:dyDescent="0.2">
      <c r="I687" s="621"/>
    </row>
    <row r="688" spans="9:9" s="613" customFormat="1" x14ac:dyDescent="0.2">
      <c r="I688" s="621"/>
    </row>
    <row r="689" spans="9:9" s="613" customFormat="1" x14ac:dyDescent="0.2">
      <c r="I689" s="621"/>
    </row>
    <row r="690" spans="9:9" s="613" customFormat="1" x14ac:dyDescent="0.2">
      <c r="I690" s="621"/>
    </row>
    <row r="691" spans="9:9" s="613" customFormat="1" x14ac:dyDescent="0.2">
      <c r="I691" s="621"/>
    </row>
    <row r="692" spans="9:9" s="613" customFormat="1" x14ac:dyDescent="0.2">
      <c r="I692" s="621"/>
    </row>
    <row r="693" spans="9:9" s="613" customFormat="1" x14ac:dyDescent="0.2">
      <c r="I693" s="621"/>
    </row>
    <row r="694" spans="9:9" s="613" customFormat="1" x14ac:dyDescent="0.2">
      <c r="I694" s="621"/>
    </row>
    <row r="695" spans="9:9" s="613" customFormat="1" x14ac:dyDescent="0.2">
      <c r="I695" s="621"/>
    </row>
    <row r="696" spans="9:9" s="613" customFormat="1" x14ac:dyDescent="0.2">
      <c r="I696" s="621"/>
    </row>
    <row r="697" spans="9:9" s="613" customFormat="1" x14ac:dyDescent="0.2">
      <c r="I697" s="621"/>
    </row>
    <row r="698" spans="9:9" s="613" customFormat="1" x14ac:dyDescent="0.2">
      <c r="I698" s="621"/>
    </row>
    <row r="699" spans="9:9" s="613" customFormat="1" x14ac:dyDescent="0.2">
      <c r="I699" s="621"/>
    </row>
    <row r="700" spans="9:9" s="613" customFormat="1" x14ac:dyDescent="0.2">
      <c r="I700" s="621"/>
    </row>
    <row r="701" spans="9:9" s="613" customFormat="1" x14ac:dyDescent="0.2">
      <c r="I701" s="621"/>
    </row>
    <row r="702" spans="9:9" s="613" customFormat="1" x14ac:dyDescent="0.2">
      <c r="I702" s="621"/>
    </row>
    <row r="703" spans="9:9" s="613" customFormat="1" x14ac:dyDescent="0.2">
      <c r="I703" s="621"/>
    </row>
    <row r="704" spans="9:9" s="613" customFormat="1" x14ac:dyDescent="0.2">
      <c r="I704" s="621"/>
    </row>
    <row r="705" spans="9:9" s="613" customFormat="1" x14ac:dyDescent="0.2">
      <c r="I705" s="621"/>
    </row>
    <row r="706" spans="9:9" s="613" customFormat="1" x14ac:dyDescent="0.2">
      <c r="I706" s="621"/>
    </row>
    <row r="707" spans="9:9" s="613" customFormat="1" x14ac:dyDescent="0.2">
      <c r="I707" s="621"/>
    </row>
    <row r="708" spans="9:9" s="613" customFormat="1" x14ac:dyDescent="0.2">
      <c r="I708" s="621"/>
    </row>
    <row r="709" spans="9:9" s="613" customFormat="1" x14ac:dyDescent="0.2">
      <c r="I709" s="621"/>
    </row>
    <row r="710" spans="9:9" s="613" customFormat="1" x14ac:dyDescent="0.2">
      <c r="I710" s="621"/>
    </row>
    <row r="711" spans="9:9" s="613" customFormat="1" x14ac:dyDescent="0.2">
      <c r="I711" s="621"/>
    </row>
    <row r="712" spans="9:9" s="613" customFormat="1" x14ac:dyDescent="0.2">
      <c r="I712" s="621"/>
    </row>
    <row r="713" spans="9:9" s="613" customFormat="1" x14ac:dyDescent="0.2">
      <c r="I713" s="621"/>
    </row>
    <row r="714" spans="9:9" s="613" customFormat="1" x14ac:dyDescent="0.2">
      <c r="I714" s="621"/>
    </row>
    <row r="715" spans="9:9" s="613" customFormat="1" x14ac:dyDescent="0.2">
      <c r="I715" s="621"/>
    </row>
    <row r="716" spans="9:9" s="613" customFormat="1" x14ac:dyDescent="0.2">
      <c r="I716" s="621"/>
    </row>
    <row r="717" spans="9:9" s="613" customFormat="1" x14ac:dyDescent="0.2">
      <c r="I717" s="621"/>
    </row>
    <row r="718" spans="9:9" s="613" customFormat="1" x14ac:dyDescent="0.2">
      <c r="I718" s="621"/>
    </row>
    <row r="719" spans="9:9" s="613" customFormat="1" x14ac:dyDescent="0.2">
      <c r="I719" s="621"/>
    </row>
    <row r="720" spans="9:9" s="613" customFormat="1" x14ac:dyDescent="0.2">
      <c r="I720" s="621"/>
    </row>
    <row r="721" spans="9:9" s="613" customFormat="1" x14ac:dyDescent="0.2">
      <c r="I721" s="621"/>
    </row>
    <row r="722" spans="9:9" s="613" customFormat="1" x14ac:dyDescent="0.2">
      <c r="I722" s="621"/>
    </row>
    <row r="723" spans="9:9" s="613" customFormat="1" x14ac:dyDescent="0.2">
      <c r="I723" s="621"/>
    </row>
    <row r="724" spans="9:9" s="613" customFormat="1" x14ac:dyDescent="0.2">
      <c r="I724" s="621"/>
    </row>
    <row r="725" spans="9:9" s="613" customFormat="1" x14ac:dyDescent="0.2">
      <c r="I725" s="621"/>
    </row>
    <row r="726" spans="9:9" s="613" customFormat="1" x14ac:dyDescent="0.2">
      <c r="I726" s="621"/>
    </row>
    <row r="727" spans="9:9" s="613" customFormat="1" x14ac:dyDescent="0.2">
      <c r="I727" s="621"/>
    </row>
    <row r="728" spans="9:9" s="613" customFormat="1" x14ac:dyDescent="0.2">
      <c r="I728" s="621"/>
    </row>
    <row r="729" spans="9:9" s="613" customFormat="1" x14ac:dyDescent="0.2">
      <c r="I729" s="621"/>
    </row>
    <row r="730" spans="9:9" s="613" customFormat="1" x14ac:dyDescent="0.2">
      <c r="I730" s="621"/>
    </row>
    <row r="731" spans="9:9" s="613" customFormat="1" x14ac:dyDescent="0.2">
      <c r="I731" s="621"/>
    </row>
    <row r="732" spans="9:9" s="613" customFormat="1" x14ac:dyDescent="0.2">
      <c r="I732" s="621"/>
    </row>
    <row r="733" spans="9:9" s="613" customFormat="1" x14ac:dyDescent="0.2">
      <c r="I733" s="621"/>
    </row>
    <row r="734" spans="9:9" s="613" customFormat="1" x14ac:dyDescent="0.2">
      <c r="I734" s="621"/>
    </row>
    <row r="735" spans="9:9" s="613" customFormat="1" x14ac:dyDescent="0.2">
      <c r="I735" s="621"/>
    </row>
    <row r="736" spans="9:9" s="613" customFormat="1" x14ac:dyDescent="0.2">
      <c r="I736" s="621"/>
    </row>
    <row r="737" spans="9:9" s="613" customFormat="1" x14ac:dyDescent="0.2">
      <c r="I737" s="621"/>
    </row>
    <row r="738" spans="9:9" s="613" customFormat="1" x14ac:dyDescent="0.2">
      <c r="I738" s="621"/>
    </row>
    <row r="739" spans="9:9" s="613" customFormat="1" x14ac:dyDescent="0.2">
      <c r="I739" s="621"/>
    </row>
    <row r="740" spans="9:9" s="613" customFormat="1" x14ac:dyDescent="0.2">
      <c r="I740" s="621"/>
    </row>
    <row r="741" spans="9:9" s="613" customFormat="1" x14ac:dyDescent="0.2">
      <c r="I741" s="621"/>
    </row>
    <row r="742" spans="9:9" s="613" customFormat="1" x14ac:dyDescent="0.2">
      <c r="I742" s="621"/>
    </row>
    <row r="743" spans="9:9" s="613" customFormat="1" x14ac:dyDescent="0.2">
      <c r="I743" s="621"/>
    </row>
  </sheetData>
  <mergeCells count="2">
    <mergeCell ref="A4:I4"/>
    <mergeCell ref="B6:D6"/>
  </mergeCells>
  <printOptions horizontalCentered="1"/>
  <pageMargins left="0" right="0" top="1.3775590551181103" bottom="0.59015748031496074" header="0.98385826771653528" footer="0.19645669291338586"/>
  <pageSetup paperSize="0" scale="90" fitToWidth="0" fitToHeight="0" orientation="landscape" horizontalDpi="0" verticalDpi="0" copie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43"/>
  <sheetViews>
    <sheetView showGridLines="0" workbookViewId="0">
      <selection activeCell="B29" sqref="B29"/>
    </sheetView>
  </sheetViews>
  <sheetFormatPr baseColWidth="10" defaultRowHeight="12.75" x14ac:dyDescent="0.2"/>
  <cols>
    <col min="1" max="1" width="6" style="613" customWidth="1"/>
    <col min="2" max="2" width="20.375" style="613" customWidth="1"/>
    <col min="3" max="4" width="12.5" style="613" customWidth="1"/>
    <col min="5" max="5" width="12.75" style="613" customWidth="1"/>
    <col min="6" max="6" width="16.25" style="613" customWidth="1"/>
    <col min="7" max="7" width="11.75" style="613" customWidth="1"/>
    <col min="8" max="8" width="11.5" style="613" customWidth="1"/>
    <col min="9" max="9" width="14.375" style="621" customWidth="1"/>
    <col min="10" max="10" width="7.5" style="613" customWidth="1"/>
    <col min="11" max="15" width="6.75" style="613" customWidth="1"/>
    <col min="16" max="1024" width="12.875" style="613" customWidth="1"/>
    <col min="1025" max="16384" width="11" style="666"/>
  </cols>
  <sheetData>
    <row r="1" spans="1:15" s="614" customFormat="1" x14ac:dyDescent="0.2">
      <c r="A1" s="611"/>
      <c r="B1" s="611"/>
      <c r="C1" s="612" t="s">
        <v>0</v>
      </c>
      <c r="D1" s="611"/>
      <c r="F1" s="611"/>
      <c r="G1" s="611"/>
      <c r="H1" s="611"/>
      <c r="I1" s="611"/>
    </row>
    <row r="2" spans="1:15" s="614" customFormat="1" x14ac:dyDescent="0.2">
      <c r="A2" s="611"/>
      <c r="B2" s="611"/>
      <c r="C2" s="612" t="s">
        <v>163</v>
      </c>
      <c r="D2" s="611"/>
      <c r="F2" s="611"/>
      <c r="G2" s="611"/>
      <c r="H2" s="611"/>
      <c r="I2" s="611"/>
    </row>
    <row r="3" spans="1:15" s="614" customFormat="1" x14ac:dyDescent="0.2">
      <c r="A3" s="611"/>
      <c r="B3" s="611"/>
      <c r="C3" s="611"/>
      <c r="D3" s="611"/>
      <c r="E3" s="611"/>
      <c r="F3" s="611"/>
      <c r="G3" s="611"/>
      <c r="H3" s="611"/>
      <c r="I3" s="611"/>
    </row>
    <row r="4" spans="1:15" s="614" customFormat="1" x14ac:dyDescent="0.2">
      <c r="A4" s="762" t="s">
        <v>532</v>
      </c>
      <c r="B4" s="762"/>
      <c r="C4" s="762"/>
      <c r="D4" s="762"/>
      <c r="E4" s="762"/>
      <c r="F4" s="762"/>
      <c r="G4" s="762"/>
      <c r="H4" s="762"/>
      <c r="I4" s="762"/>
    </row>
    <row r="5" spans="1:15" s="614" customFormat="1" x14ac:dyDescent="0.2">
      <c r="A5" s="615"/>
      <c r="B5" s="615"/>
      <c r="C5" s="615"/>
      <c r="D5" s="615"/>
      <c r="E5" s="615"/>
      <c r="F5" s="615"/>
      <c r="G5" s="615"/>
      <c r="H5" s="615"/>
      <c r="I5" s="615"/>
    </row>
    <row r="6" spans="1:15" s="614" customFormat="1" x14ac:dyDescent="0.2">
      <c r="A6" s="613"/>
      <c r="B6" s="765" t="s">
        <v>388</v>
      </c>
      <c r="C6" s="765"/>
      <c r="D6" s="765"/>
      <c r="E6" s="615"/>
      <c r="F6" s="616"/>
      <c r="G6" s="613"/>
      <c r="H6" s="617"/>
      <c r="I6" s="615"/>
    </row>
    <row r="7" spans="1:15" s="614" customFormat="1" x14ac:dyDescent="0.2">
      <c r="A7" s="613"/>
      <c r="B7" s="612" t="s">
        <v>314</v>
      </c>
      <c r="C7" s="613"/>
      <c r="D7" s="613"/>
      <c r="E7" s="613"/>
      <c r="F7" s="618">
        <f>'FONDOS PART 2024'!H18</f>
        <v>7035351.2000000002</v>
      </c>
      <c r="G7" s="620"/>
      <c r="H7" s="617"/>
      <c r="I7" s="621"/>
    </row>
    <row r="8" spans="1:15" s="614" customFormat="1" x14ac:dyDescent="0.2">
      <c r="A8" s="613"/>
      <c r="B8" s="612" t="s">
        <v>315</v>
      </c>
      <c r="C8" s="613"/>
      <c r="D8" s="613"/>
      <c r="E8" s="613"/>
      <c r="F8" s="619">
        <f>F7*0.45</f>
        <v>3165908.04</v>
      </c>
      <c r="G8" s="650"/>
      <c r="H8" s="617"/>
      <c r="I8" s="613"/>
    </row>
    <row r="9" spans="1:15" s="614" customFormat="1" x14ac:dyDescent="0.2">
      <c r="A9" s="613"/>
      <c r="B9" s="612" t="s">
        <v>317</v>
      </c>
      <c r="C9" s="613"/>
      <c r="D9" s="613"/>
      <c r="E9" s="613"/>
      <c r="F9" s="619">
        <f>F7*0.45</f>
        <v>3165908.04</v>
      </c>
      <c r="G9" s="619"/>
      <c r="H9" s="622"/>
      <c r="I9" s="621"/>
    </row>
    <row r="10" spans="1:15" s="614" customFormat="1" x14ac:dyDescent="0.2">
      <c r="A10" s="613"/>
      <c r="B10" s="612" t="s">
        <v>319</v>
      </c>
      <c r="C10" s="613"/>
      <c r="D10" s="613"/>
      <c r="E10" s="613"/>
      <c r="F10" s="623">
        <f>F7*0.1</f>
        <v>703535.12000000011</v>
      </c>
      <c r="G10" s="619"/>
      <c r="H10" s="622"/>
      <c r="I10" s="621"/>
    </row>
    <row r="11" spans="1:15" s="613" customFormat="1" x14ac:dyDescent="0.2">
      <c r="A11" s="624"/>
      <c r="B11" s="624"/>
      <c r="C11" s="625"/>
      <c r="D11" s="626"/>
      <c r="F11" s="627"/>
      <c r="G11" s="617"/>
      <c r="I11" s="621"/>
    </row>
    <row r="12" spans="1:15" s="613" customFormat="1" ht="25.5" x14ac:dyDescent="0.2">
      <c r="A12" s="722" t="s">
        <v>364</v>
      </c>
      <c r="B12" s="722" t="s">
        <v>29</v>
      </c>
      <c r="C12" s="722" t="s">
        <v>10</v>
      </c>
      <c r="D12" s="722" t="s">
        <v>365</v>
      </c>
      <c r="E12" s="722" t="s">
        <v>366</v>
      </c>
      <c r="F12" s="722" t="s">
        <v>539</v>
      </c>
      <c r="G12" s="722" t="s">
        <v>542</v>
      </c>
      <c r="H12" s="722" t="s">
        <v>540</v>
      </c>
      <c r="I12" s="722" t="s">
        <v>541</v>
      </c>
    </row>
    <row r="13" spans="1:15" s="613" customFormat="1" x14ac:dyDescent="0.2">
      <c r="A13" s="651"/>
      <c r="B13" s="651"/>
      <c r="C13" s="624" t="s">
        <v>370</v>
      </c>
      <c r="D13" s="624" t="s">
        <v>371</v>
      </c>
      <c r="E13" s="624" t="s">
        <v>372</v>
      </c>
      <c r="F13" s="624" t="s">
        <v>373</v>
      </c>
      <c r="G13" s="624" t="s">
        <v>374</v>
      </c>
      <c r="H13" s="624" t="s">
        <v>375</v>
      </c>
      <c r="I13" s="624" t="s">
        <v>376</v>
      </c>
    </row>
    <row r="14" spans="1:15" s="613" customFormat="1" x14ac:dyDescent="0.2">
      <c r="A14" s="651"/>
      <c r="B14" s="651"/>
      <c r="C14" s="630">
        <f t="shared" ref="C14:I14" si="0">SUM(C15:C127)</f>
        <v>100.00000000000004</v>
      </c>
      <c r="D14" s="629">
        <f t="shared" si="0"/>
        <v>3165908.0399999982</v>
      </c>
      <c r="E14" s="630">
        <f t="shared" si="0"/>
        <v>99.999999999999915</v>
      </c>
      <c r="F14" s="629">
        <f t="shared" si="0"/>
        <v>3165908.0399999986</v>
      </c>
      <c r="G14" s="630">
        <f t="shared" si="0"/>
        <v>100.00000000000006</v>
      </c>
      <c r="H14" s="629">
        <f t="shared" si="0"/>
        <v>703535.12000000081</v>
      </c>
      <c r="I14" s="629">
        <f t="shared" si="0"/>
        <v>7035351.1999999983</v>
      </c>
      <c r="M14" s="630"/>
      <c r="N14" s="630"/>
      <c r="O14" s="630"/>
    </row>
    <row r="15" spans="1:15" s="613" customFormat="1" x14ac:dyDescent="0.2">
      <c r="A15" s="631">
        <v>1</v>
      </c>
      <c r="B15" s="631" t="s">
        <v>43</v>
      </c>
      <c r="C15" s="632">
        <f>'COEFIC 2023'!I8</f>
        <v>0.23797360453465957</v>
      </c>
      <c r="D15" s="633">
        <f t="shared" ref="D15:D46" si="1">$F$8*C15%</f>
        <v>7534.0254790405925</v>
      </c>
      <c r="E15" s="634">
        <f>'COEFIC 2023'!P8</f>
        <v>0.39190942225476838</v>
      </c>
      <c r="F15" s="635">
        <f t="shared" ref="F15:F46" si="2">$F$9*E15%</f>
        <v>12407.491908681262</v>
      </c>
      <c r="G15" s="653">
        <f>FPART!J16</f>
        <v>0.78996666580088204</v>
      </c>
      <c r="H15" s="637">
        <f t="shared" ref="H15:H46" si="3">$F$10*G15%</f>
        <v>5557.6929302022354</v>
      </c>
      <c r="I15" s="638">
        <f t="shared" ref="I15:I46" si="4">D15+F15+H15</f>
        <v>25499.210317924091</v>
      </c>
      <c r="M15" s="639"/>
      <c r="N15" s="640"/>
      <c r="O15" s="641"/>
    </row>
    <row r="16" spans="1:15" s="613" customFormat="1" x14ac:dyDescent="0.2">
      <c r="A16" s="631">
        <v>2</v>
      </c>
      <c r="B16" s="631" t="s">
        <v>46</v>
      </c>
      <c r="C16" s="632">
        <f>'COEFIC 2023'!I9</f>
        <v>0.31068600666351365</v>
      </c>
      <c r="D16" s="633">
        <f t="shared" si="1"/>
        <v>9836.0332641151144</v>
      </c>
      <c r="E16" s="634">
        <f>'COEFIC 2023'!P9</f>
        <v>1.2675015186709291</v>
      </c>
      <c r="F16" s="635">
        <f t="shared" si="2"/>
        <v>40127.932486725047</v>
      </c>
      <c r="G16" s="653">
        <f>FPART!J17</f>
        <v>0.41162616179693873</v>
      </c>
      <c r="H16" s="637">
        <f t="shared" si="3"/>
        <v>2895.9346113494871</v>
      </c>
      <c r="I16" s="638">
        <f t="shared" si="4"/>
        <v>52859.900362189648</v>
      </c>
      <c r="M16" s="639"/>
      <c r="N16" s="640"/>
      <c r="O16" s="641"/>
    </row>
    <row r="17" spans="1:15" s="613" customFormat="1" x14ac:dyDescent="0.2">
      <c r="A17" s="631">
        <v>3</v>
      </c>
      <c r="B17" s="631" t="s">
        <v>49</v>
      </c>
      <c r="C17" s="632">
        <f>'COEFIC 2023'!I10</f>
        <v>0.48432819257562787</v>
      </c>
      <c r="D17" s="633">
        <f t="shared" si="1"/>
        <v>15333.385188738486</v>
      </c>
      <c r="E17" s="634">
        <f>'COEFIC 2023'!P10</f>
        <v>0.6143607387492529</v>
      </c>
      <c r="F17" s="635">
        <f t="shared" si="2"/>
        <v>19450.096022665992</v>
      </c>
      <c r="G17" s="653">
        <f>FPART!J18</f>
        <v>0.92173246284482802</v>
      </c>
      <c r="H17" s="637">
        <f t="shared" si="3"/>
        <v>6484.7115885543171</v>
      </c>
      <c r="I17" s="638">
        <f t="shared" si="4"/>
        <v>41268.192799958793</v>
      </c>
      <c r="M17" s="639"/>
      <c r="N17" s="640"/>
      <c r="O17" s="641"/>
    </row>
    <row r="18" spans="1:15" s="613" customFormat="1" x14ac:dyDescent="0.2">
      <c r="A18" s="631">
        <v>4</v>
      </c>
      <c r="B18" s="631" t="s">
        <v>52</v>
      </c>
      <c r="C18" s="632">
        <f>'COEFIC 2023'!I11</f>
        <v>0.31466592094163509</v>
      </c>
      <c r="D18" s="633">
        <f t="shared" si="1"/>
        <v>9962.0336902312702</v>
      </c>
      <c r="E18" s="634">
        <f>'COEFIC 2023'!P11</f>
        <v>0.39045222807652885</v>
      </c>
      <c r="F18" s="635">
        <f t="shared" si="2"/>
        <v>12361.358481033963</v>
      </c>
      <c r="G18" s="653">
        <f>FPART!J19</f>
        <v>0.93309894828124873</v>
      </c>
      <c r="H18" s="637">
        <f t="shared" si="3"/>
        <v>6564.678805509222</v>
      </c>
      <c r="I18" s="638">
        <f t="shared" si="4"/>
        <v>28888.070976774456</v>
      </c>
      <c r="M18" s="639"/>
      <c r="N18" s="640"/>
      <c r="O18" s="641"/>
    </row>
    <row r="19" spans="1:15" s="613" customFormat="1" x14ac:dyDescent="0.2">
      <c r="A19" s="631">
        <v>5</v>
      </c>
      <c r="B19" s="631" t="s">
        <v>54</v>
      </c>
      <c r="C19" s="632">
        <f>'COEFIC 2023'!I12</f>
        <v>0.22936098580581471</v>
      </c>
      <c r="D19" s="633">
        <f t="shared" si="1"/>
        <v>7261.3578902495465</v>
      </c>
      <c r="E19" s="634">
        <f>'COEFIC 2023'!P12</f>
        <v>0.41290602770742135</v>
      </c>
      <c r="F19" s="635">
        <f t="shared" si="2"/>
        <v>13072.225128833881</v>
      </c>
      <c r="G19" s="653">
        <f>FPART!J20</f>
        <v>0.74669597756376371</v>
      </c>
      <c r="H19" s="637">
        <f t="shared" si="3"/>
        <v>5253.2684417883993</v>
      </c>
      <c r="I19" s="638">
        <f t="shared" si="4"/>
        <v>25586.851460871825</v>
      </c>
      <c r="M19" s="639"/>
      <c r="N19" s="640"/>
      <c r="O19" s="641"/>
    </row>
    <row r="20" spans="1:15" s="613" customFormat="1" x14ac:dyDescent="0.2">
      <c r="A20" s="631">
        <v>6</v>
      </c>
      <c r="B20" s="631" t="s">
        <v>57</v>
      </c>
      <c r="C20" s="632">
        <f>'COEFIC 2023'!I13</f>
        <v>2.6572982151874371</v>
      </c>
      <c r="D20" s="633">
        <f t="shared" si="1"/>
        <v>84127.617841395579</v>
      </c>
      <c r="E20" s="634">
        <f>'COEFIC 2023'!P13</f>
        <v>2.3148565147498155</v>
      </c>
      <c r="F20" s="635">
        <f t="shared" si="2"/>
        <v>73286.228514928196</v>
      </c>
      <c r="G20" s="653">
        <f>FPART!J21</f>
        <v>1.1174691526029661</v>
      </c>
      <c r="H20" s="637">
        <f t="shared" si="3"/>
        <v>7861.7879437282618</v>
      </c>
      <c r="I20" s="638">
        <f t="shared" si="4"/>
        <v>165275.63430005204</v>
      </c>
      <c r="M20" s="639"/>
      <c r="N20" s="640"/>
      <c r="O20" s="641"/>
    </row>
    <row r="21" spans="1:15" s="613" customFormat="1" x14ac:dyDescent="0.2">
      <c r="A21" s="631">
        <v>7</v>
      </c>
      <c r="B21" s="631" t="s">
        <v>44</v>
      </c>
      <c r="C21" s="632">
        <f>'COEFIC 2023'!I14</f>
        <v>7.4312790939103937E-2</v>
      </c>
      <c r="D21" s="633">
        <f t="shared" si="1"/>
        <v>2352.6746230894832</v>
      </c>
      <c r="E21" s="634">
        <f>'COEFIC 2023'!P14</f>
        <v>0.37653818456552185</v>
      </c>
      <c r="F21" s="635">
        <f t="shared" si="2"/>
        <v>11920.852658829896</v>
      </c>
      <c r="G21" s="653">
        <f>FPART!J22</f>
        <v>0.3446437770918015</v>
      </c>
      <c r="H21" s="637">
        <f t="shared" si="3"/>
        <v>2424.6900107353385</v>
      </c>
      <c r="I21" s="638">
        <f t="shared" si="4"/>
        <v>16698.217292654717</v>
      </c>
      <c r="M21" s="639"/>
      <c r="N21" s="640"/>
      <c r="O21" s="641"/>
    </row>
    <row r="22" spans="1:15" s="613" customFormat="1" x14ac:dyDescent="0.2">
      <c r="A22" s="631">
        <v>8</v>
      </c>
      <c r="B22" s="631" t="s">
        <v>59</v>
      </c>
      <c r="C22" s="632">
        <f>'COEFIC 2023'!I15</f>
        <v>0.51962097739113877</v>
      </c>
      <c r="D22" s="633">
        <f t="shared" si="1"/>
        <v>16450.722300752645</v>
      </c>
      <c r="E22" s="634">
        <f>'COEFIC 2023'!P15</f>
        <v>2.3668185263996966</v>
      </c>
      <c r="F22" s="635">
        <f t="shared" si="2"/>
        <v>74931.29801949751</v>
      </c>
      <c r="G22" s="653">
        <f>FPART!J23</f>
        <v>0.37641255317525624</v>
      </c>
      <c r="H22" s="637">
        <f t="shared" si="3"/>
        <v>2648.1945076766033</v>
      </c>
      <c r="I22" s="638">
        <f t="shared" si="4"/>
        <v>94030.214827926757</v>
      </c>
      <c r="M22" s="639"/>
      <c r="N22" s="640"/>
      <c r="O22" s="641"/>
    </row>
    <row r="23" spans="1:15" s="613" customFormat="1" x14ac:dyDescent="0.2">
      <c r="A23" s="631">
        <v>9</v>
      </c>
      <c r="B23" s="631" t="s">
        <v>342</v>
      </c>
      <c r="C23" s="632">
        <f>'COEFIC 2023'!I16</f>
        <v>0.76372238644925527</v>
      </c>
      <c r="D23" s="633">
        <f t="shared" si="1"/>
        <v>24178.748435876842</v>
      </c>
      <c r="E23" s="634">
        <f>'COEFIC 2023'!P16</f>
        <v>0.92206001121936687</v>
      </c>
      <c r="F23" s="635">
        <f t="shared" si="2"/>
        <v>29191.572028818835</v>
      </c>
      <c r="G23" s="653">
        <f>FPART!J24</f>
        <v>0.9472702299654876</v>
      </c>
      <c r="H23" s="637">
        <f t="shared" si="3"/>
        <v>6664.378749111971</v>
      </c>
      <c r="I23" s="638">
        <f t="shared" si="4"/>
        <v>60034.699213807646</v>
      </c>
      <c r="M23" s="639"/>
      <c r="N23" s="640"/>
      <c r="O23" s="641"/>
    </row>
    <row r="24" spans="1:15" s="613" customFormat="1" x14ac:dyDescent="0.2">
      <c r="A24" s="631">
        <v>10</v>
      </c>
      <c r="B24" s="631" t="s">
        <v>64</v>
      </c>
      <c r="C24" s="632">
        <f>'COEFIC 2023'!I17</f>
        <v>0.428146122236855</v>
      </c>
      <c r="D24" s="633">
        <f t="shared" si="1"/>
        <v>13554.71250684482</v>
      </c>
      <c r="E24" s="634">
        <f>'COEFIC 2023'!P17</f>
        <v>2.5709050555810502</v>
      </c>
      <c r="F24" s="635">
        <f t="shared" si="2"/>
        <v>81392.489855406937</v>
      </c>
      <c r="G24" s="653">
        <f>FPART!J25</f>
        <v>0.29850253295498103</v>
      </c>
      <c r="H24" s="637">
        <f t="shared" si="3"/>
        <v>2100.0701534278655</v>
      </c>
      <c r="I24" s="638">
        <f t="shared" si="4"/>
        <v>97047.272515679622</v>
      </c>
      <c r="M24" s="639"/>
      <c r="N24" s="640"/>
      <c r="O24" s="641"/>
    </row>
    <row r="25" spans="1:15" s="613" customFormat="1" x14ac:dyDescent="0.2">
      <c r="A25" s="631">
        <v>11</v>
      </c>
      <c r="B25" s="631" t="s">
        <v>343</v>
      </c>
      <c r="C25" s="632">
        <f>'COEFIC 2023'!I18</f>
        <v>0.24597554858590909</v>
      </c>
      <c r="D25" s="633">
        <f t="shared" si="1"/>
        <v>7787.3596691154025</v>
      </c>
      <c r="E25" s="634">
        <f>'COEFIC 2023'!P18</f>
        <v>0.48150914529440353</v>
      </c>
      <c r="F25" s="635">
        <f t="shared" si="2"/>
        <v>15244.136744210802</v>
      </c>
      <c r="G25" s="653">
        <f>FPART!J26</f>
        <v>0.7069813546622179</v>
      </c>
      <c r="H25" s="637">
        <f t="shared" si="3"/>
        <v>4973.8621219004617</v>
      </c>
      <c r="I25" s="638">
        <f t="shared" si="4"/>
        <v>28005.358535226667</v>
      </c>
      <c r="M25" s="639"/>
      <c r="N25" s="640"/>
      <c r="O25" s="641"/>
    </row>
    <row r="26" spans="1:15" s="613" customFormat="1" x14ac:dyDescent="0.2">
      <c r="A26" s="631">
        <v>12</v>
      </c>
      <c r="B26" s="631" t="s">
        <v>70</v>
      </c>
      <c r="C26" s="632">
        <f>'COEFIC 2023'!I19</f>
        <v>0.95892770580473663</v>
      </c>
      <c r="D26" s="633">
        <f t="shared" si="1"/>
        <v>30358.769335859703</v>
      </c>
      <c r="E26" s="634">
        <f>'COEFIC 2023'!P19</f>
        <v>1.0229413737008273</v>
      </c>
      <c r="F26" s="635">
        <f t="shared" si="2"/>
        <v>32385.383194480939</v>
      </c>
      <c r="G26" s="653">
        <f>FPART!J27</f>
        <v>1.0116977575122408</v>
      </c>
      <c r="H26" s="637">
        <f t="shared" si="3"/>
        <v>7117.6490323510525</v>
      </c>
      <c r="I26" s="638">
        <f t="shared" si="4"/>
        <v>69861.801562691689</v>
      </c>
      <c r="M26" s="639"/>
      <c r="N26" s="640"/>
      <c r="O26" s="641"/>
    </row>
    <row r="27" spans="1:15" s="613" customFormat="1" x14ac:dyDescent="0.2">
      <c r="A27" s="631">
        <v>13</v>
      </c>
      <c r="B27" s="631" t="s">
        <v>73</v>
      </c>
      <c r="C27" s="632">
        <f>'COEFIC 2023'!I20</f>
        <v>0.19322589109017221</v>
      </c>
      <c r="D27" s="633">
        <f t="shared" si="1"/>
        <v>6117.3540213854058</v>
      </c>
      <c r="E27" s="634">
        <f>'COEFIC 2023'!P20</f>
        <v>0.96514801886169921</v>
      </c>
      <c r="F27" s="635">
        <f t="shared" si="2"/>
        <v>30555.698727043251</v>
      </c>
      <c r="G27" s="653">
        <f>FPART!J28</f>
        <v>0.34878390370081253</v>
      </c>
      <c r="H27" s="637">
        <f t="shared" si="3"/>
        <v>2453.8172554421963</v>
      </c>
      <c r="I27" s="638">
        <f t="shared" si="4"/>
        <v>39126.870003870856</v>
      </c>
      <c r="M27" s="639"/>
      <c r="N27" s="640"/>
      <c r="O27" s="641"/>
    </row>
    <row r="28" spans="1:15" s="613" customFormat="1" x14ac:dyDescent="0.2">
      <c r="A28" s="631">
        <v>14</v>
      </c>
      <c r="B28" s="631" t="s">
        <v>75</v>
      </c>
      <c r="C28" s="632">
        <f>'COEFIC 2023'!I21</f>
        <v>0.35844497800097119</v>
      </c>
      <c r="D28" s="633">
        <f t="shared" si="1"/>
        <v>11348.038377508978</v>
      </c>
      <c r="E28" s="634">
        <f>'COEFIC 2023'!P21</f>
        <v>0.57115855003271865</v>
      </c>
      <c r="F28" s="635">
        <f t="shared" si="2"/>
        <v>18082.354456633264</v>
      </c>
      <c r="G28" s="653">
        <f>FPART!J29</f>
        <v>0.80624051696347643</v>
      </c>
      <c r="H28" s="637">
        <f t="shared" si="3"/>
        <v>5672.1851885076148</v>
      </c>
      <c r="I28" s="638">
        <f t="shared" si="4"/>
        <v>35102.578022649861</v>
      </c>
      <c r="M28" s="639"/>
      <c r="N28" s="640"/>
      <c r="O28" s="641"/>
    </row>
    <row r="29" spans="1:15" s="613" customFormat="1" x14ac:dyDescent="0.2">
      <c r="A29" s="631">
        <v>15</v>
      </c>
      <c r="B29" s="728" t="s">
        <v>77</v>
      </c>
      <c r="C29" s="632">
        <f>'COEFIC 2023'!I22</f>
        <v>0.41342675673205659</v>
      </c>
      <c r="D29" s="633">
        <f t="shared" si="1"/>
        <v>13088.710930891421</v>
      </c>
      <c r="E29" s="634">
        <f>'COEFIC 2023'!P22</f>
        <v>2.4541796257109025</v>
      </c>
      <c r="F29" s="635">
        <f t="shared" si="2"/>
        <v>77697.07008642338</v>
      </c>
      <c r="G29" s="653">
        <f>FPART!J30</f>
        <v>0.30145252425752023</v>
      </c>
      <c r="H29" s="637">
        <f t="shared" si="3"/>
        <v>2120.8243782781742</v>
      </c>
      <c r="I29" s="638">
        <f t="shared" si="4"/>
        <v>92906.605395592982</v>
      </c>
      <c r="M29" s="639"/>
      <c r="N29" s="640"/>
      <c r="O29" s="641"/>
    </row>
    <row r="30" spans="1:15" s="613" customFormat="1" x14ac:dyDescent="0.2">
      <c r="A30" s="631">
        <v>16</v>
      </c>
      <c r="B30" s="631" t="s">
        <v>79</v>
      </c>
      <c r="C30" s="632">
        <f>'COEFIC 2023'!I23</f>
        <v>0.44147567640643642</v>
      </c>
      <c r="D30" s="633">
        <f t="shared" si="1"/>
        <v>13976.713933995754</v>
      </c>
      <c r="E30" s="634">
        <f>'COEFIC 2023'!P23</f>
        <v>0.50820227003137264</v>
      </c>
      <c r="F30" s="635">
        <f t="shared" si="2"/>
        <v>16089.216526385737</v>
      </c>
      <c r="G30" s="653">
        <f>FPART!J31</f>
        <v>0.97200905439695728</v>
      </c>
      <c r="H30" s="637">
        <f t="shared" si="3"/>
        <v>6838.4250672625003</v>
      </c>
      <c r="I30" s="638">
        <f t="shared" si="4"/>
        <v>36904.355527643987</v>
      </c>
      <c r="M30" s="639"/>
      <c r="N30" s="640"/>
      <c r="O30" s="641"/>
    </row>
    <row r="31" spans="1:15" s="613" customFormat="1" x14ac:dyDescent="0.2">
      <c r="A31" s="631">
        <v>17</v>
      </c>
      <c r="B31" s="631" t="s">
        <v>81</v>
      </c>
      <c r="C31" s="632">
        <f>'COEFIC 2023'!I24</f>
        <v>0.73849520494031606</v>
      </c>
      <c r="D31" s="633">
        <f t="shared" si="1"/>
        <v>23380.079068219944</v>
      </c>
      <c r="E31" s="634">
        <f>'COEFIC 2023'!P24</f>
        <v>0.66896812392176042</v>
      </c>
      <c r="F31" s="635">
        <f t="shared" si="2"/>
        <v>21178.915620276177</v>
      </c>
      <c r="G31" s="653">
        <f>FPART!J32</f>
        <v>1.0971107594620315</v>
      </c>
      <c r="H31" s="637">
        <f t="shared" si="3"/>
        <v>7718.5594981141166</v>
      </c>
      <c r="I31" s="638">
        <f t="shared" si="4"/>
        <v>52277.554186610243</v>
      </c>
      <c r="M31" s="639"/>
      <c r="N31" s="640"/>
      <c r="O31" s="641"/>
    </row>
    <row r="32" spans="1:15" s="613" customFormat="1" x14ac:dyDescent="0.2">
      <c r="A32" s="631">
        <v>18</v>
      </c>
      <c r="B32" s="631" t="s">
        <v>82</v>
      </c>
      <c r="C32" s="632">
        <f>'COEFIC 2023'!I25</f>
        <v>0.19971167732118497</v>
      </c>
      <c r="D32" s="633">
        <f t="shared" si="1"/>
        <v>6322.6880491302518</v>
      </c>
      <c r="E32" s="634">
        <f>'COEFIC 2023'!P25</f>
        <v>0.28026543034401025</v>
      </c>
      <c r="F32" s="635">
        <f t="shared" si="2"/>
        <v>8872.9457926016203</v>
      </c>
      <c r="G32" s="653">
        <f>FPART!J33</f>
        <v>0.87000714146065139</v>
      </c>
      <c r="H32" s="637">
        <f t="shared" si="3"/>
        <v>6120.8057866837644</v>
      </c>
      <c r="I32" s="638">
        <f t="shared" si="4"/>
        <v>21316.439628415639</v>
      </c>
      <c r="M32" s="639"/>
      <c r="N32" s="640"/>
      <c r="O32" s="641"/>
    </row>
    <row r="33" spans="1:15" s="613" customFormat="1" x14ac:dyDescent="0.2">
      <c r="A33" s="631">
        <v>19</v>
      </c>
      <c r="B33" s="631" t="s">
        <v>344</v>
      </c>
      <c r="C33" s="632">
        <f>'COEFIC 2023'!I26</f>
        <v>0.42532438407141443</v>
      </c>
      <c r="D33" s="633">
        <f t="shared" si="1"/>
        <v>13465.37887139739</v>
      </c>
      <c r="E33" s="634">
        <f>'COEFIC 2023'!P26</f>
        <v>0.62493143387391448</v>
      </c>
      <c r="F33" s="635">
        <f t="shared" si="2"/>
        <v>19784.754509501541</v>
      </c>
      <c r="G33" s="653">
        <f>FPART!J34</f>
        <v>0.84676923048551944</v>
      </c>
      <c r="H33" s="637">
        <f t="shared" si="3"/>
        <v>5957.3189218193766</v>
      </c>
      <c r="I33" s="638">
        <f t="shared" si="4"/>
        <v>39207.452302718302</v>
      </c>
      <c r="M33" s="639"/>
      <c r="N33" s="640"/>
      <c r="O33" s="641"/>
    </row>
    <row r="34" spans="1:15" s="613" customFormat="1" x14ac:dyDescent="0.2">
      <c r="A34" s="631">
        <v>20</v>
      </c>
      <c r="B34" s="631" t="s">
        <v>87</v>
      </c>
      <c r="C34" s="632">
        <f>'COEFIC 2023'!I27</f>
        <v>0.62983722782334906</v>
      </c>
      <c r="D34" s="633">
        <f t="shared" si="1"/>
        <v>19940.067434572527</v>
      </c>
      <c r="E34" s="634">
        <f>'COEFIC 2023'!P27</f>
        <v>0.53262041220293821</v>
      </c>
      <c r="F34" s="635">
        <f t="shared" si="2"/>
        <v>16862.272452613965</v>
      </c>
      <c r="G34" s="653">
        <f>FPART!J35</f>
        <v>1.1328986870144744</v>
      </c>
      <c r="H34" s="637">
        <f t="shared" si="3"/>
        <v>7970.3401371657083</v>
      </c>
      <c r="I34" s="638">
        <f t="shared" si="4"/>
        <v>44772.680024352201</v>
      </c>
      <c r="M34" s="639"/>
      <c r="N34" s="640"/>
      <c r="O34" s="641"/>
    </row>
    <row r="35" spans="1:15" s="613" customFormat="1" x14ac:dyDescent="0.2">
      <c r="A35" s="631">
        <v>21</v>
      </c>
      <c r="B35" s="631" t="s">
        <v>88</v>
      </c>
      <c r="C35" s="632">
        <f>'COEFIC 2023'!I28</f>
        <v>0.28510084344701853</v>
      </c>
      <c r="D35" s="633">
        <f t="shared" si="1"/>
        <v>9026.0305247969736</v>
      </c>
      <c r="E35" s="634">
        <f>'COEFIC 2023'!P28</f>
        <v>0.29534014984136081</v>
      </c>
      <c r="F35" s="635">
        <f t="shared" si="2"/>
        <v>9350.1975491756893</v>
      </c>
      <c r="G35" s="653">
        <f>FPART!J36</f>
        <v>1.0270233276278691</v>
      </c>
      <c r="H35" s="637">
        <f t="shared" si="3"/>
        <v>7225.4698004547236</v>
      </c>
      <c r="I35" s="638">
        <f t="shared" si="4"/>
        <v>25601.697874427387</v>
      </c>
      <c r="M35" s="639"/>
      <c r="N35" s="640"/>
      <c r="O35" s="641"/>
    </row>
    <row r="36" spans="1:15" s="613" customFormat="1" x14ac:dyDescent="0.2">
      <c r="A36" s="631">
        <v>22</v>
      </c>
      <c r="B36" s="631" t="s">
        <v>91</v>
      </c>
      <c r="C36" s="632">
        <f>'COEFIC 2023'!I29</f>
        <v>0.52934965673765799</v>
      </c>
      <c r="D36" s="633">
        <f t="shared" si="1"/>
        <v>16758.723342369914</v>
      </c>
      <c r="E36" s="634">
        <f>'COEFIC 2023'!P29</f>
        <v>0.58909725889407172</v>
      </c>
      <c r="F36" s="635">
        <f t="shared" si="2"/>
        <v>18650.277482747031</v>
      </c>
      <c r="G36" s="653">
        <f>FPART!J37</f>
        <v>0.9896169889340688</v>
      </c>
      <c r="H36" s="637">
        <f t="shared" si="3"/>
        <v>6962.3030706376885</v>
      </c>
      <c r="I36" s="638">
        <f t="shared" si="4"/>
        <v>42371.303895754638</v>
      </c>
      <c r="M36" s="639"/>
      <c r="N36" s="640"/>
      <c r="O36" s="641"/>
    </row>
    <row r="37" spans="1:15" s="613" customFormat="1" x14ac:dyDescent="0.2">
      <c r="A37" s="631">
        <v>23</v>
      </c>
      <c r="B37" s="631" t="s">
        <v>60</v>
      </c>
      <c r="C37" s="632">
        <f>'COEFIC 2023'!I30</f>
        <v>0.21935855574175284</v>
      </c>
      <c r="D37" s="633">
        <f t="shared" si="1"/>
        <v>6944.690152656035</v>
      </c>
      <c r="E37" s="634">
        <f>'COEFIC 2023'!P30</f>
        <v>0.33156680672772304</v>
      </c>
      <c r="F37" s="635">
        <f t="shared" si="2"/>
        <v>10497.100192164246</v>
      </c>
      <c r="G37" s="653">
        <f>FPART!J38</f>
        <v>0.83253345540973678</v>
      </c>
      <c r="H37" s="637">
        <f t="shared" si="3"/>
        <v>5857.1652445570389</v>
      </c>
      <c r="I37" s="638">
        <f t="shared" si="4"/>
        <v>23298.955589377321</v>
      </c>
      <c r="M37" s="639"/>
      <c r="N37" s="640"/>
      <c r="O37" s="641"/>
    </row>
    <row r="38" spans="1:15" s="613" customFormat="1" x14ac:dyDescent="0.2">
      <c r="A38" s="631">
        <v>24</v>
      </c>
      <c r="B38" s="631" t="s">
        <v>95</v>
      </c>
      <c r="C38" s="632">
        <f>'COEFIC 2023'!I31</f>
        <v>0.43349479010269021</v>
      </c>
      <c r="D38" s="633">
        <f t="shared" si="1"/>
        <v>13724.046412842194</v>
      </c>
      <c r="E38" s="634">
        <f>'COEFIC 2023'!P31</f>
        <v>0.37830699446529953</v>
      </c>
      <c r="F38" s="635">
        <f t="shared" si="2"/>
        <v>11976.851553659273</v>
      </c>
      <c r="G38" s="653">
        <f>FPART!J39</f>
        <v>1.1165386556009005</v>
      </c>
      <c r="H38" s="637">
        <f t="shared" si="3"/>
        <v>7855.2415705281837</v>
      </c>
      <c r="I38" s="638">
        <f t="shared" si="4"/>
        <v>33556.139537029652</v>
      </c>
      <c r="M38" s="639"/>
      <c r="N38" s="640"/>
      <c r="O38" s="641"/>
    </row>
    <row r="39" spans="1:15" s="613" customFormat="1" x14ac:dyDescent="0.2">
      <c r="A39" s="631">
        <v>25</v>
      </c>
      <c r="B39" s="631" t="s">
        <v>97</v>
      </c>
      <c r="C39" s="632">
        <f>'COEFIC 2023'!I32</f>
        <v>0.8541022387333681</v>
      </c>
      <c r="D39" s="633">
        <f t="shared" si="1"/>
        <v>27040.091445879698</v>
      </c>
      <c r="E39" s="634">
        <f>'COEFIC 2023'!P32</f>
        <v>0.57696638894395824</v>
      </c>
      <c r="F39" s="635">
        <f t="shared" si="2"/>
        <v>18266.225295674445</v>
      </c>
      <c r="G39" s="653">
        <f>FPART!J40</f>
        <v>1.2479272892564075</v>
      </c>
      <c r="H39" s="637">
        <f t="shared" si="3"/>
        <v>8779.6067519828139</v>
      </c>
      <c r="I39" s="638">
        <f t="shared" si="4"/>
        <v>54085.923493536953</v>
      </c>
      <c r="M39" s="639"/>
      <c r="N39" s="640"/>
      <c r="O39" s="641"/>
    </row>
    <row r="40" spans="1:15" s="613" customFormat="1" x14ac:dyDescent="0.2">
      <c r="A40" s="631">
        <v>26</v>
      </c>
      <c r="B40" s="631" t="s">
        <v>345</v>
      </c>
      <c r="C40" s="632">
        <f>'COEFIC 2023'!I33</f>
        <v>0.10050862883319442</v>
      </c>
      <c r="D40" s="633">
        <f t="shared" si="1"/>
        <v>3182.01076112386</v>
      </c>
      <c r="E40" s="634">
        <f>'COEFIC 2023'!P33</f>
        <v>0.94812774970318459</v>
      </c>
      <c r="F40" s="635">
        <f t="shared" si="2"/>
        <v>30016.852657324198</v>
      </c>
      <c r="G40" s="653">
        <f>FPART!J41</f>
        <v>0.20040950302944549</v>
      </c>
      <c r="H40" s="637">
        <f t="shared" si="3"/>
        <v>1409.9512376296132</v>
      </c>
      <c r="I40" s="638">
        <f t="shared" si="4"/>
        <v>34608.814656077673</v>
      </c>
      <c r="M40" s="639"/>
      <c r="N40" s="640"/>
      <c r="O40" s="641"/>
    </row>
    <row r="41" spans="1:15" s="613" customFormat="1" x14ac:dyDescent="0.2">
      <c r="A41" s="631">
        <v>27</v>
      </c>
      <c r="B41" s="631" t="s">
        <v>71</v>
      </c>
      <c r="C41" s="632">
        <f>'COEFIC 2023'!I34</f>
        <v>0.10410950365625671</v>
      </c>
      <c r="D41" s="633">
        <f t="shared" si="1"/>
        <v>3296.0111466575254</v>
      </c>
      <c r="E41" s="634">
        <f>'COEFIC 2023'!P34</f>
        <v>0.23628668401264072</v>
      </c>
      <c r="F41" s="635">
        <f t="shared" si="2"/>
        <v>7480.6191266055876</v>
      </c>
      <c r="G41" s="653">
        <f>FPART!J42</f>
        <v>0.63950739550870017</v>
      </c>
      <c r="H41" s="637">
        <f t="shared" si="3"/>
        <v>4499.159122401009</v>
      </c>
      <c r="I41" s="638">
        <f t="shared" si="4"/>
        <v>15275.78939566412</v>
      </c>
      <c r="M41" s="639"/>
      <c r="N41" s="640"/>
      <c r="O41" s="641"/>
    </row>
    <row r="42" spans="1:15" s="613" customFormat="1" x14ac:dyDescent="0.2">
      <c r="A42" s="631">
        <v>28</v>
      </c>
      <c r="B42" s="631" t="s">
        <v>72</v>
      </c>
      <c r="C42" s="632">
        <f>'COEFIC 2023'!I35</f>
        <v>0.11019519268470698</v>
      </c>
      <c r="D42" s="633">
        <f t="shared" si="1"/>
        <v>3488.6784648986304</v>
      </c>
      <c r="E42" s="634">
        <f>'COEFIC 2023'!P35</f>
        <v>0.25822216015596905</v>
      </c>
      <c r="F42" s="635">
        <f t="shared" si="2"/>
        <v>8175.0761294395006</v>
      </c>
      <c r="G42" s="653">
        <f>FPART!J43</f>
        <v>0.62540659063940485</v>
      </c>
      <c r="H42" s="637">
        <f t="shared" si="3"/>
        <v>4399.9550079428464</v>
      </c>
      <c r="I42" s="638">
        <f t="shared" si="4"/>
        <v>16063.709602280976</v>
      </c>
      <c r="M42" s="639"/>
      <c r="N42" s="640"/>
      <c r="O42" s="641"/>
    </row>
    <row r="43" spans="1:15" s="613" customFormat="1" x14ac:dyDescent="0.2">
      <c r="A43" s="631">
        <v>29</v>
      </c>
      <c r="B43" s="631" t="s">
        <v>61</v>
      </c>
      <c r="C43" s="632">
        <f>'COEFIC 2023'!I36</f>
        <v>0.25989471968558259</v>
      </c>
      <c r="D43" s="633">
        <f t="shared" si="1"/>
        <v>8228.0278260613213</v>
      </c>
      <c r="E43" s="634">
        <f>'COEFIC 2023'!P36</f>
        <v>0.80482357884115929</v>
      </c>
      <c r="F43" s="635">
        <f t="shared" si="2"/>
        <v>25479.974390348005</v>
      </c>
      <c r="G43" s="653">
        <f>FPART!J44</f>
        <v>0.51039054519633531</v>
      </c>
      <c r="H43" s="637">
        <f t="shared" si="3"/>
        <v>3590.776734615692</v>
      </c>
      <c r="I43" s="638">
        <f t="shared" si="4"/>
        <v>37298.778951025015</v>
      </c>
      <c r="M43" s="639"/>
      <c r="N43" s="640"/>
      <c r="O43" s="641"/>
    </row>
    <row r="44" spans="1:15" s="613" customFormat="1" x14ac:dyDescent="0.2">
      <c r="A44" s="631">
        <v>30</v>
      </c>
      <c r="B44" s="631" t="s">
        <v>104</v>
      </c>
      <c r="C44" s="632">
        <f>'COEFIC 2023'!I37</f>
        <v>0.24953430791396478</v>
      </c>
      <c r="D44" s="633">
        <f t="shared" si="1"/>
        <v>7900.0267168065666</v>
      </c>
      <c r="E44" s="634">
        <f>'COEFIC 2023'!P37</f>
        <v>0.37167013004425603</v>
      </c>
      <c r="F44" s="635">
        <f t="shared" si="2"/>
        <v>11766.734529349558</v>
      </c>
      <c r="G44" s="653">
        <f>FPART!J45</f>
        <v>0.83991550252888769</v>
      </c>
      <c r="H44" s="637">
        <f t="shared" si="3"/>
        <v>5909.1005386152137</v>
      </c>
      <c r="I44" s="638">
        <f t="shared" si="4"/>
        <v>25575.861784771339</v>
      </c>
      <c r="M44" s="639"/>
      <c r="N44" s="640"/>
      <c r="O44" s="641"/>
    </row>
    <row r="45" spans="1:15" s="613" customFormat="1" x14ac:dyDescent="0.2">
      <c r="A45" s="631">
        <v>31</v>
      </c>
      <c r="B45" s="631" t="s">
        <v>48</v>
      </c>
      <c r="C45" s="632">
        <f>'COEFIC 2023'!I38</f>
        <v>0.33928242777297896</v>
      </c>
      <c r="D45" s="633">
        <f t="shared" si="1"/>
        <v>10741.369659171934</v>
      </c>
      <c r="E45" s="634">
        <f>'COEFIC 2023'!P38</f>
        <v>0.55583300952537551</v>
      </c>
      <c r="F45" s="635">
        <f t="shared" si="2"/>
        <v>17597.161937537829</v>
      </c>
      <c r="G45" s="653">
        <f>FPART!J46</f>
        <v>0.79254184703312069</v>
      </c>
      <c r="H45" s="637">
        <f t="shared" si="3"/>
        <v>5575.8102345746829</v>
      </c>
      <c r="I45" s="638">
        <f t="shared" si="4"/>
        <v>33914.341831284444</v>
      </c>
      <c r="M45" s="639"/>
      <c r="N45" s="640"/>
      <c r="O45" s="641"/>
    </row>
    <row r="46" spans="1:15" s="613" customFormat="1" x14ac:dyDescent="0.2">
      <c r="A46" s="631">
        <v>32</v>
      </c>
      <c r="B46" s="631" t="s">
        <v>83</v>
      </c>
      <c r="C46" s="632">
        <f>'COEFIC 2023'!I39</f>
        <v>0.33092250201417356</v>
      </c>
      <c r="D46" s="633">
        <f t="shared" si="1"/>
        <v>10476.702097435884</v>
      </c>
      <c r="E46" s="634">
        <f>'COEFIC 2023'!P39</f>
        <v>0.35285067758515876</v>
      </c>
      <c r="F46" s="635">
        <f t="shared" si="2"/>
        <v>11170.92797086302</v>
      </c>
      <c r="G46" s="653">
        <f>FPART!J47</f>
        <v>1.0119385015504034</v>
      </c>
      <c r="H46" s="637">
        <f t="shared" si="3"/>
        <v>7119.3427512088338</v>
      </c>
      <c r="I46" s="638">
        <f t="shared" si="4"/>
        <v>28766.972819507737</v>
      </c>
      <c r="M46" s="639"/>
      <c r="N46" s="640"/>
      <c r="O46" s="641"/>
    </row>
    <row r="47" spans="1:15" s="613" customFormat="1" x14ac:dyDescent="0.2">
      <c r="A47" s="631">
        <v>33</v>
      </c>
      <c r="B47" s="631" t="s">
        <v>108</v>
      </c>
      <c r="C47" s="632">
        <f>'COEFIC 2023'!I40</f>
        <v>0.45202560790558383</v>
      </c>
      <c r="D47" s="633">
        <f t="shared" ref="D47:D78" si="5">$F$8*C47%</f>
        <v>14310.715063541755</v>
      </c>
      <c r="E47" s="634">
        <f>'COEFIC 2023'!P40</f>
        <v>0.49576725952589529</v>
      </c>
      <c r="F47" s="635">
        <f t="shared" ref="F47:F78" si="6">$F$9*E47%</f>
        <v>15695.535529017985</v>
      </c>
      <c r="G47" s="653">
        <f>FPART!J48</f>
        <v>0.99721656830305083</v>
      </c>
      <c r="H47" s="637">
        <f t="shared" ref="H47:H78" si="7">$F$10*G47%</f>
        <v>7015.7687804707521</v>
      </c>
      <c r="I47" s="638">
        <f t="shared" ref="I47:I78" si="8">D47+F47+H47</f>
        <v>37022.019373030489</v>
      </c>
      <c r="M47" s="639"/>
      <c r="N47" s="640"/>
      <c r="O47" s="641"/>
    </row>
    <row r="48" spans="1:15" s="613" customFormat="1" x14ac:dyDescent="0.2">
      <c r="A48" s="631">
        <v>34</v>
      </c>
      <c r="B48" s="631" t="s">
        <v>110</v>
      </c>
      <c r="C48" s="632">
        <f>'COEFIC 2023'!I41</f>
        <v>2.6472115541333623</v>
      </c>
      <c r="D48" s="633">
        <f t="shared" si="5"/>
        <v>83808.283428117065</v>
      </c>
      <c r="E48" s="634">
        <f>'COEFIC 2023'!P41</f>
        <v>1.9717994179898699</v>
      </c>
      <c r="F48" s="635">
        <f t="shared" si="6"/>
        <v>62425.356306814501</v>
      </c>
      <c r="G48" s="653">
        <f>FPART!J49</f>
        <v>1.1983385718274551</v>
      </c>
      <c r="H48" s="637">
        <f t="shared" si="7"/>
        <v>8430.7327093125732</v>
      </c>
      <c r="I48" s="638">
        <f t="shared" si="8"/>
        <v>154664.37244424416</v>
      </c>
      <c r="M48" s="639"/>
      <c r="N48" s="640"/>
      <c r="O48" s="641"/>
    </row>
    <row r="49" spans="1:15" s="613" customFormat="1" x14ac:dyDescent="0.2">
      <c r="A49" s="631">
        <v>35</v>
      </c>
      <c r="B49" s="631" t="s">
        <v>112</v>
      </c>
      <c r="C49" s="632">
        <f>'COEFIC 2023'!I42</f>
        <v>0.64493563278320676</v>
      </c>
      <c r="D49" s="633">
        <f t="shared" si="5"/>
        <v>20418.069051108418</v>
      </c>
      <c r="E49" s="634">
        <f>'COEFIC 2023'!P42</f>
        <v>1.3912005894388211</v>
      </c>
      <c r="F49" s="635">
        <f t="shared" si="6"/>
        <v>44044.13131357103</v>
      </c>
      <c r="G49" s="653">
        <f>FPART!J50</f>
        <v>0.66229187199343809</v>
      </c>
      <c r="H49" s="637">
        <f t="shared" si="7"/>
        <v>4659.4559163792819</v>
      </c>
      <c r="I49" s="638">
        <f t="shared" si="8"/>
        <v>69121.656281058735</v>
      </c>
      <c r="M49" s="639"/>
      <c r="N49" s="640"/>
      <c r="O49" s="641"/>
    </row>
    <row r="50" spans="1:15" s="613" customFormat="1" x14ac:dyDescent="0.2">
      <c r="A50" s="631">
        <v>36</v>
      </c>
      <c r="B50" s="631" t="s">
        <v>114</v>
      </c>
      <c r="C50" s="632">
        <f>'COEFIC 2023'!I43</f>
        <v>0.24519641192828742</v>
      </c>
      <c r="D50" s="633">
        <f t="shared" si="5"/>
        <v>7762.6929190291712</v>
      </c>
      <c r="E50" s="634">
        <f>'COEFIC 2023'!P43</f>
        <v>0.38634093434527844</v>
      </c>
      <c r="F50" s="635">
        <f t="shared" si="6"/>
        <v>12231.198702248292</v>
      </c>
      <c r="G50" s="653">
        <f>FPART!J51</f>
        <v>0.81181104447788688</v>
      </c>
      <c r="H50" s="637">
        <f t="shared" si="7"/>
        <v>5711.3758059407564</v>
      </c>
      <c r="I50" s="638">
        <f t="shared" si="8"/>
        <v>25705.267427218219</v>
      </c>
      <c r="M50" s="639"/>
      <c r="N50" s="640"/>
      <c r="O50" s="641"/>
    </row>
    <row r="51" spans="1:15" s="613" customFormat="1" x14ac:dyDescent="0.2">
      <c r="A51" s="631">
        <v>37</v>
      </c>
      <c r="B51" s="631" t="s">
        <v>92</v>
      </c>
      <c r="C51" s="632">
        <f>'COEFIC 2023'!I44</f>
        <v>0.16730380391362448</v>
      </c>
      <c r="D51" s="633">
        <f t="shared" si="5"/>
        <v>5296.6845793272723</v>
      </c>
      <c r="E51" s="634">
        <f>'COEFIC 2023'!P44</f>
        <v>0.29726517420617776</v>
      </c>
      <c r="F51" s="635">
        <f t="shared" si="6"/>
        <v>9411.1420503133886</v>
      </c>
      <c r="G51" s="653">
        <f>FPART!J52</f>
        <v>0.75300089428431383</v>
      </c>
      <c r="H51" s="637">
        <f t="shared" si="7"/>
        <v>5297.6257452042209</v>
      </c>
      <c r="I51" s="638">
        <f t="shared" si="8"/>
        <v>20005.452374844885</v>
      </c>
      <c r="M51" s="639"/>
      <c r="N51" s="640"/>
      <c r="O51" s="641"/>
    </row>
    <row r="52" spans="1:15" s="613" customFormat="1" x14ac:dyDescent="0.2">
      <c r="A52" s="631">
        <v>38</v>
      </c>
      <c r="B52" s="631" t="s">
        <v>51</v>
      </c>
      <c r="C52" s="632">
        <f>'COEFIC 2023'!I45</f>
        <v>0.88385683595551423</v>
      </c>
      <c r="D52" s="633">
        <f t="shared" si="5"/>
        <v>27982.094631605236</v>
      </c>
      <c r="E52" s="634">
        <f>'COEFIC 2023'!P45</f>
        <v>1.9184634861274525</v>
      </c>
      <c r="F52" s="635">
        <f t="shared" si="6"/>
        <v>60736.789751773307</v>
      </c>
      <c r="G52" s="653">
        <f>FPART!J53</f>
        <v>0.65948364803154547</v>
      </c>
      <c r="H52" s="637">
        <f t="shared" si="7"/>
        <v>4639.699074559112</v>
      </c>
      <c r="I52" s="638">
        <f t="shared" si="8"/>
        <v>93358.583457937668</v>
      </c>
      <c r="M52" s="639"/>
      <c r="N52" s="640"/>
      <c r="O52" s="641"/>
    </row>
    <row r="53" spans="1:15" s="613" customFormat="1" x14ac:dyDescent="0.2">
      <c r="A53" s="631">
        <v>39</v>
      </c>
      <c r="B53" s="631" t="s">
        <v>105</v>
      </c>
      <c r="C53" s="632">
        <f>'COEFIC 2023'!I46</f>
        <v>0.18983559374214284</v>
      </c>
      <c r="D53" s="633">
        <f t="shared" si="5"/>
        <v>6010.0203250642371</v>
      </c>
      <c r="E53" s="634">
        <f>'COEFIC 2023'!P46</f>
        <v>0.31996796117075799</v>
      </c>
      <c r="F53" s="635">
        <f t="shared" si="6"/>
        <v>10129.891408129106</v>
      </c>
      <c r="G53" s="653">
        <f>FPART!J54</f>
        <v>0.77860048179540364</v>
      </c>
      <c r="H53" s="637">
        <f t="shared" si="7"/>
        <v>5477.727833919872</v>
      </c>
      <c r="I53" s="638">
        <f t="shared" si="8"/>
        <v>21617.639567113216</v>
      </c>
      <c r="M53" s="639"/>
      <c r="N53" s="640"/>
      <c r="O53" s="641"/>
    </row>
    <row r="54" spans="1:15" s="613" customFormat="1" x14ac:dyDescent="0.2">
      <c r="A54" s="631">
        <v>40</v>
      </c>
      <c r="B54" s="631" t="s">
        <v>96</v>
      </c>
      <c r="C54" s="632">
        <f>'COEFIC 2023'!I47</f>
        <v>0.38714668784795297</v>
      </c>
      <c r="D54" s="633">
        <f t="shared" si="5"/>
        <v>12256.708117172046</v>
      </c>
      <c r="E54" s="634">
        <f>'COEFIC 2023'!P47</f>
        <v>0.4670133881314788</v>
      </c>
      <c r="F54" s="635">
        <f t="shared" si="6"/>
        <v>14785.214402730895</v>
      </c>
      <c r="G54" s="653">
        <f>FPART!J55</f>
        <v>0.94771152584822815</v>
      </c>
      <c r="H54" s="637">
        <f t="shared" si="7"/>
        <v>6667.4834206301639</v>
      </c>
      <c r="I54" s="638">
        <f t="shared" si="8"/>
        <v>33709.405940533106</v>
      </c>
      <c r="M54" s="639"/>
      <c r="N54" s="640"/>
      <c r="O54" s="641"/>
    </row>
    <row r="55" spans="1:15" s="613" customFormat="1" x14ac:dyDescent="0.2">
      <c r="A55" s="631">
        <v>41</v>
      </c>
      <c r="B55" s="631" t="s">
        <v>98</v>
      </c>
      <c r="C55" s="632">
        <f>'COEFIC 2023'!I48</f>
        <v>0.3378294431952521</v>
      </c>
      <c r="D55" s="633">
        <f t="shared" si="5"/>
        <v>10695.36950360572</v>
      </c>
      <c r="E55" s="634">
        <f>'COEFIC 2023'!P48</f>
        <v>0.51242411214883699</v>
      </c>
      <c r="F55" s="635">
        <f t="shared" si="6"/>
        <v>16222.876165418646</v>
      </c>
      <c r="G55" s="653">
        <f>FPART!J56</f>
        <v>0.83078552954091656</v>
      </c>
      <c r="H55" s="637">
        <f t="shared" si="7"/>
        <v>5844.8679721983235</v>
      </c>
      <c r="I55" s="638">
        <f t="shared" si="8"/>
        <v>32763.113641222688</v>
      </c>
      <c r="M55" s="639"/>
      <c r="N55" s="640"/>
      <c r="O55" s="641"/>
    </row>
    <row r="56" spans="1:15" s="613" customFormat="1" x14ac:dyDescent="0.2">
      <c r="A56" s="631">
        <v>42</v>
      </c>
      <c r="B56" s="631" t="s">
        <v>122</v>
      </c>
      <c r="C56" s="632">
        <f>'COEFIC 2023'!I49</f>
        <v>0.30116790479202737</v>
      </c>
      <c r="D56" s="633">
        <f t="shared" si="5"/>
        <v>9534.6989117103403</v>
      </c>
      <c r="E56" s="634">
        <f>'COEFIC 2023'!P49</f>
        <v>0.39561419725385255</v>
      </c>
      <c r="F56" s="635">
        <f t="shared" si="6"/>
        <v>12524.781678241176</v>
      </c>
      <c r="G56" s="653">
        <f>FPART!J57</f>
        <v>0.90375681182419565</v>
      </c>
      <c r="H56" s="637">
        <f t="shared" si="7"/>
        <v>6358.2465705755303</v>
      </c>
      <c r="I56" s="638">
        <f t="shared" si="8"/>
        <v>28417.727160527047</v>
      </c>
      <c r="M56" s="639"/>
      <c r="N56" s="640"/>
      <c r="O56" s="641"/>
    </row>
    <row r="57" spans="1:15" s="613" customFormat="1" x14ac:dyDescent="0.2">
      <c r="A57" s="631">
        <v>43</v>
      </c>
      <c r="B57" s="631" t="s">
        <v>346</v>
      </c>
      <c r="C57" s="632">
        <f>'COEFIC 2023'!I50</f>
        <v>1.4483729310236635</v>
      </c>
      <c r="D57" s="633">
        <f t="shared" si="5"/>
        <v>45854.155072461821</v>
      </c>
      <c r="E57" s="634">
        <f>'COEFIC 2023'!P50</f>
        <v>1.9015322371627141</v>
      </c>
      <c r="F57" s="635">
        <f t="shared" si="6"/>
        <v>60200.761979526229</v>
      </c>
      <c r="G57" s="653">
        <f>FPART!J58</f>
        <v>0.90404025564543489</v>
      </c>
      <c r="H57" s="637">
        <f t="shared" si="7"/>
        <v>6360.2406974034184</v>
      </c>
      <c r="I57" s="638">
        <f t="shared" si="8"/>
        <v>112415.15774939147</v>
      </c>
      <c r="M57" s="639"/>
      <c r="N57" s="640"/>
      <c r="O57" s="641"/>
    </row>
    <row r="58" spans="1:15" s="613" customFormat="1" x14ac:dyDescent="0.2">
      <c r="A58" s="631">
        <v>44</v>
      </c>
      <c r="B58" s="631" t="s">
        <v>102</v>
      </c>
      <c r="C58" s="632">
        <f>'COEFIC 2023'!I51</f>
        <v>0.27261359917756861</v>
      </c>
      <c r="D58" s="633">
        <f t="shared" si="5"/>
        <v>8630.695854496018</v>
      </c>
      <c r="E58" s="634">
        <f>'COEFIC 2023'!P51</f>
        <v>0.37461514740795937</v>
      </c>
      <c r="F58" s="635">
        <f t="shared" si="6"/>
        <v>11859.971070846437</v>
      </c>
      <c r="G58" s="653">
        <f>FPART!J59</f>
        <v>0.88070325427299512</v>
      </c>
      <c r="H58" s="637">
        <f t="shared" si="7"/>
        <v>6196.0566967934219</v>
      </c>
      <c r="I58" s="638">
        <f t="shared" si="8"/>
        <v>26686.723622135876</v>
      </c>
      <c r="M58" s="639"/>
      <c r="N58" s="640"/>
      <c r="O58" s="641"/>
    </row>
    <row r="59" spans="1:15" s="613" customFormat="1" x14ac:dyDescent="0.2">
      <c r="A59" s="631">
        <v>45</v>
      </c>
      <c r="B59" s="631" t="s">
        <v>127</v>
      </c>
      <c r="C59" s="632">
        <f>'COEFIC 2023'!I52</f>
        <v>0.76140603422389352</v>
      </c>
      <c r="D59" s="633">
        <f t="shared" si="5"/>
        <v>24105.414854539395</v>
      </c>
      <c r="E59" s="634">
        <f>'COEFIC 2023'!P52</f>
        <v>0.75599148751357081</v>
      </c>
      <c r="F59" s="635">
        <f t="shared" si="6"/>
        <v>23933.995284907734</v>
      </c>
      <c r="G59" s="653">
        <f>FPART!J60</f>
        <v>1.0491964841174999</v>
      </c>
      <c r="H59" s="637">
        <f t="shared" si="7"/>
        <v>7381.4657435718345</v>
      </c>
      <c r="I59" s="638">
        <f t="shared" si="8"/>
        <v>55420.875883018962</v>
      </c>
      <c r="M59" s="639"/>
      <c r="N59" s="640"/>
      <c r="O59" s="641"/>
    </row>
    <row r="60" spans="1:15" s="613" customFormat="1" x14ac:dyDescent="0.2">
      <c r="A60" s="631">
        <v>46</v>
      </c>
      <c r="B60" s="631" t="s">
        <v>119</v>
      </c>
      <c r="C60" s="632">
        <f>'COEFIC 2023'!I53</f>
        <v>0.31451851670911207</v>
      </c>
      <c r="D60" s="633">
        <f t="shared" si="5"/>
        <v>9957.3670077825227</v>
      </c>
      <c r="E60" s="634">
        <f>'COEFIC 2023'!P53</f>
        <v>0.43928797738663627</v>
      </c>
      <c r="F60" s="635">
        <f t="shared" si="6"/>
        <v>13907.453394836901</v>
      </c>
      <c r="G60" s="653">
        <f>FPART!J61</f>
        <v>0.87242123304316332</v>
      </c>
      <c r="H60" s="637">
        <f t="shared" si="7"/>
        <v>6137.7897687957002</v>
      </c>
      <c r="I60" s="638">
        <f t="shared" si="8"/>
        <v>30002.610171415123</v>
      </c>
      <c r="M60" s="639"/>
      <c r="N60" s="640"/>
      <c r="O60" s="641"/>
    </row>
    <row r="61" spans="1:15" s="613" customFormat="1" x14ac:dyDescent="0.2">
      <c r="A61" s="631">
        <v>47</v>
      </c>
      <c r="B61" s="631" t="s">
        <v>121</v>
      </c>
      <c r="C61" s="632">
        <f>'COEFIC 2023'!I54</f>
        <v>0.41765936398021752</v>
      </c>
      <c r="D61" s="633">
        <f t="shared" si="5"/>
        <v>13222.71138406257</v>
      </c>
      <c r="E61" s="634">
        <f>'COEFIC 2023'!P54</f>
        <v>0.56420574714884908</v>
      </c>
      <c r="F61" s="635">
        <f t="shared" si="6"/>
        <v>17862.235111127484</v>
      </c>
      <c r="G61" s="653">
        <f>FPART!J62</f>
        <v>0.88942693458047528</v>
      </c>
      <c r="H61" s="637">
        <f t="shared" si="7"/>
        <v>6257.4308515130688</v>
      </c>
      <c r="I61" s="638">
        <f t="shared" si="8"/>
        <v>37342.377346703121</v>
      </c>
      <c r="M61" s="639"/>
      <c r="N61" s="640"/>
      <c r="O61" s="641"/>
    </row>
    <row r="62" spans="1:15" s="613" customFormat="1" x14ac:dyDescent="0.2">
      <c r="A62" s="631">
        <v>48</v>
      </c>
      <c r="B62" s="631" t="s">
        <v>47</v>
      </c>
      <c r="C62" s="632">
        <f>'COEFIC 2023'!I55</f>
        <v>0.12097675940639052</v>
      </c>
      <c r="D62" s="633">
        <f t="shared" si="5"/>
        <v>3830.0129525783741</v>
      </c>
      <c r="E62" s="634">
        <f>'COEFIC 2023'!P55</f>
        <v>0.33094459983869112</v>
      </c>
      <c r="F62" s="635">
        <f t="shared" si="6"/>
        <v>10477.40169423895</v>
      </c>
      <c r="G62" s="653">
        <f>FPART!J63</f>
        <v>0.55973048604757003</v>
      </c>
      <c r="H62" s="637">
        <f t="shared" si="7"/>
        <v>3937.9005466913554</v>
      </c>
      <c r="I62" s="638">
        <f t="shared" si="8"/>
        <v>18245.315193508679</v>
      </c>
      <c r="M62" s="639"/>
      <c r="N62" s="640"/>
      <c r="O62" s="641"/>
    </row>
    <row r="63" spans="1:15" s="613" customFormat="1" x14ac:dyDescent="0.2">
      <c r="A63" s="631">
        <v>49</v>
      </c>
      <c r="B63" s="631" t="s">
        <v>115</v>
      </c>
      <c r="C63" s="632">
        <f>'COEFIC 2023'!I56</f>
        <v>0.40190816884775799</v>
      </c>
      <c r="D63" s="633">
        <f t="shared" si="5"/>
        <v>12724.043030967945</v>
      </c>
      <c r="E63" s="634">
        <f>'COEFIC 2023'!P56</f>
        <v>1.3248275146655468</v>
      </c>
      <c r="F63" s="635">
        <f t="shared" si="6"/>
        <v>41942.820802928727</v>
      </c>
      <c r="G63" s="653">
        <f>FPART!J64</f>
        <v>0.48667703346580021</v>
      </c>
      <c r="H63" s="637">
        <f t="shared" si="7"/>
        <v>3423.9438514060585</v>
      </c>
      <c r="I63" s="638">
        <f t="shared" si="8"/>
        <v>58090.807685302731</v>
      </c>
      <c r="M63" s="639"/>
      <c r="N63" s="640"/>
      <c r="O63" s="641"/>
    </row>
    <row r="64" spans="1:15" s="613" customFormat="1" x14ac:dyDescent="0.2">
      <c r="A64" s="631">
        <v>50</v>
      </c>
      <c r="B64" s="631" t="s">
        <v>69</v>
      </c>
      <c r="C64" s="632">
        <f>'COEFIC 2023'!I57</f>
        <v>1.8806884872661696</v>
      </c>
      <c r="D64" s="633">
        <f t="shared" si="5"/>
        <v>59540.868025714037</v>
      </c>
      <c r="E64" s="634">
        <f>'COEFIC 2023'!P57</f>
        <v>1.2229607983357664</v>
      </c>
      <c r="F64" s="635">
        <f t="shared" si="6"/>
        <v>38717.814240560219</v>
      </c>
      <c r="G64" s="653">
        <f>FPART!J65</f>
        <v>1.2670218630598797</v>
      </c>
      <c r="H64" s="637">
        <f t="shared" si="7"/>
        <v>8913.9437847045629</v>
      </c>
      <c r="I64" s="638">
        <f t="shared" si="8"/>
        <v>107172.62605097883</v>
      </c>
      <c r="M64" s="639"/>
      <c r="N64" s="640"/>
      <c r="O64" s="641"/>
    </row>
    <row r="65" spans="1:15" s="613" customFormat="1" x14ac:dyDescent="0.2">
      <c r="A65" s="631">
        <v>51</v>
      </c>
      <c r="B65" s="631" t="s">
        <v>126</v>
      </c>
      <c r="C65" s="632">
        <f>'COEFIC 2023'!I58</f>
        <v>0.29445048333847845</v>
      </c>
      <c r="D65" s="633">
        <f t="shared" si="5"/>
        <v>9322.0315258317496</v>
      </c>
      <c r="E65" s="634">
        <f>'COEFIC 2023'!P58</f>
        <v>0.39645821812299525</v>
      </c>
      <c r="F65" s="635">
        <f t="shared" si="6"/>
        <v>12551.502602796643</v>
      </c>
      <c r="G65" s="653">
        <f>FPART!J66</f>
        <v>0.89111035822978302</v>
      </c>
      <c r="H65" s="637">
        <f t="shared" si="7"/>
        <v>6269.2743281043349</v>
      </c>
      <c r="I65" s="638">
        <f t="shared" si="8"/>
        <v>28142.808456732731</v>
      </c>
      <c r="M65" s="639"/>
      <c r="N65" s="640"/>
      <c r="O65" s="641"/>
    </row>
    <row r="66" spans="1:15" s="613" customFormat="1" x14ac:dyDescent="0.2">
      <c r="A66" s="631">
        <v>52</v>
      </c>
      <c r="B66" s="631" t="s">
        <v>58</v>
      </c>
      <c r="C66" s="632">
        <f>'COEFIC 2023'!I59</f>
        <v>4.1273816838869903</v>
      </c>
      <c r="D66" s="633">
        <f t="shared" si="5"/>
        <v>130669.10857166561</v>
      </c>
      <c r="E66" s="634">
        <f>'COEFIC 2023'!P59</f>
        <v>3.0951720361744934</v>
      </c>
      <c r="F66" s="635">
        <f t="shared" si="6"/>
        <v>97990.300345080002</v>
      </c>
      <c r="G66" s="653">
        <f>FPART!J67</f>
        <v>1.1948784663978282</v>
      </c>
      <c r="H66" s="637">
        <f t="shared" si="7"/>
        <v>8406.3896524261218</v>
      </c>
      <c r="I66" s="638">
        <f t="shared" si="8"/>
        <v>237065.79856917175</v>
      </c>
      <c r="M66" s="639"/>
      <c r="N66" s="640"/>
      <c r="O66" s="641"/>
    </row>
    <row r="67" spans="1:15" s="613" customFormat="1" x14ac:dyDescent="0.2">
      <c r="A67" s="631">
        <v>53</v>
      </c>
      <c r="B67" s="631" t="s">
        <v>103</v>
      </c>
      <c r="C67" s="632">
        <f>'COEFIC 2023'!I60</f>
        <v>17.879143690909327</v>
      </c>
      <c r="D67" s="633">
        <f t="shared" si="5"/>
        <v>566037.24759365118</v>
      </c>
      <c r="E67" s="634">
        <f>'COEFIC 2023'!P60</f>
        <v>7.4172287338747696</v>
      </c>
      <c r="F67" s="635">
        <f t="shared" si="6"/>
        <v>234822.64083093154</v>
      </c>
      <c r="G67" s="653">
        <f>FPART!J68</f>
        <v>1.4778431771649561</v>
      </c>
      <c r="H67" s="637">
        <f t="shared" si="7"/>
        <v>10397.145769879287</v>
      </c>
      <c r="I67" s="638">
        <f t="shared" si="8"/>
        <v>811257.03419446212</v>
      </c>
      <c r="M67" s="639"/>
      <c r="N67" s="640"/>
      <c r="O67" s="641"/>
    </row>
    <row r="68" spans="1:15" s="613" customFormat="1" x14ac:dyDescent="0.2">
      <c r="A68" s="631">
        <v>54</v>
      </c>
      <c r="B68" s="631" t="s">
        <v>94</v>
      </c>
      <c r="C68" s="632">
        <f>'COEFIC 2023'!I61</f>
        <v>0.16810399831874945</v>
      </c>
      <c r="D68" s="633">
        <f t="shared" si="5"/>
        <v>5322.0179983347543</v>
      </c>
      <c r="E68" s="634">
        <f>'COEFIC 2023'!P61</f>
        <v>0.30909086115032519</v>
      </c>
      <c r="F68" s="635">
        <f t="shared" si="6"/>
        <v>9785.5324240633818</v>
      </c>
      <c r="G68" s="653">
        <f>FPART!J69</f>
        <v>0.73658381055873901</v>
      </c>
      <c r="H68" s="637">
        <f t="shared" si="7"/>
        <v>5182.1257955149977</v>
      </c>
      <c r="I68" s="638">
        <f t="shared" si="8"/>
        <v>20289.676217913133</v>
      </c>
      <c r="M68" s="639"/>
      <c r="N68" s="640"/>
      <c r="O68" s="641"/>
    </row>
    <row r="69" spans="1:15" s="613" customFormat="1" x14ac:dyDescent="0.2">
      <c r="A69" s="631">
        <v>55</v>
      </c>
      <c r="B69" s="631" t="s">
        <v>347</v>
      </c>
      <c r="C69" s="632">
        <f>'COEFIC 2023'!I62</f>
        <v>0.96301290882037449</v>
      </c>
      <c r="D69" s="633">
        <f t="shared" si="5"/>
        <v>30488.103106582104</v>
      </c>
      <c r="E69" s="634">
        <f>'COEFIC 2023'!P62</f>
        <v>0.80325130971927761</v>
      </c>
      <c r="F69" s="635">
        <f t="shared" si="6"/>
        <v>25430.197795807911</v>
      </c>
      <c r="G69" s="653">
        <f>FPART!J70</f>
        <v>1.1400301061832034</v>
      </c>
      <c r="H69" s="637">
        <f t="shared" si="7"/>
        <v>8020.5121755721284</v>
      </c>
      <c r="I69" s="638">
        <f t="shared" si="8"/>
        <v>63938.813077962142</v>
      </c>
      <c r="M69" s="639"/>
      <c r="N69" s="640"/>
      <c r="O69" s="641"/>
    </row>
    <row r="70" spans="1:15" s="613" customFormat="1" x14ac:dyDescent="0.2">
      <c r="A70" s="631">
        <v>56</v>
      </c>
      <c r="B70" s="631" t="s">
        <v>348</v>
      </c>
      <c r="C70" s="632">
        <f>'COEFIC 2023'!I63</f>
        <v>0.68644045311218771</v>
      </c>
      <c r="D70" s="633">
        <f t="shared" si="5"/>
        <v>21732.073494891181</v>
      </c>
      <c r="E70" s="634">
        <f>'COEFIC 2023'!P63</f>
        <v>0.46532661427820704</v>
      </c>
      <c r="F70" s="635">
        <f t="shared" si="6"/>
        <v>14731.812693693546</v>
      </c>
      <c r="G70" s="653">
        <f>FPART!J71</f>
        <v>1.2461723056435674</v>
      </c>
      <c r="H70" s="637">
        <f t="shared" si="7"/>
        <v>8767.2598259162405</v>
      </c>
      <c r="I70" s="638">
        <f t="shared" si="8"/>
        <v>45231.14601450097</v>
      </c>
      <c r="J70" s="643"/>
      <c r="K70" s="643"/>
      <c r="L70" s="643"/>
      <c r="M70" s="639"/>
      <c r="N70" s="640"/>
      <c r="O70" s="641"/>
    </row>
    <row r="71" spans="1:15" s="643" customFormat="1" x14ac:dyDescent="0.2">
      <c r="A71" s="631">
        <v>57</v>
      </c>
      <c r="B71" s="631" t="s">
        <v>65</v>
      </c>
      <c r="C71" s="632">
        <f>'COEFIC 2023'!I64</f>
        <v>0.17258929853694982</v>
      </c>
      <c r="D71" s="633">
        <f t="shared" si="5"/>
        <v>5464.0184785608963</v>
      </c>
      <c r="E71" s="634">
        <f>'COEFIC 2023'!P64</f>
        <v>0.74491573722474513</v>
      </c>
      <c r="F71" s="635">
        <f t="shared" si="6"/>
        <v>23583.347216023478</v>
      </c>
      <c r="G71" s="653">
        <f>FPART!J72</f>
        <v>0.3933193291422255</v>
      </c>
      <c r="H71" s="637">
        <f t="shared" si="7"/>
        <v>2767.1396142639514</v>
      </c>
      <c r="I71" s="638">
        <f t="shared" si="8"/>
        <v>31814.505308848326</v>
      </c>
      <c r="J71" s="613"/>
      <c r="K71" s="613"/>
      <c r="L71" s="613"/>
      <c r="M71" s="639"/>
      <c r="N71" s="640"/>
      <c r="O71" s="641"/>
    </row>
    <row r="72" spans="1:15" s="613" customFormat="1" x14ac:dyDescent="0.2">
      <c r="A72" s="631">
        <v>58</v>
      </c>
      <c r="B72" s="631" t="s">
        <v>134</v>
      </c>
      <c r="C72" s="632">
        <f>'COEFIC 2023'!I65</f>
        <v>0.44181260036648906</v>
      </c>
      <c r="D72" s="633">
        <f t="shared" si="5"/>
        <v>13987.380636735748</v>
      </c>
      <c r="E72" s="634">
        <f>'COEFIC 2023'!P65</f>
        <v>0.50525093226213014</v>
      </c>
      <c r="F72" s="635">
        <f t="shared" si="6"/>
        <v>15995.779886661732</v>
      </c>
      <c r="G72" s="653">
        <f>FPART!J73</f>
        <v>0.97543619400196546</v>
      </c>
      <c r="H72" s="637">
        <f t="shared" si="7"/>
        <v>6862.5361979951622</v>
      </c>
      <c r="I72" s="638">
        <f t="shared" si="8"/>
        <v>36845.69672139264</v>
      </c>
      <c r="M72" s="639"/>
      <c r="N72" s="640"/>
      <c r="O72" s="641"/>
    </row>
    <row r="73" spans="1:15" s="613" customFormat="1" x14ac:dyDescent="0.2">
      <c r="A73" s="631">
        <v>59</v>
      </c>
      <c r="B73" s="631" t="s">
        <v>136</v>
      </c>
      <c r="C73" s="632">
        <f>'COEFIC 2023'!I66</f>
        <v>0.19008828671218228</v>
      </c>
      <c r="D73" s="633">
        <f t="shared" si="5"/>
        <v>6018.0203521192307</v>
      </c>
      <c r="E73" s="634">
        <f>'COEFIC 2023'!P66</f>
        <v>0.34163452441152531</v>
      </c>
      <c r="F73" s="635">
        <f t="shared" si="6"/>
        <v>10815.834875760242</v>
      </c>
      <c r="G73" s="653">
        <f>FPART!J74</f>
        <v>0.74749784840191158</v>
      </c>
      <c r="H73" s="637">
        <f t="shared" si="7"/>
        <v>5258.9098847518071</v>
      </c>
      <c r="I73" s="638">
        <f t="shared" si="8"/>
        <v>22092.765112631281</v>
      </c>
      <c r="M73" s="639"/>
      <c r="N73" s="640"/>
      <c r="O73" s="641"/>
    </row>
    <row r="74" spans="1:15" s="613" customFormat="1" x14ac:dyDescent="0.2">
      <c r="A74" s="631">
        <v>60</v>
      </c>
      <c r="B74" s="631" t="s">
        <v>137</v>
      </c>
      <c r="C74" s="632">
        <f>'COEFIC 2023'!I67</f>
        <v>0.19872196318853044</v>
      </c>
      <c r="D74" s="633">
        <f t="shared" si="5"/>
        <v>6291.3546098315264</v>
      </c>
      <c r="E74" s="634">
        <f>'COEFIC 2023'!P67</f>
        <v>0.41133216924457244</v>
      </c>
      <c r="F74" s="635">
        <f t="shared" si="6"/>
        <v>13022.398217220327</v>
      </c>
      <c r="G74" s="653">
        <f>FPART!J75</f>
        <v>0.68111019086876712</v>
      </c>
      <c r="H74" s="637">
        <f t="shared" si="7"/>
        <v>4791.84939866081</v>
      </c>
      <c r="I74" s="638">
        <f t="shared" si="8"/>
        <v>24105.602225712661</v>
      </c>
      <c r="M74" s="639"/>
      <c r="N74" s="640"/>
      <c r="O74" s="641"/>
    </row>
    <row r="75" spans="1:15" s="613" customFormat="1" x14ac:dyDescent="0.2">
      <c r="A75" s="631">
        <v>61</v>
      </c>
      <c r="B75" s="631" t="s">
        <v>135</v>
      </c>
      <c r="C75" s="632">
        <f>'COEFIC 2023'!I68</f>
        <v>0.52168463664646103</v>
      </c>
      <c r="D75" s="633">
        <f t="shared" si="5"/>
        <v>16516.055855035094</v>
      </c>
      <c r="E75" s="634">
        <f>'COEFIC 2023'!P68</f>
        <v>0.59684263357744027</v>
      </c>
      <c r="F75" s="635">
        <f t="shared" si="6"/>
        <v>18895.488922575922</v>
      </c>
      <c r="G75" s="653">
        <f>FPART!J76</f>
        <v>0.97521720136537549</v>
      </c>
      <c r="H75" s="637">
        <f t="shared" si="7"/>
        <v>6860.9955078865378</v>
      </c>
      <c r="I75" s="638">
        <f t="shared" si="8"/>
        <v>42272.540285497555</v>
      </c>
      <c r="M75" s="639"/>
      <c r="N75" s="640"/>
      <c r="O75" s="641"/>
    </row>
    <row r="76" spans="1:15" s="613" customFormat="1" x14ac:dyDescent="0.2">
      <c r="A76" s="631">
        <v>62</v>
      </c>
      <c r="B76" s="631" t="s">
        <v>113</v>
      </c>
      <c r="C76" s="632">
        <f>'COEFIC 2023'!I69</f>
        <v>0.44280231449914359</v>
      </c>
      <c r="D76" s="633">
        <f t="shared" si="5"/>
        <v>14018.714076034474</v>
      </c>
      <c r="E76" s="634">
        <f>'COEFIC 2023'!P69</f>
        <v>0.48709064033904148</v>
      </c>
      <c r="F76" s="635">
        <f t="shared" si="6"/>
        <v>15420.841744581199</v>
      </c>
      <c r="G76" s="653">
        <f>FPART!J77</f>
        <v>0.99567317695291968</v>
      </c>
      <c r="H76" s="637">
        <f t="shared" si="7"/>
        <v>7004.9104802835373</v>
      </c>
      <c r="I76" s="638">
        <f t="shared" si="8"/>
        <v>36444.466300899207</v>
      </c>
      <c r="M76" s="639"/>
      <c r="N76" s="640"/>
      <c r="O76" s="641"/>
    </row>
    <row r="77" spans="1:15" s="613" customFormat="1" x14ac:dyDescent="0.2">
      <c r="A77" s="631">
        <v>63</v>
      </c>
      <c r="B77" s="631" t="s">
        <v>123</v>
      </c>
      <c r="C77" s="632">
        <f>'COEFIC 2023'!I70</f>
        <v>0.31352880257645754</v>
      </c>
      <c r="D77" s="633">
        <f t="shared" si="5"/>
        <v>9926.0335684837955</v>
      </c>
      <c r="E77" s="634">
        <f>'COEFIC 2023'!P70</f>
        <v>0.41328818544046847</v>
      </c>
      <c r="F77" s="635">
        <f t="shared" si="6"/>
        <v>13084.3238912299</v>
      </c>
      <c r="G77" s="653">
        <f>FPART!J78</f>
        <v>0.90197034059299264</v>
      </c>
      <c r="H77" s="637">
        <f t="shared" si="7"/>
        <v>6345.6781180553198</v>
      </c>
      <c r="I77" s="638">
        <f t="shared" si="8"/>
        <v>29356.035577769017</v>
      </c>
      <c r="M77" s="639"/>
      <c r="N77" s="640"/>
      <c r="O77" s="641"/>
    </row>
    <row r="78" spans="1:15" s="613" customFormat="1" x14ac:dyDescent="0.2">
      <c r="A78" s="631">
        <v>64</v>
      </c>
      <c r="B78" s="631" t="s">
        <v>74</v>
      </c>
      <c r="C78" s="632">
        <f>'COEFIC 2023'!I71</f>
        <v>0.56502148100822813</v>
      </c>
      <c r="D78" s="633">
        <f t="shared" si="5"/>
        <v>17888.060494966569</v>
      </c>
      <c r="E78" s="634">
        <f>'COEFIC 2023'!P71</f>
        <v>0.68085562816258149</v>
      </c>
      <c r="F78" s="635">
        <f t="shared" si="6"/>
        <v>21555.263072791673</v>
      </c>
      <c r="G78" s="653">
        <f>FPART!J79</f>
        <v>0.94826481243502747</v>
      </c>
      <c r="H78" s="637">
        <f t="shared" si="7"/>
        <v>6671.3759860825467</v>
      </c>
      <c r="I78" s="638">
        <f t="shared" si="8"/>
        <v>46114.699553840786</v>
      </c>
      <c r="M78" s="639"/>
      <c r="N78" s="640"/>
      <c r="O78" s="641"/>
    </row>
    <row r="79" spans="1:15" s="613" customFormat="1" x14ac:dyDescent="0.2">
      <c r="A79" s="631">
        <v>65</v>
      </c>
      <c r="B79" s="631" t="s">
        <v>89</v>
      </c>
      <c r="C79" s="632">
        <f>'COEFIC 2023'!I72</f>
        <v>0.83508709273789883</v>
      </c>
      <c r="D79" s="633">
        <f t="shared" ref="D79:D110" si="9">$F$8*C79%</f>
        <v>26438.089409991393</v>
      </c>
      <c r="E79" s="634">
        <f>'COEFIC 2023'!P72</f>
        <v>0.61494319721037083</v>
      </c>
      <c r="F79" s="635">
        <f t="shared" ref="F79:F110" si="10">$F$9*E79%</f>
        <v>19468.536121916186</v>
      </c>
      <c r="G79" s="653">
        <f>FPART!J80</f>
        <v>1.204188788717512</v>
      </c>
      <c r="H79" s="637">
        <f t="shared" ref="H79:H110" si="11">$F$10*G79%</f>
        <v>8471.8910397302952</v>
      </c>
      <c r="I79" s="638">
        <f t="shared" ref="I79:I110" si="12">D79+F79+H79</f>
        <v>54378.516571637876</v>
      </c>
      <c r="M79" s="639"/>
      <c r="N79" s="640"/>
      <c r="O79" s="641"/>
    </row>
    <row r="80" spans="1:15" s="613" customFormat="1" x14ac:dyDescent="0.2">
      <c r="A80" s="631">
        <v>66</v>
      </c>
      <c r="B80" s="631" t="s">
        <v>118</v>
      </c>
      <c r="C80" s="632">
        <f>'COEFIC 2023'!I73</f>
        <v>2.0717033148684965</v>
      </c>
      <c r="D80" s="633">
        <f t="shared" si="9"/>
        <v>65588.221810368239</v>
      </c>
      <c r="E80" s="634">
        <f>'COEFIC 2023'!P73</f>
        <v>1.3350772698902451</v>
      </c>
      <c r="F80" s="635">
        <f t="shared" si="10"/>
        <v>42267.318627667773</v>
      </c>
      <c r="G80" s="653">
        <f>FPART!J81</f>
        <v>1.2715202471937566</v>
      </c>
      <c r="H80" s="637">
        <f t="shared" si="11"/>
        <v>8945.5914969188925</v>
      </c>
      <c r="I80" s="638">
        <f t="shared" si="12"/>
        <v>116801.1319349549</v>
      </c>
      <c r="M80" s="639"/>
      <c r="N80" s="640"/>
      <c r="O80" s="641"/>
    </row>
    <row r="81" spans="1:15" s="613" customFormat="1" x14ac:dyDescent="0.2">
      <c r="A81" s="631">
        <v>67</v>
      </c>
      <c r="B81" s="631" t="s">
        <v>120</v>
      </c>
      <c r="C81" s="632">
        <f>'COEFIC 2023'!I74</f>
        <v>0.35000082125215265</v>
      </c>
      <c r="D81" s="633">
        <f t="shared" si="9"/>
        <v>11080.70414008793</v>
      </c>
      <c r="E81" s="634">
        <f>'COEFIC 2023'!P74</f>
        <v>0.49564708763613402</v>
      </c>
      <c r="F81" s="635">
        <f t="shared" si="10"/>
        <v>15691.730997498214</v>
      </c>
      <c r="G81" s="653">
        <f>FPART!J82</f>
        <v>0.8654049337071944</v>
      </c>
      <c r="H81" s="637">
        <f t="shared" si="11"/>
        <v>6088.4276388428316</v>
      </c>
      <c r="I81" s="638">
        <f t="shared" si="12"/>
        <v>32860.862776428978</v>
      </c>
      <c r="M81" s="639"/>
      <c r="N81" s="640"/>
      <c r="O81" s="641"/>
    </row>
    <row r="82" spans="1:15" s="613" customFormat="1" x14ac:dyDescent="0.2">
      <c r="A82" s="631">
        <v>68</v>
      </c>
      <c r="B82" s="631" t="s">
        <v>144</v>
      </c>
      <c r="C82" s="632">
        <f>'COEFIC 2023'!I75</f>
        <v>0.61886614137413598</v>
      </c>
      <c r="D82" s="633">
        <f t="shared" si="9"/>
        <v>19592.732926601537</v>
      </c>
      <c r="E82" s="634">
        <f>'COEFIC 2023'!P75</f>
        <v>0.67531065033607796</v>
      </c>
      <c r="F82" s="635">
        <f t="shared" si="10"/>
        <v>21379.714173966178</v>
      </c>
      <c r="G82" s="653">
        <f>FPART!J83</f>
        <v>0.99986875676695242</v>
      </c>
      <c r="H82" s="637">
        <f t="shared" si="11"/>
        <v>7034.4278577628875</v>
      </c>
      <c r="I82" s="638">
        <f t="shared" si="12"/>
        <v>48006.874958330605</v>
      </c>
      <c r="M82" s="639"/>
      <c r="N82" s="640"/>
      <c r="O82" s="641"/>
    </row>
    <row r="83" spans="1:15" s="613" customFormat="1" x14ac:dyDescent="0.2">
      <c r="A83" s="631">
        <v>69</v>
      </c>
      <c r="B83" s="631" t="s">
        <v>84</v>
      </c>
      <c r="C83" s="632">
        <f>'COEFIC 2023'!I76</f>
        <v>2.2424395316251569</v>
      </c>
      <c r="D83" s="633">
        <f t="shared" si="9"/>
        <v>70993.573423859183</v>
      </c>
      <c r="E83" s="634">
        <f>'COEFIC 2023'!P76</f>
        <v>1.9355321382709125</v>
      </c>
      <c r="F83" s="635">
        <f t="shared" si="10"/>
        <v>61277.16758230274</v>
      </c>
      <c r="G83" s="653">
        <f>FPART!J84</f>
        <v>1.12226426101586</v>
      </c>
      <c r="H83" s="637">
        <f t="shared" si="11"/>
        <v>7895.5232154550458</v>
      </c>
      <c r="I83" s="638">
        <f t="shared" si="12"/>
        <v>140166.26422161696</v>
      </c>
      <c r="M83" s="639"/>
      <c r="N83" s="640"/>
      <c r="O83" s="641"/>
    </row>
    <row r="84" spans="1:15" s="613" customFormat="1" x14ac:dyDescent="0.2">
      <c r="A84" s="631">
        <v>70</v>
      </c>
      <c r="B84" s="631" t="s">
        <v>53</v>
      </c>
      <c r="C84" s="632">
        <f>'COEFIC 2023'!I77</f>
        <v>0.32645825954347646</v>
      </c>
      <c r="D84" s="633">
        <f t="shared" si="9"/>
        <v>10335.368286130988</v>
      </c>
      <c r="E84" s="634">
        <f>'COEFIC 2023'!P77</f>
        <v>0.45201662211357152</v>
      </c>
      <c r="F84" s="635">
        <f t="shared" si="10"/>
        <v>14310.43058162998</v>
      </c>
      <c r="G84" s="653">
        <f>FPART!J85</f>
        <v>0.87684522131647236</v>
      </c>
      <c r="H84" s="637">
        <f t="shared" si="11"/>
        <v>6168.91408000311</v>
      </c>
      <c r="I84" s="638">
        <f t="shared" si="12"/>
        <v>30814.712947764077</v>
      </c>
      <c r="M84" s="639"/>
      <c r="N84" s="640"/>
      <c r="O84" s="641"/>
    </row>
    <row r="85" spans="1:15" s="613" customFormat="1" x14ac:dyDescent="0.2">
      <c r="A85" s="631">
        <v>71</v>
      </c>
      <c r="B85" s="631" t="s">
        <v>143</v>
      </c>
      <c r="C85" s="632">
        <f>'COEFIC 2023'!I78</f>
        <v>1.4584595920777386</v>
      </c>
      <c r="D85" s="633">
        <f t="shared" si="9"/>
        <v>46173.489485740327</v>
      </c>
      <c r="E85" s="634">
        <f>'COEFIC 2023'!P78</f>
        <v>1.0305721617264547</v>
      </c>
      <c r="F85" s="635">
        <f t="shared" si="10"/>
        <v>32626.966926099634</v>
      </c>
      <c r="G85" s="653">
        <f>FPART!J86</f>
        <v>1.2251911375010087</v>
      </c>
      <c r="H85" s="637">
        <f t="shared" si="11"/>
        <v>8619.6499394470884</v>
      </c>
      <c r="I85" s="638">
        <f t="shared" si="12"/>
        <v>87420.106351287046</v>
      </c>
      <c r="M85" s="639"/>
      <c r="N85" s="640"/>
      <c r="O85" s="641"/>
    </row>
    <row r="86" spans="1:15" s="613" customFormat="1" x14ac:dyDescent="0.2">
      <c r="A86" s="631">
        <v>72</v>
      </c>
      <c r="B86" s="631" t="s">
        <v>132</v>
      </c>
      <c r="C86" s="632">
        <f>'COEFIC 2023'!I79</f>
        <v>0.29398721289340612</v>
      </c>
      <c r="D86" s="633">
        <f t="shared" si="9"/>
        <v>9307.364809564262</v>
      </c>
      <c r="E86" s="634">
        <f>'COEFIC 2023'!P79</f>
        <v>0.37946277923825678</v>
      </c>
      <c r="F86" s="635">
        <f t="shared" si="10"/>
        <v>12013.442636711421</v>
      </c>
      <c r="G86" s="653">
        <f>FPART!J87</f>
        <v>0.91277339179785055</v>
      </c>
      <c r="H86" s="637">
        <f t="shared" si="11"/>
        <v>6421.6813773130789</v>
      </c>
      <c r="I86" s="638">
        <f t="shared" si="12"/>
        <v>27742.488823588763</v>
      </c>
      <c r="M86" s="639"/>
      <c r="N86" s="640"/>
      <c r="O86" s="641"/>
    </row>
    <row r="87" spans="1:15" s="613" customFormat="1" x14ac:dyDescent="0.2">
      <c r="A87" s="631">
        <v>73</v>
      </c>
      <c r="B87" s="631" t="s">
        <v>85</v>
      </c>
      <c r="C87" s="632">
        <f>'COEFIC 2023'!I80</f>
        <v>0.5722653461493592</v>
      </c>
      <c r="D87" s="633">
        <f t="shared" si="9"/>
        <v>18117.394603876393</v>
      </c>
      <c r="E87" s="634">
        <f>'COEFIC 2023'!P80</f>
        <v>0.54450577422167679</v>
      </c>
      <c r="F87" s="635">
        <f t="shared" si="10"/>
        <v>17238.552084348314</v>
      </c>
      <c r="G87" s="653">
        <f>FPART!J88</f>
        <v>1.0714530756763703</v>
      </c>
      <c r="H87" s="637">
        <f t="shared" si="11"/>
        <v>7538.0486817034434</v>
      </c>
      <c r="I87" s="638">
        <f t="shared" si="12"/>
        <v>42893.995369928147</v>
      </c>
      <c r="M87" s="639"/>
      <c r="N87" s="640"/>
      <c r="O87" s="641"/>
    </row>
    <row r="88" spans="1:15" s="613" customFormat="1" x14ac:dyDescent="0.2">
      <c r="A88" s="631">
        <v>74</v>
      </c>
      <c r="B88" s="652" t="s">
        <v>133</v>
      </c>
      <c r="C88" s="632">
        <f>'COEFIC 2023'!I81</f>
        <v>0.22222240940220003</v>
      </c>
      <c r="D88" s="633">
        <f t="shared" si="9"/>
        <v>7035.3571259459668</v>
      </c>
      <c r="E88" s="634">
        <f>'COEFIC 2023'!P81</f>
        <v>0.30271862627818635</v>
      </c>
      <c r="F88" s="635">
        <f t="shared" si="10"/>
        <v>9583.7933279186545</v>
      </c>
      <c r="G88" s="653">
        <f>FPART!J89</f>
        <v>0.88515068741753156</v>
      </c>
      <c r="H88" s="637">
        <f t="shared" si="11"/>
        <v>6227.3459509037566</v>
      </c>
      <c r="I88" s="638">
        <f t="shared" si="12"/>
        <v>22846.496404768379</v>
      </c>
      <c r="M88" s="639"/>
      <c r="N88" s="640"/>
      <c r="O88" s="641"/>
    </row>
    <row r="89" spans="1:15" s="613" customFormat="1" x14ac:dyDescent="0.2">
      <c r="A89" s="631">
        <v>75</v>
      </c>
      <c r="B89" s="631" t="s">
        <v>146</v>
      </c>
      <c r="C89" s="632">
        <f>'COEFIC 2023'!I82</f>
        <v>1.6621932991720516</v>
      </c>
      <c r="D89" s="633">
        <f t="shared" si="9"/>
        <v>52623.511298829239</v>
      </c>
      <c r="E89" s="634">
        <f>'COEFIC 2023'!P82</f>
        <v>1.0263852879652673</v>
      </c>
      <c r="F89" s="635">
        <f t="shared" si="10"/>
        <v>32494.414353069547</v>
      </c>
      <c r="G89" s="653">
        <f>FPART!J90</f>
        <v>1.2927027552766872</v>
      </c>
      <c r="H89" s="637">
        <f t="shared" si="11"/>
        <v>9094.6178805791496</v>
      </c>
      <c r="I89" s="638">
        <f t="shared" si="12"/>
        <v>94212.543532477925</v>
      </c>
      <c r="M89" s="639"/>
      <c r="N89" s="640"/>
      <c r="O89" s="641"/>
    </row>
    <row r="90" spans="1:15" s="613" customFormat="1" x14ac:dyDescent="0.2">
      <c r="A90" s="631">
        <v>76</v>
      </c>
      <c r="B90" s="631" t="s">
        <v>148</v>
      </c>
      <c r="C90" s="632">
        <f>'COEFIC 2023'!I83</f>
        <v>1.6525488508155455</v>
      </c>
      <c r="D90" s="633">
        <f t="shared" si="9"/>
        <v>52318.176932896953</v>
      </c>
      <c r="E90" s="634">
        <f>'COEFIC 2023'!P83</f>
        <v>1.8504233032214761</v>
      </c>
      <c r="F90" s="635">
        <f t="shared" si="10"/>
        <v>58582.700130722289</v>
      </c>
      <c r="G90" s="653">
        <f>FPART!J91</f>
        <v>0.98641008576890343</v>
      </c>
      <c r="H90" s="637">
        <f t="shared" si="11"/>
        <v>6939.7413806063596</v>
      </c>
      <c r="I90" s="638">
        <f t="shared" si="12"/>
        <v>117840.61844422559</v>
      </c>
      <c r="M90" s="639"/>
      <c r="N90" s="640"/>
      <c r="O90" s="641"/>
    </row>
    <row r="91" spans="1:15" s="613" customFormat="1" x14ac:dyDescent="0.2">
      <c r="A91" s="631">
        <v>77</v>
      </c>
      <c r="B91" s="631" t="s">
        <v>45</v>
      </c>
      <c r="C91" s="632">
        <f>'COEFIC 2023'!I84</f>
        <v>0.37223780261562495</v>
      </c>
      <c r="D91" s="633">
        <f t="shared" si="9"/>
        <v>11784.706520927401</v>
      </c>
      <c r="E91" s="634">
        <f>'COEFIC 2023'!P84</f>
        <v>0.62678870776607709</v>
      </c>
      <c r="F91" s="635">
        <f t="shared" si="10"/>
        <v>19843.554092978338</v>
      </c>
      <c r="G91" s="653">
        <f>FPART!J92</f>
        <v>0.77908231415513252</v>
      </c>
      <c r="H91" s="637">
        <f t="shared" si="11"/>
        <v>5481.1176937900891</v>
      </c>
      <c r="I91" s="638">
        <f t="shared" si="12"/>
        <v>37109.378307695828</v>
      </c>
      <c r="M91" s="639"/>
      <c r="N91" s="640"/>
      <c r="O91" s="641"/>
    </row>
    <row r="92" spans="1:15" s="613" customFormat="1" x14ac:dyDescent="0.2">
      <c r="A92" s="631">
        <v>78</v>
      </c>
      <c r="B92" s="631" t="s">
        <v>349</v>
      </c>
      <c r="C92" s="632">
        <f>'COEFIC 2023'!I85</f>
        <v>0.26979186101212799</v>
      </c>
      <c r="D92" s="633">
        <f t="shared" si="9"/>
        <v>8541.3622190485858</v>
      </c>
      <c r="E92" s="634">
        <f>'COEFIC 2023'!P85</f>
        <v>0.40979046274032732</v>
      </c>
      <c r="F92" s="635">
        <f t="shared" si="10"/>
        <v>12973.589207049226</v>
      </c>
      <c r="G92" s="653">
        <f>FPART!J93</f>
        <v>0.83009281053141881</v>
      </c>
      <c r="H92" s="637">
        <f t="shared" si="11"/>
        <v>5839.9944506835909</v>
      </c>
      <c r="I92" s="638">
        <f t="shared" si="12"/>
        <v>27354.945876781399</v>
      </c>
      <c r="M92" s="639"/>
      <c r="N92" s="640"/>
      <c r="O92" s="641"/>
    </row>
    <row r="93" spans="1:15" s="613" customFormat="1" x14ac:dyDescent="0.2">
      <c r="A93" s="631">
        <v>79</v>
      </c>
      <c r="B93" s="631" t="s">
        <v>138</v>
      </c>
      <c r="C93" s="632">
        <f>'COEFIC 2023'!I86</f>
        <v>1.0506973694240664</v>
      </c>
      <c r="D93" s="633">
        <f t="shared" si="9"/>
        <v>33264.112494665023</v>
      </c>
      <c r="E93" s="634">
        <f>'COEFIC 2023'!P86</f>
        <v>0.84314994921472297</v>
      </c>
      <c r="F93" s="635">
        <f t="shared" si="10"/>
        <v>26693.352031444832</v>
      </c>
      <c r="G93" s="653">
        <f>FPART!J94</f>
        <v>1.160038930477814</v>
      </c>
      <c r="H93" s="637">
        <f t="shared" si="11"/>
        <v>8161.281281583807</v>
      </c>
      <c r="I93" s="638">
        <f t="shared" si="12"/>
        <v>68118.74580769366</v>
      </c>
      <c r="M93" s="639"/>
      <c r="N93" s="640"/>
      <c r="O93" s="641"/>
    </row>
    <row r="94" spans="1:15" s="613" customFormat="1" x14ac:dyDescent="0.2">
      <c r="A94" s="631">
        <v>80</v>
      </c>
      <c r="B94" s="631" t="s">
        <v>93</v>
      </c>
      <c r="C94" s="632">
        <f>'COEFIC 2023'!I87</f>
        <v>0.41763830623271425</v>
      </c>
      <c r="D94" s="633">
        <f t="shared" si="9"/>
        <v>13222.044715141321</v>
      </c>
      <c r="E94" s="634">
        <f>'COEFIC 2023'!P87</f>
        <v>0.46314450232260923</v>
      </c>
      <c r="F94" s="635">
        <f t="shared" si="10"/>
        <v>14662.729035849474</v>
      </c>
      <c r="G94" s="653">
        <f>FPART!J95</f>
        <v>0.99145128306937969</v>
      </c>
      <c r="H94" s="637">
        <f t="shared" si="11"/>
        <v>6975.2079740837016</v>
      </c>
      <c r="I94" s="638">
        <f t="shared" si="12"/>
        <v>34859.981725074496</v>
      </c>
      <c r="M94" s="639"/>
      <c r="N94" s="640"/>
      <c r="O94" s="641"/>
    </row>
    <row r="95" spans="1:15" s="613" customFormat="1" x14ac:dyDescent="0.2">
      <c r="A95" s="631">
        <v>81</v>
      </c>
      <c r="B95" s="631" t="s">
        <v>116</v>
      </c>
      <c r="C95" s="632">
        <f>'COEFIC 2023'!I88</f>
        <v>0.19112011633984341</v>
      </c>
      <c r="D95" s="633">
        <f t="shared" si="9"/>
        <v>6050.6871292604565</v>
      </c>
      <c r="E95" s="634">
        <f>'COEFIC 2023'!P88</f>
        <v>0.43209989462611942</v>
      </c>
      <c r="F95" s="635">
        <f t="shared" si="10"/>
        <v>13679.885304799842</v>
      </c>
      <c r="G95" s="653">
        <f>FPART!J96</f>
        <v>0.64121680254968882</v>
      </c>
      <c r="H95" s="637">
        <f t="shared" si="11"/>
        <v>4511.1854012781178</v>
      </c>
      <c r="I95" s="638">
        <f t="shared" si="12"/>
        <v>24241.757835338416</v>
      </c>
      <c r="M95" s="639"/>
      <c r="N95" s="640"/>
      <c r="O95" s="641"/>
    </row>
    <row r="96" spans="1:15" s="613" customFormat="1" x14ac:dyDescent="0.2">
      <c r="A96" s="631">
        <v>82</v>
      </c>
      <c r="B96" s="631" t="s">
        <v>152</v>
      </c>
      <c r="C96" s="632">
        <f>'COEFIC 2023'!I89</f>
        <v>1.6749332364115408</v>
      </c>
      <c r="D96" s="633">
        <f t="shared" si="9"/>
        <v>53026.845996185177</v>
      </c>
      <c r="E96" s="634">
        <f>'COEFIC 2023'!P89</f>
        <v>1.3119994634053675</v>
      </c>
      <c r="F96" s="635">
        <f t="shared" si="10"/>
        <v>41536.696496707387</v>
      </c>
      <c r="G96" s="653">
        <f>FPART!J97</f>
        <v>1.1724975552384336</v>
      </c>
      <c r="H96" s="637">
        <f t="shared" si="11"/>
        <v>8248.9320822437821</v>
      </c>
      <c r="I96" s="638">
        <f t="shared" si="12"/>
        <v>102812.47457513635</v>
      </c>
      <c r="M96" s="639"/>
      <c r="N96" s="640"/>
      <c r="O96" s="641"/>
    </row>
    <row r="97" spans="1:15" s="613" customFormat="1" x14ac:dyDescent="0.2">
      <c r="A97" s="631">
        <v>83</v>
      </c>
      <c r="B97" s="631" t="s">
        <v>153</v>
      </c>
      <c r="C97" s="632">
        <f>'COEFIC 2023'!I90</f>
        <v>0.70444482722749913</v>
      </c>
      <c r="D97" s="633">
        <f t="shared" si="9"/>
        <v>22302.075422559505</v>
      </c>
      <c r="E97" s="634">
        <f>'COEFIC 2023'!P90</f>
        <v>0.84846349141285227</v>
      </c>
      <c r="F97" s="635">
        <f t="shared" si="10"/>
        <v>26861.573891104199</v>
      </c>
      <c r="G97" s="653">
        <f>FPART!J98</f>
        <v>0.94850811469966656</v>
      </c>
      <c r="H97" s="637">
        <f t="shared" si="11"/>
        <v>6673.0877029620378</v>
      </c>
      <c r="I97" s="638">
        <f t="shared" si="12"/>
        <v>55836.737016625739</v>
      </c>
      <c r="M97" s="639"/>
      <c r="N97" s="640"/>
      <c r="O97" s="641"/>
    </row>
    <row r="98" spans="1:15" s="613" customFormat="1" x14ac:dyDescent="0.2">
      <c r="A98" s="631">
        <v>84</v>
      </c>
      <c r="B98" s="631" t="s">
        <v>107</v>
      </c>
      <c r="C98" s="632">
        <f>'COEFIC 2023'!I91</f>
        <v>0.66786751981428749</v>
      </c>
      <c r="D98" s="633">
        <f t="shared" si="9"/>
        <v>21144.071506349119</v>
      </c>
      <c r="E98" s="634">
        <f>'COEFIC 2023'!P91</f>
        <v>0.50669760758141813</v>
      </c>
      <c r="F98" s="635">
        <f t="shared" si="10"/>
        <v>16041.580296907767</v>
      </c>
      <c r="G98" s="653">
        <f>FPART!J99</f>
        <v>1.1889212876884179</v>
      </c>
      <c r="H98" s="637">
        <f t="shared" si="11"/>
        <v>8364.4788080442577</v>
      </c>
      <c r="I98" s="638">
        <f t="shared" si="12"/>
        <v>45550.130611301145</v>
      </c>
      <c r="M98" s="639"/>
      <c r="N98" s="640"/>
      <c r="O98" s="641"/>
    </row>
    <row r="99" spans="1:15" s="613" customFormat="1" x14ac:dyDescent="0.2">
      <c r="A99" s="631">
        <v>85</v>
      </c>
      <c r="B99" s="631" t="s">
        <v>124</v>
      </c>
      <c r="C99" s="632">
        <f>'COEFIC 2023'!I92</f>
        <v>0.74241194597592763</v>
      </c>
      <c r="D99" s="633">
        <f t="shared" si="9"/>
        <v>23504.079487572351</v>
      </c>
      <c r="E99" s="634">
        <f>'COEFIC 2023'!P92</f>
        <v>0.66451015921013734</v>
      </c>
      <c r="F99" s="635">
        <f t="shared" si="10"/>
        <v>21037.780557050541</v>
      </c>
      <c r="G99" s="653">
        <f>FPART!J100</f>
        <v>1.1033537639277704</v>
      </c>
      <c r="H99" s="637">
        <f t="shared" si="11"/>
        <v>7762.4812270737566</v>
      </c>
      <c r="I99" s="638">
        <f t="shared" si="12"/>
        <v>52304.341271696656</v>
      </c>
      <c r="M99" s="639"/>
      <c r="N99" s="640"/>
      <c r="O99" s="641"/>
    </row>
    <row r="100" spans="1:15" s="613" customFormat="1" x14ac:dyDescent="0.2">
      <c r="A100" s="631">
        <v>86</v>
      </c>
      <c r="B100" s="631" t="s">
        <v>129</v>
      </c>
      <c r="C100" s="632">
        <f>'COEFIC 2023'!I93</f>
        <v>0.32711104971607841</v>
      </c>
      <c r="D100" s="633">
        <f t="shared" si="9"/>
        <v>10356.035022689724</v>
      </c>
      <c r="E100" s="634">
        <f>'COEFIC 2023'!P93</f>
        <v>0.39136182539384073</v>
      </c>
      <c r="F100" s="635">
        <f t="shared" si="10"/>
        <v>12390.155495634366</v>
      </c>
      <c r="G100" s="653">
        <f>FPART!J101</f>
        <v>0.9519731967183146</v>
      </c>
      <c r="H100" s="637">
        <f t="shared" si="11"/>
        <v>6697.4657719000315</v>
      </c>
      <c r="I100" s="638">
        <f t="shared" si="12"/>
        <v>29443.65629022412</v>
      </c>
      <c r="M100" s="639"/>
      <c r="N100" s="640"/>
      <c r="O100" s="641"/>
    </row>
    <row r="101" spans="1:15" s="613" customFormat="1" x14ac:dyDescent="0.2">
      <c r="A101" s="631">
        <v>87</v>
      </c>
      <c r="B101" s="631" t="s">
        <v>350</v>
      </c>
      <c r="C101" s="632">
        <f>'COEFIC 2023'!I94</f>
        <v>0.32826922582875923</v>
      </c>
      <c r="D101" s="633">
        <f t="shared" si="9"/>
        <v>10392.701813358444</v>
      </c>
      <c r="E101" s="634">
        <f>'COEFIC 2023'!P94</f>
        <v>0.36366268944449609</v>
      </c>
      <c r="F101" s="635">
        <f t="shared" si="10"/>
        <v>11513.226323603532</v>
      </c>
      <c r="G101" s="653">
        <f>FPART!J102</f>
        <v>0.9919886218149192</v>
      </c>
      <c r="H101" s="637">
        <f t="shared" si="11"/>
        <v>6978.9883408719397</v>
      </c>
      <c r="I101" s="638">
        <f t="shared" si="12"/>
        <v>28884.916477833918</v>
      </c>
      <c r="M101" s="639"/>
      <c r="N101" s="640"/>
      <c r="O101" s="641"/>
    </row>
    <row r="102" spans="1:15" s="613" customFormat="1" x14ac:dyDescent="0.2">
      <c r="A102" s="631">
        <v>88</v>
      </c>
      <c r="B102" s="631" t="s">
        <v>99</v>
      </c>
      <c r="C102" s="632">
        <f>'COEFIC 2023'!I95</f>
        <v>2.411385839844038</v>
      </c>
      <c r="D102" s="633">
        <f t="shared" si="9"/>
        <v>76342.258179043929</v>
      </c>
      <c r="E102" s="634">
        <f>'COEFIC 2023'!P95</f>
        <v>1.5072208482992138</v>
      </c>
      <c r="F102" s="635">
        <f t="shared" si="10"/>
        <v>47717.226016861016</v>
      </c>
      <c r="G102" s="653">
        <f>FPART!J103</f>
        <v>1.2866929269784904</v>
      </c>
      <c r="H102" s="637">
        <f t="shared" si="11"/>
        <v>9052.336627849636</v>
      </c>
      <c r="I102" s="638">
        <f t="shared" si="12"/>
        <v>133111.82082375459</v>
      </c>
      <c r="M102" s="639"/>
      <c r="N102" s="640"/>
      <c r="O102" s="641"/>
    </row>
    <row r="103" spans="1:15" s="613" customFormat="1" x14ac:dyDescent="0.2">
      <c r="A103" s="631">
        <v>89</v>
      </c>
      <c r="B103" s="631" t="s">
        <v>55</v>
      </c>
      <c r="C103" s="632">
        <f>'COEFIC 2023'!I96</f>
        <v>0.50694421339415929</v>
      </c>
      <c r="D103" s="633">
        <f t="shared" si="9"/>
        <v>16049.387610160446</v>
      </c>
      <c r="E103" s="634">
        <f>'COEFIC 2023'!P96</f>
        <v>0.8277868069583757</v>
      </c>
      <c r="F103" s="635">
        <f t="shared" si="10"/>
        <v>26206.969075554494</v>
      </c>
      <c r="G103" s="653">
        <f>FPART!J104</f>
        <v>0.79415687293111992</v>
      </c>
      <c r="H103" s="637">
        <f t="shared" si="11"/>
        <v>5587.1725089642032</v>
      </c>
      <c r="I103" s="638">
        <f t="shared" si="12"/>
        <v>47843.529194679148</v>
      </c>
      <c r="M103" s="639"/>
      <c r="N103" s="640"/>
      <c r="O103" s="641"/>
    </row>
    <row r="104" spans="1:15" s="613" customFormat="1" x14ac:dyDescent="0.2">
      <c r="A104" s="631">
        <v>90</v>
      </c>
      <c r="B104" s="631" t="s">
        <v>147</v>
      </c>
      <c r="C104" s="632">
        <f>'COEFIC 2023'!I97</f>
        <v>0.34376772799117933</v>
      </c>
      <c r="D104" s="633">
        <f t="shared" si="9"/>
        <v>10883.370139398077</v>
      </c>
      <c r="E104" s="634">
        <f>'COEFIC 2023'!P97</f>
        <v>0.35072713773174047</v>
      </c>
      <c r="F104" s="635">
        <f t="shared" si="10"/>
        <v>11103.698651911045</v>
      </c>
      <c r="G104" s="653">
        <f>FPART!J105</f>
        <v>1.0349895076901878</v>
      </c>
      <c r="H104" s="637">
        <f t="shared" si="11"/>
        <v>7281.5146749155738</v>
      </c>
      <c r="I104" s="638">
        <f t="shared" si="12"/>
        <v>29268.5834662247</v>
      </c>
      <c r="M104" s="639"/>
      <c r="N104" s="640"/>
      <c r="O104" s="641"/>
    </row>
    <row r="105" spans="1:15" s="613" customFormat="1" x14ac:dyDescent="0.2">
      <c r="A105" s="631">
        <v>91</v>
      </c>
      <c r="B105" s="631" t="s">
        <v>351</v>
      </c>
      <c r="C105" s="632">
        <f>'COEFIC 2023'!I98</f>
        <v>0.31447640121410547</v>
      </c>
      <c r="D105" s="633">
        <f t="shared" si="9"/>
        <v>9956.0336699400232</v>
      </c>
      <c r="E105" s="634">
        <f>'COEFIC 2023'!P98</f>
        <v>0.3913826442102713</v>
      </c>
      <c r="F105" s="635">
        <f t="shared" si="10"/>
        <v>12390.814600217574</v>
      </c>
      <c r="G105" s="653">
        <f>FPART!J106</f>
        <v>0.93155812720200115</v>
      </c>
      <c r="H105" s="637">
        <f t="shared" si="11"/>
        <v>6553.8385880803535</v>
      </c>
      <c r="I105" s="638">
        <f t="shared" si="12"/>
        <v>28900.686858237954</v>
      </c>
      <c r="M105" s="639"/>
      <c r="N105" s="640"/>
      <c r="O105" s="641"/>
    </row>
    <row r="106" spans="1:15" s="613" customFormat="1" x14ac:dyDescent="0.2">
      <c r="A106" s="631">
        <v>92</v>
      </c>
      <c r="B106" s="631" t="s">
        <v>352</v>
      </c>
      <c r="C106" s="632">
        <f>'COEFIC 2023'!I99</f>
        <v>0.27029724695220692</v>
      </c>
      <c r="D106" s="633">
        <f t="shared" si="9"/>
        <v>8557.3622731585747</v>
      </c>
      <c r="E106" s="634">
        <f>'COEFIC 2023'!P99</f>
        <v>1.386545035984039</v>
      </c>
      <c r="F106" s="635">
        <f t="shared" si="10"/>
        <v>43896.740772439582</v>
      </c>
      <c r="G106" s="653">
        <f>FPART!J107</f>
        <v>0.34111462177289331</v>
      </c>
      <c r="H106" s="637">
        <f t="shared" si="11"/>
        <v>2399.8611636274718</v>
      </c>
      <c r="I106" s="638">
        <f t="shared" si="12"/>
        <v>54853.964209225625</v>
      </c>
      <c r="M106" s="639"/>
      <c r="N106" s="640"/>
      <c r="O106" s="641"/>
    </row>
    <row r="107" spans="1:15" s="613" customFormat="1" x14ac:dyDescent="0.2">
      <c r="A107" s="631">
        <v>93</v>
      </c>
      <c r="B107" s="631" t="s">
        <v>353</v>
      </c>
      <c r="C107" s="632">
        <f>'COEFIC 2023'!I100</f>
        <v>0.60132503770389689</v>
      </c>
      <c r="D107" s="633">
        <f t="shared" si="9"/>
        <v>19037.397715200703</v>
      </c>
      <c r="E107" s="634">
        <f>'COEFIC 2023'!P100</f>
        <v>0.65567373347769853</v>
      </c>
      <c r="F107" s="635">
        <f t="shared" si="10"/>
        <v>20758.02744433863</v>
      </c>
      <c r="G107" s="653">
        <f>FPART!J108</f>
        <v>1.0002632586827527</v>
      </c>
      <c r="H107" s="637">
        <f t="shared" si="11"/>
        <v>7037.2033172896154</v>
      </c>
      <c r="I107" s="638">
        <f t="shared" si="12"/>
        <v>46832.628476828948</v>
      </c>
      <c r="M107" s="639"/>
      <c r="N107" s="640"/>
      <c r="O107" s="641"/>
    </row>
    <row r="108" spans="1:15" s="613" customFormat="1" x14ac:dyDescent="0.2">
      <c r="A108" s="631">
        <v>94</v>
      </c>
      <c r="B108" s="631" t="s">
        <v>354</v>
      </c>
      <c r="C108" s="632">
        <f>'COEFIC 2023'!I101</f>
        <v>0.13519073897111003</v>
      </c>
      <c r="D108" s="633">
        <f t="shared" si="9"/>
        <v>4280.014474421786</v>
      </c>
      <c r="E108" s="634">
        <f>'COEFIC 2023'!P101</f>
        <v>0.28459801121905781</v>
      </c>
      <c r="F108" s="635">
        <f t="shared" si="10"/>
        <v>9010.1113188642539</v>
      </c>
      <c r="G108" s="653">
        <f>FPART!J109</f>
        <v>0.67337351189936723</v>
      </c>
      <c r="H108" s="637">
        <f t="shared" si="11"/>
        <v>4737.4191449894279</v>
      </c>
      <c r="I108" s="638">
        <f t="shared" si="12"/>
        <v>18027.544938275467</v>
      </c>
      <c r="M108" s="639"/>
      <c r="N108" s="640"/>
      <c r="O108" s="641"/>
    </row>
    <row r="109" spans="1:15" s="613" customFormat="1" x14ac:dyDescent="0.2">
      <c r="A109" s="631">
        <v>95</v>
      </c>
      <c r="B109" s="631" t="s">
        <v>100</v>
      </c>
      <c r="C109" s="632">
        <f>'COEFIC 2023'!I102</f>
        <v>0.25953673797802668</v>
      </c>
      <c r="D109" s="633">
        <f t="shared" si="9"/>
        <v>8216.6944544000798</v>
      </c>
      <c r="E109" s="634">
        <f>'COEFIC 2023'!P102</f>
        <v>0.50154876438978779</v>
      </c>
      <c r="F109" s="635">
        <f t="shared" si="10"/>
        <v>15878.572656336948</v>
      </c>
      <c r="G109" s="653">
        <f>FPART!J110</f>
        <v>0.7130258503350696</v>
      </c>
      <c r="H109" s="637">
        <f t="shared" si="11"/>
        <v>5016.387271785853</v>
      </c>
      <c r="I109" s="638">
        <f t="shared" si="12"/>
        <v>29111.65438252288</v>
      </c>
      <c r="M109" s="639"/>
      <c r="N109" s="640"/>
      <c r="O109" s="641"/>
    </row>
    <row r="110" spans="1:15" s="613" customFormat="1" x14ac:dyDescent="0.2">
      <c r="A110" s="631">
        <v>96</v>
      </c>
      <c r="B110" s="631" t="s">
        <v>78</v>
      </c>
      <c r="C110" s="632">
        <f>'COEFIC 2023'!I103</f>
        <v>0.12573581034213366</v>
      </c>
      <c r="D110" s="633">
        <f t="shared" si="9"/>
        <v>3980.6801287807612</v>
      </c>
      <c r="E110" s="634">
        <f>'COEFIC 2023'!P103</f>
        <v>1.3013400949509077</v>
      </c>
      <c r="F110" s="635">
        <f t="shared" si="10"/>
        <v>41199.230693794423</v>
      </c>
      <c r="G110" s="653">
        <f>FPART!J111</f>
        <v>0.18422636972178577</v>
      </c>
      <c r="H110" s="637">
        <f t="shared" si="11"/>
        <v>1296.0972112938093</v>
      </c>
      <c r="I110" s="638">
        <f t="shared" si="12"/>
        <v>46476.008033868995</v>
      </c>
      <c r="M110" s="639"/>
      <c r="N110" s="640"/>
      <c r="O110" s="641"/>
    </row>
    <row r="111" spans="1:15" s="613" customFormat="1" x14ac:dyDescent="0.2">
      <c r="A111" s="631">
        <v>97</v>
      </c>
      <c r="B111" s="631" t="s">
        <v>130</v>
      </c>
      <c r="C111" s="632">
        <f>'COEFIC 2023'!I104</f>
        <v>0.61185391145554102</v>
      </c>
      <c r="D111" s="633">
        <f t="shared" ref="D111:D127" si="13">$F$8*C111%</f>
        <v>19370.732175825455</v>
      </c>
      <c r="E111" s="634">
        <f>'COEFIC 2023'!P104</f>
        <v>1.6393849867608183</v>
      </c>
      <c r="F111" s="635">
        <f t="shared" ref="F111:F127" si="14">$F$9*E111%</f>
        <v>51901.421102413682</v>
      </c>
      <c r="G111" s="653">
        <f>FPART!J112</f>
        <v>0.56828479898068007</v>
      </c>
      <c r="H111" s="637">
        <f t="shared" ref="H111:H127" si="15">$F$10*G111%</f>
        <v>3998.0831424504868</v>
      </c>
      <c r="I111" s="638">
        <f t="shared" ref="I111:I127" si="16">D111+F111+H111</f>
        <v>75270.236420689616</v>
      </c>
      <c r="M111" s="639"/>
      <c r="N111" s="640"/>
      <c r="O111" s="641"/>
    </row>
    <row r="112" spans="1:15" s="613" customFormat="1" x14ac:dyDescent="0.2">
      <c r="A112" s="631">
        <v>98</v>
      </c>
      <c r="B112" s="631" t="s">
        <v>355</v>
      </c>
      <c r="C112" s="632">
        <f>'COEFIC 2023'!I105</f>
        <v>0.54238440244219333</v>
      </c>
      <c r="D112" s="633">
        <f t="shared" si="13"/>
        <v>17171.391404623355</v>
      </c>
      <c r="E112" s="634">
        <f>'COEFIC 2023'!P105</f>
        <v>0.65675616703162876</v>
      </c>
      <c r="F112" s="635">
        <f t="shared" si="14"/>
        <v>20792.296295250162</v>
      </c>
      <c r="G112" s="653">
        <f>FPART!J113</f>
        <v>0.94575136814049388</v>
      </c>
      <c r="H112" s="637">
        <f t="shared" si="15"/>
        <v>6653.6930227488665</v>
      </c>
      <c r="I112" s="638">
        <f t="shared" si="16"/>
        <v>44617.380722622387</v>
      </c>
      <c r="M112" s="639"/>
      <c r="N112" s="640"/>
      <c r="O112" s="641"/>
    </row>
    <row r="113" spans="1:15" s="613" customFormat="1" x14ac:dyDescent="0.2">
      <c r="A113" s="631">
        <v>99</v>
      </c>
      <c r="B113" s="631" t="s">
        <v>139</v>
      </c>
      <c r="C113" s="632">
        <f>'COEFIC 2023'!I106</f>
        <v>0.30173646397461618</v>
      </c>
      <c r="D113" s="633">
        <f t="shared" si="13"/>
        <v>9552.6989725840776</v>
      </c>
      <c r="E113" s="634">
        <f>'COEFIC 2023'!P106</f>
        <v>1.0151448119377655</v>
      </c>
      <c r="F113" s="635">
        <f t="shared" si="14"/>
        <v>32138.551218780602</v>
      </c>
      <c r="G113" s="653">
        <f>FPART!J114</f>
        <v>0.47909435811536139</v>
      </c>
      <c r="H113" s="637">
        <f t="shared" si="15"/>
        <v>3370.5970672801377</v>
      </c>
      <c r="I113" s="638">
        <f t="shared" si="16"/>
        <v>45061.847258644819</v>
      </c>
      <c r="M113" s="639"/>
      <c r="N113" s="640"/>
      <c r="O113" s="641"/>
    </row>
    <row r="114" spans="1:15" s="613" customFormat="1" x14ac:dyDescent="0.2">
      <c r="A114" s="631">
        <v>100</v>
      </c>
      <c r="B114" s="631" t="s">
        <v>125</v>
      </c>
      <c r="C114" s="632">
        <f>'COEFIC 2023'!I107</f>
        <v>0.31399207302152987</v>
      </c>
      <c r="D114" s="633">
        <f t="shared" si="13"/>
        <v>9940.7002847512849</v>
      </c>
      <c r="E114" s="634">
        <f>'COEFIC 2023'!P107</f>
        <v>0.41005540499195375</v>
      </c>
      <c r="F114" s="635">
        <f t="shared" si="14"/>
        <v>12981.977035094826</v>
      </c>
      <c r="G114" s="653">
        <f>FPART!J115</f>
        <v>0.90675826255322967</v>
      </c>
      <c r="H114" s="637">
        <f t="shared" si="15"/>
        <v>6379.3628305637812</v>
      </c>
      <c r="I114" s="638">
        <f t="shared" si="16"/>
        <v>29302.040150409892</v>
      </c>
      <c r="M114" s="639"/>
      <c r="N114" s="640"/>
      <c r="O114" s="641"/>
    </row>
    <row r="115" spans="1:15" s="613" customFormat="1" x14ac:dyDescent="0.2">
      <c r="A115" s="631">
        <v>101</v>
      </c>
      <c r="B115" s="631" t="s">
        <v>66</v>
      </c>
      <c r="C115" s="632">
        <f>'COEFIC 2023'!I108</f>
        <v>0.18646635414161672</v>
      </c>
      <c r="D115" s="633">
        <f t="shared" si="13"/>
        <v>5903.3532976643173</v>
      </c>
      <c r="E115" s="634">
        <f>'COEFIC 2023'!P108</f>
        <v>1.1972559825788365</v>
      </c>
      <c r="F115" s="635">
        <f t="shared" si="14"/>
        <v>37904.023411844384</v>
      </c>
      <c r="G115" s="653">
        <f>FPART!J116</f>
        <v>0.28176783207365719</v>
      </c>
      <c r="H115" s="637">
        <f t="shared" si="15"/>
        <v>1982.3356555008029</v>
      </c>
      <c r="I115" s="638">
        <f t="shared" si="16"/>
        <v>45789.712365009502</v>
      </c>
      <c r="M115" s="639"/>
      <c r="N115" s="640"/>
      <c r="O115" s="641"/>
    </row>
    <row r="116" spans="1:15" s="613" customFormat="1" x14ac:dyDescent="0.2">
      <c r="A116" s="631">
        <v>102</v>
      </c>
      <c r="B116" s="631" t="s">
        <v>117</v>
      </c>
      <c r="C116" s="632">
        <f>'COEFIC 2023'!I109</f>
        <v>7.5131095007081719</v>
      </c>
      <c r="D116" s="633">
        <f t="shared" si="13"/>
        <v>237858.13773692388</v>
      </c>
      <c r="E116" s="634">
        <f>'COEFIC 2023'!P109</f>
        <v>3.2046435796815618</v>
      </c>
      <c r="F116" s="635">
        <f t="shared" si="14"/>
        <v>101456.06874248237</v>
      </c>
      <c r="G116" s="653">
        <f>FPART!J117</f>
        <v>1.4657363346795347</v>
      </c>
      <c r="H116" s="637">
        <f t="shared" si="15"/>
        <v>10311.969881071267</v>
      </c>
      <c r="I116" s="638">
        <f t="shared" si="16"/>
        <v>349626.17636047746</v>
      </c>
      <c r="M116" s="639"/>
      <c r="N116" s="640"/>
      <c r="O116" s="641"/>
    </row>
    <row r="117" spans="1:15" s="613" customFormat="1" x14ac:dyDescent="0.2">
      <c r="A117" s="631">
        <v>103</v>
      </c>
      <c r="B117" s="631" t="s">
        <v>356</v>
      </c>
      <c r="C117" s="632">
        <f>'COEFIC 2023'!I110</f>
        <v>0.49420427615467</v>
      </c>
      <c r="D117" s="633">
        <f t="shared" si="13"/>
        <v>15646.0529128045</v>
      </c>
      <c r="E117" s="634">
        <f>'COEFIC 2023'!P110</f>
        <v>0.56434491249142493</v>
      </c>
      <c r="F117" s="635">
        <f t="shared" si="14"/>
        <v>17866.640957896987</v>
      </c>
      <c r="G117" s="653">
        <f>FPART!J118</f>
        <v>0.97619221060691552</v>
      </c>
      <c r="H117" s="637">
        <f t="shared" si="15"/>
        <v>6867.855040324016</v>
      </c>
      <c r="I117" s="638">
        <f t="shared" si="16"/>
        <v>40380.5489110255</v>
      </c>
      <c r="M117" s="639"/>
      <c r="N117" s="640"/>
      <c r="O117" s="641"/>
    </row>
    <row r="118" spans="1:15" s="613" customFormat="1" x14ac:dyDescent="0.2">
      <c r="A118" s="631">
        <v>104</v>
      </c>
      <c r="B118" s="631" t="s">
        <v>109</v>
      </c>
      <c r="C118" s="632">
        <f>'COEFIC 2023'!I111</f>
        <v>0.33406010639216349</v>
      </c>
      <c r="D118" s="633">
        <f t="shared" si="13"/>
        <v>10576.035766702058</v>
      </c>
      <c r="E118" s="634">
        <f>'COEFIC 2023'!P111</f>
        <v>0.47064902069414494</v>
      </c>
      <c r="F118" s="635">
        <f t="shared" si="14"/>
        <v>14900.315186337197</v>
      </c>
      <c r="G118" s="653">
        <f>FPART!J119</f>
        <v>0.86801168304157472</v>
      </c>
      <c r="H118" s="637">
        <f t="shared" si="15"/>
        <v>6106.7670359005624</v>
      </c>
      <c r="I118" s="638">
        <f t="shared" si="16"/>
        <v>31583.117988939819</v>
      </c>
      <c r="M118" s="639"/>
      <c r="N118" s="640"/>
      <c r="O118" s="641"/>
    </row>
    <row r="119" spans="1:15" s="613" customFormat="1" x14ac:dyDescent="0.2">
      <c r="A119" s="631">
        <v>105</v>
      </c>
      <c r="B119" s="631" t="s">
        <v>150</v>
      </c>
      <c r="C119" s="632">
        <f>'COEFIC 2023'!I112</f>
        <v>0.44183365811399233</v>
      </c>
      <c r="D119" s="633">
        <f t="shared" si="13"/>
        <v>13988.047305656997</v>
      </c>
      <c r="E119" s="634">
        <f>'COEFIC 2023'!P112</f>
        <v>0.4853513770445434</v>
      </c>
      <c r="F119" s="635">
        <f t="shared" si="14"/>
        <v>15365.778268103915</v>
      </c>
      <c r="G119" s="653">
        <f>FPART!J120</f>
        <v>0.99639666628438228</v>
      </c>
      <c r="H119" s="637">
        <f t="shared" si="15"/>
        <v>7010.0004818198295</v>
      </c>
      <c r="I119" s="638">
        <f t="shared" si="16"/>
        <v>36363.826055580743</v>
      </c>
      <c r="M119" s="639"/>
      <c r="N119" s="640"/>
      <c r="O119" s="641"/>
    </row>
    <row r="120" spans="1:15" s="613" customFormat="1" x14ac:dyDescent="0.2">
      <c r="A120" s="631">
        <v>106</v>
      </c>
      <c r="B120" s="631" t="s">
        <v>357</v>
      </c>
      <c r="C120" s="632">
        <f>'COEFIC 2023'!I113</f>
        <v>0.68022841759871766</v>
      </c>
      <c r="D120" s="633">
        <f t="shared" si="13"/>
        <v>21535.406163122578</v>
      </c>
      <c r="E120" s="634">
        <f>'COEFIC 2023'!P113</f>
        <v>0.6649816513046064</v>
      </c>
      <c r="F120" s="635">
        <f t="shared" si="14"/>
        <v>21052.7075631773</v>
      </c>
      <c r="G120" s="653">
        <f>FPART!J121</f>
        <v>1.0573153678859981</v>
      </c>
      <c r="H120" s="637">
        <f t="shared" si="15"/>
        <v>7438.5849422351994</v>
      </c>
      <c r="I120" s="638">
        <f t="shared" si="16"/>
        <v>50026.698668535078</v>
      </c>
      <c r="M120" s="639"/>
      <c r="N120" s="640"/>
      <c r="O120" s="641"/>
    </row>
    <row r="121" spans="1:15" s="613" customFormat="1" x14ac:dyDescent="0.2">
      <c r="A121" s="631">
        <v>107</v>
      </c>
      <c r="B121" s="631" t="s">
        <v>358</v>
      </c>
      <c r="C121" s="632">
        <f>'COEFIC 2023'!I114</f>
        <v>1.6178456829301266</v>
      </c>
      <c r="D121" s="633">
        <f t="shared" si="13"/>
        <v>51219.50655067779</v>
      </c>
      <c r="E121" s="634">
        <f>'COEFIC 2023'!P114</f>
        <v>1.0775803879663932</v>
      </c>
      <c r="F121" s="635">
        <f t="shared" si="14"/>
        <v>34115.204140091235</v>
      </c>
      <c r="G121" s="653">
        <f>FPART!J122</f>
        <v>1.2550168374600785</v>
      </c>
      <c r="H121" s="637">
        <f t="shared" si="15"/>
        <v>8829.48421344497</v>
      </c>
      <c r="I121" s="638">
        <f t="shared" si="16"/>
        <v>94164.19490421399</v>
      </c>
      <c r="M121" s="639"/>
      <c r="N121" s="640"/>
      <c r="O121" s="641"/>
    </row>
    <row r="122" spans="1:15" s="613" customFormat="1" x14ac:dyDescent="0.2">
      <c r="A122" s="631">
        <v>108</v>
      </c>
      <c r="B122" s="631" t="s">
        <v>149</v>
      </c>
      <c r="C122" s="632">
        <f>'COEFIC 2023'!I115</f>
        <v>4.313890153523614</v>
      </c>
      <c r="D122" s="633">
        <f t="shared" si="13"/>
        <v>136573.79520717243</v>
      </c>
      <c r="E122" s="634">
        <f>'COEFIC 2023'!P115</f>
        <v>2.6970472672578447</v>
      </c>
      <c r="F122" s="635">
        <f t="shared" si="14"/>
        <v>85386.03627671639</v>
      </c>
      <c r="G122" s="653">
        <f>FPART!J123</f>
        <v>1.2865683823402381</v>
      </c>
      <c r="H122" s="637">
        <f t="shared" si="15"/>
        <v>9051.460412579454</v>
      </c>
      <c r="I122" s="638">
        <f t="shared" si="16"/>
        <v>231011.29189646826</v>
      </c>
      <c r="M122" s="639"/>
      <c r="N122" s="640"/>
      <c r="O122" s="641"/>
    </row>
    <row r="123" spans="1:15" s="613" customFormat="1" x14ac:dyDescent="0.2">
      <c r="A123" s="631">
        <v>109</v>
      </c>
      <c r="B123" s="631" t="s">
        <v>50</v>
      </c>
      <c r="C123" s="632">
        <f>'COEFIC 2023'!I116</f>
        <v>6.8058639930627357E-2</v>
      </c>
      <c r="D123" s="633">
        <f t="shared" si="13"/>
        <v>2154.6739534783819</v>
      </c>
      <c r="E123" s="634">
        <f>'COEFIC 2023'!P116</f>
        <v>0.2211655189413736</v>
      </c>
      <c r="F123" s="635">
        <f t="shared" si="14"/>
        <v>7001.8969458726697</v>
      </c>
      <c r="G123" s="653">
        <f>FPART!J124</f>
        <v>0.49202659964457895</v>
      </c>
      <c r="H123" s="637">
        <f t="shared" si="15"/>
        <v>3461.5799282414087</v>
      </c>
      <c r="I123" s="638">
        <f t="shared" si="16"/>
        <v>12618.150827592461</v>
      </c>
      <c r="M123" s="639"/>
      <c r="N123" s="640"/>
      <c r="O123" s="641"/>
    </row>
    <row r="124" spans="1:15" s="613" customFormat="1" x14ac:dyDescent="0.2">
      <c r="A124" s="631">
        <v>110</v>
      </c>
      <c r="B124" s="631" t="s">
        <v>111</v>
      </c>
      <c r="C124" s="632">
        <f>'COEFIC 2023'!I117</f>
        <v>1.0319349163986367</v>
      </c>
      <c r="D124" s="633">
        <f t="shared" si="13"/>
        <v>32670.110485831716</v>
      </c>
      <c r="E124" s="634">
        <f>'COEFIC 2023'!P117</f>
        <v>0.93707100970791035</v>
      </c>
      <c r="F124" s="635">
        <f t="shared" si="14"/>
        <v>29666.806436851915</v>
      </c>
      <c r="G124" s="653">
        <f>FPART!J125</f>
        <v>1.0958349989493676</v>
      </c>
      <c r="H124" s="637">
        <f t="shared" si="15"/>
        <v>7709.5840748604342</v>
      </c>
      <c r="I124" s="638">
        <f t="shared" si="16"/>
        <v>70046.500997544063</v>
      </c>
      <c r="M124" s="639"/>
      <c r="N124" s="640"/>
      <c r="O124" s="641"/>
    </row>
    <row r="125" spans="1:15" s="613" customFormat="1" x14ac:dyDescent="0.2">
      <c r="A125" s="631">
        <v>111</v>
      </c>
      <c r="B125" s="631" t="s">
        <v>140</v>
      </c>
      <c r="C125" s="632">
        <f>'COEFIC 2023'!I118</f>
        <v>0.38750466955550888</v>
      </c>
      <c r="D125" s="633">
        <f t="shared" si="13"/>
        <v>12268.041488833289</v>
      </c>
      <c r="E125" s="634">
        <f>'COEFIC 2023'!P118</f>
        <v>0.45366995431345297</v>
      </c>
      <c r="F125" s="635">
        <f t="shared" si="14"/>
        <v>14362.773558673935</v>
      </c>
      <c r="G125" s="653">
        <f>FPART!J126</f>
        <v>0.96323146383146219</v>
      </c>
      <c r="H125" s="637">
        <f t="shared" si="15"/>
        <v>6776.671634944435</v>
      </c>
      <c r="I125" s="638">
        <f t="shared" si="16"/>
        <v>33407.486682451658</v>
      </c>
      <c r="M125" s="639"/>
      <c r="N125" s="640"/>
      <c r="O125" s="641"/>
    </row>
    <row r="126" spans="1:15" s="613" customFormat="1" x14ac:dyDescent="0.2">
      <c r="A126" s="631">
        <v>112</v>
      </c>
      <c r="B126" s="631" t="s">
        <v>142</v>
      </c>
      <c r="C126" s="632">
        <f>'COEFIC 2023'!I119</f>
        <v>3.3072455918764265</v>
      </c>
      <c r="D126" s="633">
        <f t="shared" si="13"/>
        <v>104704.35409576137</v>
      </c>
      <c r="E126" s="634">
        <f>'COEFIC 2023'!P119</f>
        <v>1.8287280295210968</v>
      </c>
      <c r="F126" s="635">
        <f t="shared" si="14"/>
        <v>57895.847716341981</v>
      </c>
      <c r="G126" s="653">
        <f>FPART!J127</f>
        <v>1.3464292708166699</v>
      </c>
      <c r="H126" s="637">
        <f t="shared" si="15"/>
        <v>9472.6027861551847</v>
      </c>
      <c r="I126" s="638">
        <f t="shared" si="16"/>
        <v>172072.80459825855</v>
      </c>
      <c r="M126" s="639"/>
      <c r="N126" s="640"/>
      <c r="O126" s="641"/>
    </row>
    <row r="127" spans="1:15" s="613" customFormat="1" x14ac:dyDescent="0.2">
      <c r="A127" s="631">
        <v>113</v>
      </c>
      <c r="B127" s="631" t="s">
        <v>101</v>
      </c>
      <c r="C127" s="632">
        <f>'COEFIC 2023'!I120</f>
        <v>0.55198673530369269</v>
      </c>
      <c r="D127" s="633">
        <f t="shared" si="13"/>
        <v>17475.392432713128</v>
      </c>
      <c r="E127" s="634">
        <f>'COEFIC 2023'!P120</f>
        <v>0.58979875485710986</v>
      </c>
      <c r="F127" s="635">
        <f t="shared" si="14"/>
        <v>18672.486199841132</v>
      </c>
      <c r="G127" s="653">
        <f>FPART!J128</f>
        <v>1.0108436899472564</v>
      </c>
      <c r="H127" s="637">
        <f t="shared" si="15"/>
        <v>7111.6403670828595</v>
      </c>
      <c r="I127" s="638">
        <f t="shared" si="16"/>
        <v>43259.518999637119</v>
      </c>
      <c r="J127" s="643"/>
      <c r="K127" s="643"/>
      <c r="L127" s="643"/>
      <c r="M127" s="639"/>
      <c r="N127" s="640"/>
      <c r="O127" s="641"/>
    </row>
    <row r="128" spans="1:15" s="643" customFormat="1" ht="13.5" thickBot="1" x14ac:dyDescent="0.25">
      <c r="A128" s="644"/>
      <c r="B128" s="645" t="s">
        <v>156</v>
      </c>
      <c r="C128" s="669">
        <f t="shared" ref="C128:I128" si="17">SUM(C15:C127)</f>
        <v>100.00000000000004</v>
      </c>
      <c r="D128" s="646">
        <f t="shared" si="17"/>
        <v>3165908.0399999982</v>
      </c>
      <c r="E128" s="669">
        <f t="shared" si="17"/>
        <v>99.999999999999915</v>
      </c>
      <c r="F128" s="646">
        <f t="shared" si="17"/>
        <v>3165908.0399999986</v>
      </c>
      <c r="G128" s="670">
        <f t="shared" si="17"/>
        <v>100.00000000000006</v>
      </c>
      <c r="H128" s="646">
        <f t="shared" si="17"/>
        <v>703535.12000000081</v>
      </c>
      <c r="I128" s="646">
        <f t="shared" si="17"/>
        <v>7035351.1999999983</v>
      </c>
      <c r="J128" s="668"/>
      <c r="K128" s="668"/>
      <c r="L128" s="658"/>
      <c r="M128" s="656"/>
      <c r="N128" s="657"/>
    </row>
    <row r="129" spans="1:10" s="613" customFormat="1" ht="13.5" thickTop="1" x14ac:dyDescent="0.2">
      <c r="D129" s="620"/>
      <c r="F129" s="620"/>
      <c r="H129" s="620"/>
      <c r="I129" s="620"/>
      <c r="J129" s="658"/>
    </row>
    <row r="130" spans="1:10" s="613" customFormat="1" x14ac:dyDescent="0.2">
      <c r="D130" s="620"/>
      <c r="E130" s="620"/>
      <c r="F130" s="620"/>
      <c r="G130" s="620"/>
      <c r="H130" s="620"/>
      <c r="I130" s="620"/>
    </row>
    <row r="131" spans="1:10" s="613" customFormat="1" x14ac:dyDescent="0.2">
      <c r="H131" s="620"/>
    </row>
    <row r="132" spans="1:10" s="613" customFormat="1" x14ac:dyDescent="0.2">
      <c r="D132" s="620"/>
    </row>
    <row r="133" spans="1:10" s="613" customFormat="1" x14ac:dyDescent="0.2"/>
    <row r="134" spans="1:10" s="613" customFormat="1" x14ac:dyDescent="0.2">
      <c r="C134" s="648" t="s">
        <v>7</v>
      </c>
      <c r="D134" s="648"/>
      <c r="I134" s="621"/>
    </row>
    <row r="135" spans="1:10" s="613" customFormat="1" x14ac:dyDescent="0.2">
      <c r="A135" s="613" t="s">
        <v>7</v>
      </c>
      <c r="B135" s="613" t="s">
        <v>7</v>
      </c>
      <c r="I135" s="621"/>
    </row>
    <row r="136" spans="1:10" s="613" customFormat="1" x14ac:dyDescent="0.2">
      <c r="A136" s="613" t="s">
        <v>7</v>
      </c>
      <c r="B136" s="613" t="s">
        <v>7</v>
      </c>
      <c r="I136" s="621"/>
    </row>
    <row r="137" spans="1:10" s="613" customFormat="1" x14ac:dyDescent="0.2">
      <c r="I137" s="621"/>
    </row>
    <row r="138" spans="1:10" s="613" customFormat="1" x14ac:dyDescent="0.2">
      <c r="I138" s="621"/>
    </row>
    <row r="139" spans="1:10" s="613" customFormat="1" x14ac:dyDescent="0.2">
      <c r="I139" s="621"/>
    </row>
    <row r="140" spans="1:10" s="613" customFormat="1" x14ac:dyDescent="0.2">
      <c r="I140" s="621"/>
    </row>
    <row r="141" spans="1:10" s="613" customFormat="1" x14ac:dyDescent="0.2">
      <c r="I141" s="621"/>
    </row>
    <row r="142" spans="1:10" s="613" customFormat="1" x14ac:dyDescent="0.2">
      <c r="I142" s="621"/>
    </row>
    <row r="143" spans="1:10" s="613" customFormat="1" x14ac:dyDescent="0.2">
      <c r="I143" s="621"/>
    </row>
    <row r="144" spans="1:10" s="613" customFormat="1" x14ac:dyDescent="0.2">
      <c r="I144" s="621"/>
    </row>
    <row r="145" spans="9:9" s="613" customFormat="1" x14ac:dyDescent="0.2">
      <c r="I145" s="621"/>
    </row>
    <row r="146" spans="9:9" s="613" customFormat="1" x14ac:dyDescent="0.2">
      <c r="I146" s="621"/>
    </row>
    <row r="147" spans="9:9" s="613" customFormat="1" x14ac:dyDescent="0.2">
      <c r="I147" s="621"/>
    </row>
    <row r="148" spans="9:9" s="613" customFormat="1" x14ac:dyDescent="0.2">
      <c r="I148" s="621"/>
    </row>
    <row r="149" spans="9:9" s="613" customFormat="1" x14ac:dyDescent="0.2">
      <c r="I149" s="621"/>
    </row>
    <row r="150" spans="9:9" s="613" customFormat="1" x14ac:dyDescent="0.2">
      <c r="I150" s="621"/>
    </row>
    <row r="151" spans="9:9" s="613" customFormat="1" x14ac:dyDescent="0.2">
      <c r="I151" s="621"/>
    </row>
    <row r="152" spans="9:9" s="613" customFormat="1" x14ac:dyDescent="0.2">
      <c r="I152" s="621"/>
    </row>
    <row r="153" spans="9:9" s="613" customFormat="1" x14ac:dyDescent="0.2">
      <c r="I153" s="621"/>
    </row>
    <row r="154" spans="9:9" s="613" customFormat="1" x14ac:dyDescent="0.2">
      <c r="I154" s="621"/>
    </row>
    <row r="155" spans="9:9" s="613" customFormat="1" x14ac:dyDescent="0.2">
      <c r="I155" s="621"/>
    </row>
    <row r="156" spans="9:9" s="613" customFormat="1" x14ac:dyDescent="0.2">
      <c r="I156" s="621"/>
    </row>
    <row r="157" spans="9:9" s="613" customFormat="1" x14ac:dyDescent="0.2">
      <c r="I157" s="621"/>
    </row>
    <row r="158" spans="9:9" s="613" customFormat="1" x14ac:dyDescent="0.2">
      <c r="I158" s="621"/>
    </row>
    <row r="159" spans="9:9" s="613" customFormat="1" x14ac:dyDescent="0.2">
      <c r="I159" s="621"/>
    </row>
    <row r="160" spans="9:9" s="613" customFormat="1" x14ac:dyDescent="0.2">
      <c r="I160" s="621"/>
    </row>
    <row r="161" spans="9:9" s="613" customFormat="1" x14ac:dyDescent="0.2">
      <c r="I161" s="621"/>
    </row>
    <row r="162" spans="9:9" s="613" customFormat="1" x14ac:dyDescent="0.2">
      <c r="I162" s="621"/>
    </row>
    <row r="163" spans="9:9" s="613" customFormat="1" x14ac:dyDescent="0.2">
      <c r="I163" s="621"/>
    </row>
    <row r="164" spans="9:9" s="613" customFormat="1" x14ac:dyDescent="0.2">
      <c r="I164" s="621"/>
    </row>
    <row r="165" spans="9:9" s="613" customFormat="1" x14ac:dyDescent="0.2">
      <c r="I165" s="621"/>
    </row>
    <row r="166" spans="9:9" s="613" customFormat="1" x14ac:dyDescent="0.2">
      <c r="I166" s="621"/>
    </row>
    <row r="167" spans="9:9" s="613" customFormat="1" x14ac:dyDescent="0.2">
      <c r="I167" s="621"/>
    </row>
    <row r="168" spans="9:9" s="613" customFormat="1" x14ac:dyDescent="0.2">
      <c r="I168" s="621"/>
    </row>
    <row r="169" spans="9:9" s="613" customFormat="1" x14ac:dyDescent="0.2">
      <c r="I169" s="621"/>
    </row>
    <row r="170" spans="9:9" s="613" customFormat="1" x14ac:dyDescent="0.2">
      <c r="I170" s="621"/>
    </row>
    <row r="171" spans="9:9" s="613" customFormat="1" x14ac:dyDescent="0.2">
      <c r="I171" s="621"/>
    </row>
    <row r="172" spans="9:9" s="613" customFormat="1" x14ac:dyDescent="0.2">
      <c r="I172" s="621"/>
    </row>
    <row r="173" spans="9:9" s="613" customFormat="1" x14ac:dyDescent="0.2">
      <c r="I173" s="621"/>
    </row>
    <row r="174" spans="9:9" s="613" customFormat="1" x14ac:dyDescent="0.2">
      <c r="I174" s="621"/>
    </row>
    <row r="175" spans="9:9" s="613" customFormat="1" x14ac:dyDescent="0.2">
      <c r="I175" s="621"/>
    </row>
    <row r="176" spans="9:9" s="613" customFormat="1" x14ac:dyDescent="0.2">
      <c r="I176" s="621"/>
    </row>
    <row r="177" spans="9:9" s="613" customFormat="1" x14ac:dyDescent="0.2">
      <c r="I177" s="621"/>
    </row>
    <row r="178" spans="9:9" s="613" customFormat="1" x14ac:dyDescent="0.2">
      <c r="I178" s="621"/>
    </row>
    <row r="179" spans="9:9" s="613" customFormat="1" x14ac:dyDescent="0.2">
      <c r="I179" s="621"/>
    </row>
    <row r="180" spans="9:9" s="613" customFormat="1" x14ac:dyDescent="0.2">
      <c r="I180" s="621"/>
    </row>
    <row r="181" spans="9:9" s="613" customFormat="1" x14ac:dyDescent="0.2">
      <c r="I181" s="621"/>
    </row>
    <row r="182" spans="9:9" s="613" customFormat="1" x14ac:dyDescent="0.2">
      <c r="I182" s="621"/>
    </row>
    <row r="183" spans="9:9" s="613" customFormat="1" x14ac:dyDescent="0.2">
      <c r="I183" s="621"/>
    </row>
    <row r="184" spans="9:9" s="613" customFormat="1" x14ac:dyDescent="0.2">
      <c r="I184" s="621"/>
    </row>
    <row r="185" spans="9:9" s="613" customFormat="1" x14ac:dyDescent="0.2">
      <c r="I185" s="621"/>
    </row>
    <row r="186" spans="9:9" s="613" customFormat="1" x14ac:dyDescent="0.2">
      <c r="I186" s="621"/>
    </row>
    <row r="187" spans="9:9" s="613" customFormat="1" x14ac:dyDescent="0.2">
      <c r="I187" s="621"/>
    </row>
    <row r="188" spans="9:9" s="613" customFormat="1" x14ac:dyDescent="0.2">
      <c r="I188" s="621"/>
    </row>
    <row r="189" spans="9:9" s="613" customFormat="1" x14ac:dyDescent="0.2">
      <c r="I189" s="621"/>
    </row>
    <row r="190" spans="9:9" s="613" customFormat="1" x14ac:dyDescent="0.2">
      <c r="I190" s="621"/>
    </row>
    <row r="191" spans="9:9" s="613" customFormat="1" x14ac:dyDescent="0.2">
      <c r="I191" s="621"/>
    </row>
    <row r="192" spans="9:9" s="613" customFormat="1" x14ac:dyDescent="0.2">
      <c r="I192" s="621"/>
    </row>
    <row r="193" spans="9:9" s="613" customFormat="1" x14ac:dyDescent="0.2">
      <c r="I193" s="621"/>
    </row>
    <row r="194" spans="9:9" s="613" customFormat="1" x14ac:dyDescent="0.2">
      <c r="I194" s="621"/>
    </row>
    <row r="195" spans="9:9" s="613" customFormat="1" x14ac:dyDescent="0.2">
      <c r="I195" s="621"/>
    </row>
    <row r="196" spans="9:9" s="613" customFormat="1" x14ac:dyDescent="0.2">
      <c r="I196" s="621"/>
    </row>
    <row r="197" spans="9:9" s="613" customFormat="1" x14ac:dyDescent="0.2">
      <c r="I197" s="621"/>
    </row>
    <row r="198" spans="9:9" s="613" customFormat="1" x14ac:dyDescent="0.2">
      <c r="I198" s="621"/>
    </row>
    <row r="199" spans="9:9" s="613" customFormat="1" x14ac:dyDescent="0.2">
      <c r="I199" s="621"/>
    </row>
    <row r="200" spans="9:9" s="613" customFormat="1" x14ac:dyDescent="0.2">
      <c r="I200" s="621"/>
    </row>
    <row r="201" spans="9:9" s="613" customFormat="1" x14ac:dyDescent="0.2">
      <c r="I201" s="621"/>
    </row>
    <row r="202" spans="9:9" s="613" customFormat="1" x14ac:dyDescent="0.2">
      <c r="I202" s="621"/>
    </row>
    <row r="203" spans="9:9" s="613" customFormat="1" x14ac:dyDescent="0.2">
      <c r="I203" s="621"/>
    </row>
    <row r="204" spans="9:9" s="613" customFormat="1" x14ac:dyDescent="0.2">
      <c r="I204" s="621"/>
    </row>
    <row r="205" spans="9:9" s="613" customFormat="1" x14ac:dyDescent="0.2">
      <c r="I205" s="621"/>
    </row>
    <row r="206" spans="9:9" s="613" customFormat="1" x14ac:dyDescent="0.2">
      <c r="I206" s="621"/>
    </row>
    <row r="207" spans="9:9" s="613" customFormat="1" x14ac:dyDescent="0.2">
      <c r="I207" s="621"/>
    </row>
    <row r="208" spans="9:9" s="613" customFormat="1" x14ac:dyDescent="0.2">
      <c r="I208" s="621"/>
    </row>
    <row r="209" spans="9:9" s="613" customFormat="1" x14ac:dyDescent="0.2">
      <c r="I209" s="621"/>
    </row>
    <row r="210" spans="9:9" s="613" customFormat="1" x14ac:dyDescent="0.2">
      <c r="I210" s="621"/>
    </row>
    <row r="211" spans="9:9" s="613" customFormat="1" x14ac:dyDescent="0.2">
      <c r="I211" s="621"/>
    </row>
    <row r="212" spans="9:9" s="613" customFormat="1" x14ac:dyDescent="0.2">
      <c r="I212" s="621"/>
    </row>
    <row r="213" spans="9:9" s="613" customFormat="1" x14ac:dyDescent="0.2">
      <c r="I213" s="621"/>
    </row>
    <row r="214" spans="9:9" s="613" customFormat="1" x14ac:dyDescent="0.2">
      <c r="I214" s="621"/>
    </row>
    <row r="215" spans="9:9" s="613" customFormat="1" x14ac:dyDescent="0.2">
      <c r="I215" s="621"/>
    </row>
    <row r="216" spans="9:9" s="613" customFormat="1" x14ac:dyDescent="0.2">
      <c r="I216" s="621"/>
    </row>
    <row r="217" spans="9:9" s="613" customFormat="1" x14ac:dyDescent="0.2">
      <c r="I217" s="621"/>
    </row>
    <row r="218" spans="9:9" s="613" customFormat="1" x14ac:dyDescent="0.2">
      <c r="I218" s="621"/>
    </row>
    <row r="219" spans="9:9" s="613" customFormat="1" x14ac:dyDescent="0.2">
      <c r="I219" s="621"/>
    </row>
    <row r="220" spans="9:9" s="613" customFormat="1" x14ac:dyDescent="0.2">
      <c r="I220" s="621"/>
    </row>
    <row r="221" spans="9:9" s="613" customFormat="1" x14ac:dyDescent="0.2">
      <c r="I221" s="621"/>
    </row>
    <row r="222" spans="9:9" s="613" customFormat="1" x14ac:dyDescent="0.2">
      <c r="I222" s="621"/>
    </row>
    <row r="223" spans="9:9" s="613" customFormat="1" x14ac:dyDescent="0.2">
      <c r="I223" s="621"/>
    </row>
    <row r="224" spans="9:9" s="613" customFormat="1" x14ac:dyDescent="0.2">
      <c r="I224" s="621"/>
    </row>
    <row r="225" spans="9:9" s="613" customFormat="1" x14ac:dyDescent="0.2">
      <c r="I225" s="621"/>
    </row>
    <row r="226" spans="9:9" s="613" customFormat="1" x14ac:dyDescent="0.2">
      <c r="I226" s="621"/>
    </row>
    <row r="227" spans="9:9" s="613" customFormat="1" x14ac:dyDescent="0.2">
      <c r="I227" s="621"/>
    </row>
    <row r="228" spans="9:9" s="613" customFormat="1" x14ac:dyDescent="0.2">
      <c r="I228" s="621"/>
    </row>
    <row r="229" spans="9:9" s="613" customFormat="1" x14ac:dyDescent="0.2">
      <c r="I229" s="621"/>
    </row>
    <row r="230" spans="9:9" s="613" customFormat="1" x14ac:dyDescent="0.2">
      <c r="I230" s="621"/>
    </row>
    <row r="231" spans="9:9" s="613" customFormat="1" x14ac:dyDescent="0.2">
      <c r="I231" s="621"/>
    </row>
    <row r="232" spans="9:9" s="613" customFormat="1" x14ac:dyDescent="0.2">
      <c r="I232" s="621"/>
    </row>
    <row r="233" spans="9:9" s="613" customFormat="1" x14ac:dyDescent="0.2">
      <c r="I233" s="621"/>
    </row>
    <row r="234" spans="9:9" s="613" customFormat="1" x14ac:dyDescent="0.2">
      <c r="I234" s="621"/>
    </row>
    <row r="235" spans="9:9" s="613" customFormat="1" x14ac:dyDescent="0.2">
      <c r="I235" s="621"/>
    </row>
    <row r="236" spans="9:9" s="613" customFormat="1" x14ac:dyDescent="0.2">
      <c r="I236" s="621"/>
    </row>
    <row r="237" spans="9:9" s="613" customFormat="1" x14ac:dyDescent="0.2">
      <c r="I237" s="621"/>
    </row>
    <row r="238" spans="9:9" s="613" customFormat="1" x14ac:dyDescent="0.2">
      <c r="I238" s="621"/>
    </row>
    <row r="239" spans="9:9" s="613" customFormat="1" x14ac:dyDescent="0.2">
      <c r="I239" s="621"/>
    </row>
    <row r="240" spans="9:9" s="613" customFormat="1" x14ac:dyDescent="0.2">
      <c r="I240" s="621"/>
    </row>
    <row r="241" spans="9:9" s="613" customFormat="1" x14ac:dyDescent="0.2">
      <c r="I241" s="621"/>
    </row>
    <row r="242" spans="9:9" s="613" customFormat="1" x14ac:dyDescent="0.2">
      <c r="I242" s="621"/>
    </row>
    <row r="243" spans="9:9" s="613" customFormat="1" x14ac:dyDescent="0.2">
      <c r="I243" s="621"/>
    </row>
    <row r="244" spans="9:9" s="613" customFormat="1" x14ac:dyDescent="0.2">
      <c r="I244" s="621"/>
    </row>
    <row r="245" spans="9:9" s="613" customFormat="1" x14ac:dyDescent="0.2">
      <c r="I245" s="621"/>
    </row>
    <row r="246" spans="9:9" s="613" customFormat="1" x14ac:dyDescent="0.2">
      <c r="I246" s="621"/>
    </row>
    <row r="247" spans="9:9" s="613" customFormat="1" x14ac:dyDescent="0.2">
      <c r="I247" s="621"/>
    </row>
    <row r="248" spans="9:9" s="613" customFormat="1" x14ac:dyDescent="0.2">
      <c r="I248" s="621"/>
    </row>
    <row r="249" spans="9:9" s="613" customFormat="1" x14ac:dyDescent="0.2">
      <c r="I249" s="621"/>
    </row>
    <row r="250" spans="9:9" s="613" customFormat="1" x14ac:dyDescent="0.2">
      <c r="I250" s="621"/>
    </row>
    <row r="251" spans="9:9" s="613" customFormat="1" x14ac:dyDescent="0.2">
      <c r="I251" s="621"/>
    </row>
    <row r="252" spans="9:9" s="613" customFormat="1" x14ac:dyDescent="0.2">
      <c r="I252" s="621"/>
    </row>
    <row r="253" spans="9:9" s="613" customFormat="1" x14ac:dyDescent="0.2">
      <c r="I253" s="621"/>
    </row>
    <row r="254" spans="9:9" s="613" customFormat="1" x14ac:dyDescent="0.2">
      <c r="I254" s="621"/>
    </row>
    <row r="255" spans="9:9" s="613" customFormat="1" x14ac:dyDescent="0.2">
      <c r="I255" s="621"/>
    </row>
    <row r="256" spans="9:9" s="613" customFormat="1" x14ac:dyDescent="0.2">
      <c r="I256" s="621"/>
    </row>
    <row r="257" spans="9:9" s="613" customFormat="1" x14ac:dyDescent="0.2">
      <c r="I257" s="621"/>
    </row>
    <row r="258" spans="9:9" s="613" customFormat="1" x14ac:dyDescent="0.2">
      <c r="I258" s="621"/>
    </row>
    <row r="259" spans="9:9" s="613" customFormat="1" x14ac:dyDescent="0.2">
      <c r="I259" s="621"/>
    </row>
    <row r="260" spans="9:9" s="613" customFormat="1" x14ac:dyDescent="0.2">
      <c r="I260" s="621"/>
    </row>
    <row r="261" spans="9:9" s="613" customFormat="1" x14ac:dyDescent="0.2">
      <c r="I261" s="621"/>
    </row>
    <row r="262" spans="9:9" s="613" customFormat="1" x14ac:dyDescent="0.2">
      <c r="I262" s="621"/>
    </row>
    <row r="263" spans="9:9" s="613" customFormat="1" x14ac:dyDescent="0.2">
      <c r="I263" s="621"/>
    </row>
    <row r="264" spans="9:9" s="613" customFormat="1" x14ac:dyDescent="0.2">
      <c r="I264" s="621"/>
    </row>
    <row r="265" spans="9:9" s="613" customFormat="1" x14ac:dyDescent="0.2">
      <c r="I265" s="621"/>
    </row>
    <row r="266" spans="9:9" s="613" customFormat="1" x14ac:dyDescent="0.2">
      <c r="I266" s="621"/>
    </row>
    <row r="267" spans="9:9" s="613" customFormat="1" x14ac:dyDescent="0.2">
      <c r="I267" s="621"/>
    </row>
    <row r="268" spans="9:9" s="613" customFormat="1" x14ac:dyDescent="0.2">
      <c r="I268" s="621"/>
    </row>
    <row r="269" spans="9:9" s="613" customFormat="1" x14ac:dyDescent="0.2">
      <c r="I269" s="621"/>
    </row>
    <row r="270" spans="9:9" s="613" customFormat="1" x14ac:dyDescent="0.2">
      <c r="I270" s="621"/>
    </row>
    <row r="271" spans="9:9" s="613" customFormat="1" x14ac:dyDescent="0.2">
      <c r="I271" s="621"/>
    </row>
    <row r="272" spans="9:9" s="613" customFormat="1" x14ac:dyDescent="0.2">
      <c r="I272" s="621"/>
    </row>
    <row r="273" spans="9:9" s="613" customFormat="1" x14ac:dyDescent="0.2">
      <c r="I273" s="621"/>
    </row>
    <row r="274" spans="9:9" s="613" customFormat="1" x14ac:dyDescent="0.2">
      <c r="I274" s="621"/>
    </row>
    <row r="275" spans="9:9" s="613" customFormat="1" x14ac:dyDescent="0.2">
      <c r="I275" s="621"/>
    </row>
    <row r="276" spans="9:9" s="613" customFormat="1" x14ac:dyDescent="0.2">
      <c r="I276" s="621"/>
    </row>
    <row r="277" spans="9:9" s="613" customFormat="1" x14ac:dyDescent="0.2">
      <c r="I277" s="621"/>
    </row>
    <row r="278" spans="9:9" s="613" customFormat="1" x14ac:dyDescent="0.2">
      <c r="I278" s="621"/>
    </row>
    <row r="279" spans="9:9" s="613" customFormat="1" x14ac:dyDescent="0.2">
      <c r="I279" s="621"/>
    </row>
    <row r="280" spans="9:9" s="613" customFormat="1" x14ac:dyDescent="0.2">
      <c r="I280" s="621"/>
    </row>
    <row r="281" spans="9:9" s="613" customFormat="1" x14ac:dyDescent="0.2">
      <c r="I281" s="621"/>
    </row>
    <row r="282" spans="9:9" s="613" customFormat="1" x14ac:dyDescent="0.2">
      <c r="I282" s="621"/>
    </row>
    <row r="283" spans="9:9" s="613" customFormat="1" x14ac:dyDescent="0.2">
      <c r="I283" s="621"/>
    </row>
    <row r="284" spans="9:9" s="613" customFormat="1" x14ac:dyDescent="0.2">
      <c r="I284" s="621"/>
    </row>
    <row r="285" spans="9:9" s="613" customFormat="1" x14ac:dyDescent="0.2">
      <c r="I285" s="621"/>
    </row>
    <row r="286" spans="9:9" s="613" customFormat="1" x14ac:dyDescent="0.2">
      <c r="I286" s="621"/>
    </row>
    <row r="287" spans="9:9" s="613" customFormat="1" x14ac:dyDescent="0.2">
      <c r="I287" s="621"/>
    </row>
    <row r="288" spans="9:9" s="613" customFormat="1" x14ac:dyDescent="0.2">
      <c r="I288" s="621"/>
    </row>
    <row r="289" spans="9:9" s="613" customFormat="1" x14ac:dyDescent="0.2">
      <c r="I289" s="621"/>
    </row>
    <row r="290" spans="9:9" s="613" customFormat="1" x14ac:dyDescent="0.2">
      <c r="I290" s="621"/>
    </row>
    <row r="291" spans="9:9" s="613" customFormat="1" x14ac:dyDescent="0.2">
      <c r="I291" s="621"/>
    </row>
    <row r="292" spans="9:9" s="613" customFormat="1" x14ac:dyDescent="0.2">
      <c r="I292" s="621"/>
    </row>
    <row r="293" spans="9:9" s="613" customFormat="1" x14ac:dyDescent="0.2">
      <c r="I293" s="621"/>
    </row>
    <row r="294" spans="9:9" s="613" customFormat="1" x14ac:dyDescent="0.2">
      <c r="I294" s="621"/>
    </row>
    <row r="295" spans="9:9" s="613" customFormat="1" x14ac:dyDescent="0.2">
      <c r="I295" s="621"/>
    </row>
    <row r="296" spans="9:9" s="613" customFormat="1" x14ac:dyDescent="0.2">
      <c r="I296" s="621"/>
    </row>
    <row r="297" spans="9:9" s="613" customFormat="1" x14ac:dyDescent="0.2">
      <c r="I297" s="621"/>
    </row>
    <row r="298" spans="9:9" s="613" customFormat="1" x14ac:dyDescent="0.2">
      <c r="I298" s="621"/>
    </row>
    <row r="299" spans="9:9" s="613" customFormat="1" x14ac:dyDescent="0.2">
      <c r="I299" s="621"/>
    </row>
    <row r="300" spans="9:9" s="613" customFormat="1" x14ac:dyDescent="0.2">
      <c r="I300" s="621"/>
    </row>
    <row r="301" spans="9:9" s="613" customFormat="1" x14ac:dyDescent="0.2">
      <c r="I301" s="621"/>
    </row>
    <row r="302" spans="9:9" s="613" customFormat="1" x14ac:dyDescent="0.2">
      <c r="I302" s="621"/>
    </row>
    <row r="303" spans="9:9" s="613" customFormat="1" x14ac:dyDescent="0.2">
      <c r="I303" s="621"/>
    </row>
    <row r="304" spans="9:9" s="613" customFormat="1" x14ac:dyDescent="0.2">
      <c r="I304" s="621"/>
    </row>
    <row r="305" spans="9:9" s="613" customFormat="1" x14ac:dyDescent="0.2">
      <c r="I305" s="621"/>
    </row>
    <row r="306" spans="9:9" s="613" customFormat="1" x14ac:dyDescent="0.2">
      <c r="I306" s="621"/>
    </row>
    <row r="307" spans="9:9" s="613" customFormat="1" x14ac:dyDescent="0.2">
      <c r="I307" s="621"/>
    </row>
    <row r="308" spans="9:9" s="613" customFormat="1" x14ac:dyDescent="0.2">
      <c r="I308" s="621"/>
    </row>
    <row r="309" spans="9:9" s="613" customFormat="1" x14ac:dyDescent="0.2">
      <c r="I309" s="621"/>
    </row>
    <row r="310" spans="9:9" s="613" customFormat="1" x14ac:dyDescent="0.2">
      <c r="I310" s="621"/>
    </row>
    <row r="311" spans="9:9" s="613" customFormat="1" x14ac:dyDescent="0.2">
      <c r="I311" s="621"/>
    </row>
    <row r="312" spans="9:9" s="613" customFormat="1" x14ac:dyDescent="0.2">
      <c r="I312" s="621"/>
    </row>
    <row r="313" spans="9:9" s="613" customFormat="1" x14ac:dyDescent="0.2">
      <c r="I313" s="621"/>
    </row>
    <row r="314" spans="9:9" s="613" customFormat="1" x14ac:dyDescent="0.2">
      <c r="I314" s="621"/>
    </row>
    <row r="315" spans="9:9" s="613" customFormat="1" x14ac:dyDescent="0.2">
      <c r="I315" s="621"/>
    </row>
    <row r="316" spans="9:9" s="613" customFormat="1" x14ac:dyDescent="0.2">
      <c r="I316" s="621"/>
    </row>
    <row r="317" spans="9:9" s="613" customFormat="1" x14ac:dyDescent="0.2">
      <c r="I317" s="621"/>
    </row>
    <row r="318" spans="9:9" s="613" customFormat="1" x14ac:dyDescent="0.2">
      <c r="I318" s="621"/>
    </row>
    <row r="319" spans="9:9" s="613" customFormat="1" x14ac:dyDescent="0.2">
      <c r="I319" s="621"/>
    </row>
    <row r="320" spans="9:9" s="613" customFormat="1" x14ac:dyDescent="0.2">
      <c r="I320" s="621"/>
    </row>
    <row r="321" spans="9:9" s="613" customFormat="1" x14ac:dyDescent="0.2">
      <c r="I321" s="621"/>
    </row>
    <row r="322" spans="9:9" s="613" customFormat="1" x14ac:dyDescent="0.2">
      <c r="I322" s="621"/>
    </row>
    <row r="323" spans="9:9" s="613" customFormat="1" x14ac:dyDescent="0.2">
      <c r="I323" s="621"/>
    </row>
    <row r="324" spans="9:9" s="613" customFormat="1" x14ac:dyDescent="0.2">
      <c r="I324" s="621"/>
    </row>
    <row r="325" spans="9:9" s="613" customFormat="1" x14ac:dyDescent="0.2">
      <c r="I325" s="621"/>
    </row>
    <row r="326" spans="9:9" s="613" customFormat="1" x14ac:dyDescent="0.2">
      <c r="I326" s="621"/>
    </row>
    <row r="327" spans="9:9" s="613" customFormat="1" x14ac:dyDescent="0.2">
      <c r="I327" s="621"/>
    </row>
    <row r="328" spans="9:9" s="613" customFormat="1" x14ac:dyDescent="0.2">
      <c r="I328" s="621"/>
    </row>
    <row r="329" spans="9:9" s="613" customFormat="1" x14ac:dyDescent="0.2">
      <c r="I329" s="621"/>
    </row>
    <row r="330" spans="9:9" s="613" customFormat="1" x14ac:dyDescent="0.2">
      <c r="I330" s="621"/>
    </row>
    <row r="331" spans="9:9" s="613" customFormat="1" x14ac:dyDescent="0.2">
      <c r="I331" s="621"/>
    </row>
    <row r="332" spans="9:9" s="613" customFormat="1" x14ac:dyDescent="0.2">
      <c r="I332" s="621"/>
    </row>
    <row r="333" spans="9:9" s="613" customFormat="1" x14ac:dyDescent="0.2">
      <c r="I333" s="621"/>
    </row>
    <row r="334" spans="9:9" s="613" customFormat="1" x14ac:dyDescent="0.2">
      <c r="I334" s="621"/>
    </row>
    <row r="335" spans="9:9" s="613" customFormat="1" x14ac:dyDescent="0.2">
      <c r="I335" s="621"/>
    </row>
    <row r="336" spans="9:9" s="613" customFormat="1" x14ac:dyDescent="0.2">
      <c r="I336" s="621"/>
    </row>
    <row r="337" spans="9:9" s="613" customFormat="1" x14ac:dyDescent="0.2">
      <c r="I337" s="621"/>
    </row>
    <row r="338" spans="9:9" s="613" customFormat="1" x14ac:dyDescent="0.2">
      <c r="I338" s="621"/>
    </row>
    <row r="339" spans="9:9" s="613" customFormat="1" x14ac:dyDescent="0.2">
      <c r="I339" s="621"/>
    </row>
    <row r="340" spans="9:9" s="613" customFormat="1" x14ac:dyDescent="0.2">
      <c r="I340" s="621"/>
    </row>
    <row r="341" spans="9:9" s="613" customFormat="1" x14ac:dyDescent="0.2">
      <c r="I341" s="621"/>
    </row>
    <row r="342" spans="9:9" s="613" customFormat="1" x14ac:dyDescent="0.2">
      <c r="I342" s="621"/>
    </row>
    <row r="343" spans="9:9" s="613" customFormat="1" x14ac:dyDescent="0.2">
      <c r="I343" s="621"/>
    </row>
    <row r="344" spans="9:9" s="613" customFormat="1" x14ac:dyDescent="0.2">
      <c r="I344" s="621"/>
    </row>
    <row r="345" spans="9:9" s="613" customFormat="1" x14ac:dyDescent="0.2">
      <c r="I345" s="621"/>
    </row>
    <row r="346" spans="9:9" s="613" customFormat="1" x14ac:dyDescent="0.2">
      <c r="I346" s="621"/>
    </row>
    <row r="347" spans="9:9" s="613" customFormat="1" x14ac:dyDescent="0.2">
      <c r="I347" s="621"/>
    </row>
    <row r="348" spans="9:9" s="613" customFormat="1" x14ac:dyDescent="0.2">
      <c r="I348" s="621"/>
    </row>
    <row r="349" spans="9:9" s="613" customFormat="1" x14ac:dyDescent="0.2">
      <c r="I349" s="621"/>
    </row>
    <row r="350" spans="9:9" s="613" customFormat="1" x14ac:dyDescent="0.2">
      <c r="I350" s="621"/>
    </row>
    <row r="351" spans="9:9" s="613" customFormat="1" x14ac:dyDescent="0.2">
      <c r="I351" s="621"/>
    </row>
    <row r="352" spans="9:9" s="613" customFormat="1" x14ac:dyDescent="0.2">
      <c r="I352" s="621"/>
    </row>
    <row r="353" spans="9:9" s="613" customFormat="1" x14ac:dyDescent="0.2">
      <c r="I353" s="621"/>
    </row>
    <row r="354" spans="9:9" s="613" customFormat="1" x14ac:dyDescent="0.2">
      <c r="I354" s="621"/>
    </row>
    <row r="355" spans="9:9" s="613" customFormat="1" x14ac:dyDescent="0.2">
      <c r="I355" s="621"/>
    </row>
    <row r="356" spans="9:9" s="613" customFormat="1" x14ac:dyDescent="0.2">
      <c r="I356" s="621"/>
    </row>
    <row r="357" spans="9:9" s="613" customFormat="1" x14ac:dyDescent="0.2">
      <c r="I357" s="621"/>
    </row>
    <row r="358" spans="9:9" s="613" customFormat="1" x14ac:dyDescent="0.2">
      <c r="I358" s="621"/>
    </row>
    <row r="359" spans="9:9" s="613" customFormat="1" x14ac:dyDescent="0.2">
      <c r="I359" s="621"/>
    </row>
    <row r="360" spans="9:9" s="613" customFormat="1" x14ac:dyDescent="0.2">
      <c r="I360" s="621"/>
    </row>
    <row r="361" spans="9:9" s="613" customFormat="1" x14ac:dyDescent="0.2">
      <c r="I361" s="621"/>
    </row>
    <row r="362" spans="9:9" s="613" customFormat="1" x14ac:dyDescent="0.2">
      <c r="I362" s="621"/>
    </row>
    <row r="363" spans="9:9" s="613" customFormat="1" x14ac:dyDescent="0.2">
      <c r="I363" s="621"/>
    </row>
    <row r="364" spans="9:9" s="613" customFormat="1" x14ac:dyDescent="0.2">
      <c r="I364" s="621"/>
    </row>
    <row r="365" spans="9:9" s="613" customFormat="1" x14ac:dyDescent="0.2">
      <c r="I365" s="621"/>
    </row>
    <row r="366" spans="9:9" s="613" customFormat="1" x14ac:dyDescent="0.2">
      <c r="I366" s="621"/>
    </row>
    <row r="367" spans="9:9" s="613" customFormat="1" x14ac:dyDescent="0.2">
      <c r="I367" s="621"/>
    </row>
    <row r="368" spans="9:9" s="613" customFormat="1" x14ac:dyDescent="0.2">
      <c r="I368" s="621"/>
    </row>
    <row r="369" spans="9:9" s="613" customFormat="1" x14ac:dyDescent="0.2">
      <c r="I369" s="621"/>
    </row>
    <row r="370" spans="9:9" s="613" customFormat="1" x14ac:dyDescent="0.2">
      <c r="I370" s="621"/>
    </row>
    <row r="371" spans="9:9" s="613" customFormat="1" x14ac:dyDescent="0.2">
      <c r="I371" s="621"/>
    </row>
    <row r="372" spans="9:9" s="613" customFormat="1" x14ac:dyDescent="0.2">
      <c r="I372" s="621"/>
    </row>
    <row r="373" spans="9:9" s="613" customFormat="1" x14ac:dyDescent="0.2">
      <c r="I373" s="621"/>
    </row>
    <row r="374" spans="9:9" s="613" customFormat="1" x14ac:dyDescent="0.2">
      <c r="I374" s="621"/>
    </row>
    <row r="375" spans="9:9" s="613" customFormat="1" x14ac:dyDescent="0.2">
      <c r="I375" s="621"/>
    </row>
    <row r="376" spans="9:9" s="613" customFormat="1" x14ac:dyDescent="0.2">
      <c r="I376" s="621"/>
    </row>
    <row r="377" spans="9:9" s="613" customFormat="1" x14ac:dyDescent="0.2">
      <c r="I377" s="621"/>
    </row>
    <row r="378" spans="9:9" s="613" customFormat="1" x14ac:dyDescent="0.2">
      <c r="I378" s="621"/>
    </row>
    <row r="379" spans="9:9" s="613" customFormat="1" x14ac:dyDescent="0.2">
      <c r="I379" s="621"/>
    </row>
    <row r="380" spans="9:9" s="613" customFormat="1" x14ac:dyDescent="0.2">
      <c r="I380" s="621"/>
    </row>
    <row r="381" spans="9:9" s="613" customFormat="1" x14ac:dyDescent="0.2">
      <c r="I381" s="621"/>
    </row>
    <row r="382" spans="9:9" s="613" customFormat="1" x14ac:dyDescent="0.2">
      <c r="I382" s="621"/>
    </row>
    <row r="383" spans="9:9" s="613" customFormat="1" x14ac:dyDescent="0.2">
      <c r="I383" s="621"/>
    </row>
    <row r="384" spans="9:9" s="613" customFormat="1" x14ac:dyDescent="0.2">
      <c r="I384" s="621"/>
    </row>
    <row r="385" spans="9:9" s="613" customFormat="1" x14ac:dyDescent="0.2">
      <c r="I385" s="621"/>
    </row>
    <row r="386" spans="9:9" s="613" customFormat="1" x14ac:dyDescent="0.2">
      <c r="I386" s="621"/>
    </row>
    <row r="387" spans="9:9" s="613" customFormat="1" x14ac:dyDescent="0.2">
      <c r="I387" s="621"/>
    </row>
    <row r="388" spans="9:9" s="613" customFormat="1" x14ac:dyDescent="0.2">
      <c r="I388" s="621"/>
    </row>
    <row r="389" spans="9:9" s="613" customFormat="1" x14ac:dyDescent="0.2">
      <c r="I389" s="621"/>
    </row>
    <row r="390" spans="9:9" s="613" customFormat="1" x14ac:dyDescent="0.2">
      <c r="I390" s="621"/>
    </row>
    <row r="391" spans="9:9" s="613" customFormat="1" x14ac:dyDescent="0.2">
      <c r="I391" s="621"/>
    </row>
    <row r="392" spans="9:9" s="613" customFormat="1" x14ac:dyDescent="0.2">
      <c r="I392" s="621"/>
    </row>
    <row r="393" spans="9:9" s="613" customFormat="1" x14ac:dyDescent="0.2">
      <c r="I393" s="621"/>
    </row>
    <row r="394" spans="9:9" s="613" customFormat="1" x14ac:dyDescent="0.2">
      <c r="I394" s="621"/>
    </row>
    <row r="395" spans="9:9" s="613" customFormat="1" x14ac:dyDescent="0.2">
      <c r="I395" s="621"/>
    </row>
    <row r="396" spans="9:9" s="613" customFormat="1" x14ac:dyDescent="0.2">
      <c r="I396" s="621"/>
    </row>
    <row r="397" spans="9:9" s="613" customFormat="1" x14ac:dyDescent="0.2">
      <c r="I397" s="621"/>
    </row>
    <row r="398" spans="9:9" s="613" customFormat="1" x14ac:dyDescent="0.2">
      <c r="I398" s="621"/>
    </row>
    <row r="399" spans="9:9" s="613" customFormat="1" x14ac:dyDescent="0.2">
      <c r="I399" s="621"/>
    </row>
    <row r="400" spans="9:9" s="613" customFormat="1" x14ac:dyDescent="0.2">
      <c r="I400" s="621"/>
    </row>
    <row r="401" spans="9:9" s="613" customFormat="1" x14ac:dyDescent="0.2">
      <c r="I401" s="621"/>
    </row>
    <row r="402" spans="9:9" s="613" customFormat="1" x14ac:dyDescent="0.2">
      <c r="I402" s="621"/>
    </row>
    <row r="403" spans="9:9" s="613" customFormat="1" x14ac:dyDescent="0.2">
      <c r="I403" s="621"/>
    </row>
    <row r="404" spans="9:9" s="613" customFormat="1" x14ac:dyDescent="0.2">
      <c r="I404" s="621"/>
    </row>
    <row r="405" spans="9:9" s="613" customFormat="1" x14ac:dyDescent="0.2">
      <c r="I405" s="621"/>
    </row>
    <row r="406" spans="9:9" s="613" customFormat="1" x14ac:dyDescent="0.2">
      <c r="I406" s="621"/>
    </row>
    <row r="407" spans="9:9" s="613" customFormat="1" x14ac:dyDescent="0.2">
      <c r="I407" s="621"/>
    </row>
    <row r="408" spans="9:9" s="613" customFormat="1" x14ac:dyDescent="0.2">
      <c r="I408" s="621"/>
    </row>
    <row r="409" spans="9:9" s="613" customFormat="1" x14ac:dyDescent="0.2">
      <c r="I409" s="621"/>
    </row>
    <row r="410" spans="9:9" s="613" customFormat="1" x14ac:dyDescent="0.2">
      <c r="I410" s="621"/>
    </row>
    <row r="411" spans="9:9" s="613" customFormat="1" x14ac:dyDescent="0.2">
      <c r="I411" s="621"/>
    </row>
    <row r="412" spans="9:9" s="613" customFormat="1" x14ac:dyDescent="0.2">
      <c r="I412" s="621"/>
    </row>
    <row r="413" spans="9:9" s="613" customFormat="1" x14ac:dyDescent="0.2">
      <c r="I413" s="621"/>
    </row>
    <row r="414" spans="9:9" s="613" customFormat="1" x14ac:dyDescent="0.2">
      <c r="I414" s="621"/>
    </row>
    <row r="415" spans="9:9" s="613" customFormat="1" x14ac:dyDescent="0.2">
      <c r="I415" s="621"/>
    </row>
    <row r="416" spans="9:9" s="613" customFormat="1" x14ac:dyDescent="0.2">
      <c r="I416" s="621"/>
    </row>
    <row r="417" spans="9:9" s="613" customFormat="1" x14ac:dyDescent="0.2">
      <c r="I417" s="621"/>
    </row>
    <row r="418" spans="9:9" s="613" customFormat="1" x14ac:dyDescent="0.2">
      <c r="I418" s="621"/>
    </row>
    <row r="419" spans="9:9" s="613" customFormat="1" x14ac:dyDescent="0.2">
      <c r="I419" s="621"/>
    </row>
    <row r="420" spans="9:9" s="613" customFormat="1" x14ac:dyDescent="0.2">
      <c r="I420" s="621"/>
    </row>
    <row r="421" spans="9:9" s="613" customFormat="1" x14ac:dyDescent="0.2">
      <c r="I421" s="621"/>
    </row>
    <row r="422" spans="9:9" s="613" customFormat="1" x14ac:dyDescent="0.2">
      <c r="I422" s="621"/>
    </row>
    <row r="423" spans="9:9" s="613" customFormat="1" x14ac:dyDescent="0.2">
      <c r="I423" s="621"/>
    </row>
    <row r="424" spans="9:9" s="613" customFormat="1" x14ac:dyDescent="0.2">
      <c r="I424" s="621"/>
    </row>
    <row r="425" spans="9:9" s="613" customFormat="1" x14ac:dyDescent="0.2">
      <c r="I425" s="621"/>
    </row>
    <row r="426" spans="9:9" s="613" customFormat="1" x14ac:dyDescent="0.2">
      <c r="I426" s="621"/>
    </row>
    <row r="427" spans="9:9" s="613" customFormat="1" x14ac:dyDescent="0.2">
      <c r="I427" s="621"/>
    </row>
    <row r="428" spans="9:9" s="613" customFormat="1" x14ac:dyDescent="0.2">
      <c r="I428" s="621"/>
    </row>
    <row r="429" spans="9:9" s="613" customFormat="1" x14ac:dyDescent="0.2">
      <c r="I429" s="621"/>
    </row>
    <row r="430" spans="9:9" s="613" customFormat="1" x14ac:dyDescent="0.2">
      <c r="I430" s="621"/>
    </row>
    <row r="431" spans="9:9" s="613" customFormat="1" x14ac:dyDescent="0.2">
      <c r="I431" s="621"/>
    </row>
    <row r="432" spans="9:9" s="613" customFormat="1" x14ac:dyDescent="0.2">
      <c r="I432" s="621"/>
    </row>
    <row r="433" spans="9:9" s="613" customFormat="1" x14ac:dyDescent="0.2">
      <c r="I433" s="621"/>
    </row>
    <row r="434" spans="9:9" s="613" customFormat="1" x14ac:dyDescent="0.2">
      <c r="I434" s="621"/>
    </row>
    <row r="435" spans="9:9" s="613" customFormat="1" x14ac:dyDescent="0.2">
      <c r="I435" s="621"/>
    </row>
    <row r="436" spans="9:9" s="613" customFormat="1" x14ac:dyDescent="0.2">
      <c r="I436" s="621"/>
    </row>
    <row r="437" spans="9:9" s="613" customFormat="1" x14ac:dyDescent="0.2">
      <c r="I437" s="621"/>
    </row>
    <row r="438" spans="9:9" s="613" customFormat="1" x14ac:dyDescent="0.2">
      <c r="I438" s="621"/>
    </row>
    <row r="439" spans="9:9" s="613" customFormat="1" x14ac:dyDescent="0.2">
      <c r="I439" s="621"/>
    </row>
    <row r="440" spans="9:9" s="613" customFormat="1" x14ac:dyDescent="0.2">
      <c r="I440" s="621"/>
    </row>
    <row r="441" spans="9:9" s="613" customFormat="1" x14ac:dyDescent="0.2">
      <c r="I441" s="621"/>
    </row>
    <row r="442" spans="9:9" s="613" customFormat="1" x14ac:dyDescent="0.2">
      <c r="I442" s="621"/>
    </row>
    <row r="443" spans="9:9" s="613" customFormat="1" x14ac:dyDescent="0.2">
      <c r="I443" s="621"/>
    </row>
    <row r="444" spans="9:9" s="613" customFormat="1" x14ac:dyDescent="0.2">
      <c r="I444" s="621"/>
    </row>
    <row r="445" spans="9:9" s="613" customFormat="1" x14ac:dyDescent="0.2">
      <c r="I445" s="621"/>
    </row>
    <row r="446" spans="9:9" s="613" customFormat="1" x14ac:dyDescent="0.2">
      <c r="I446" s="621"/>
    </row>
    <row r="447" spans="9:9" s="613" customFormat="1" x14ac:dyDescent="0.2">
      <c r="I447" s="621"/>
    </row>
    <row r="448" spans="9:9" s="613" customFormat="1" x14ac:dyDescent="0.2">
      <c r="I448" s="621"/>
    </row>
    <row r="449" spans="9:9" s="613" customFormat="1" x14ac:dyDescent="0.2">
      <c r="I449" s="621"/>
    </row>
    <row r="450" spans="9:9" s="613" customFormat="1" x14ac:dyDescent="0.2">
      <c r="I450" s="621"/>
    </row>
    <row r="451" spans="9:9" s="613" customFormat="1" x14ac:dyDescent="0.2">
      <c r="I451" s="621"/>
    </row>
    <row r="452" spans="9:9" s="613" customFormat="1" x14ac:dyDescent="0.2">
      <c r="I452" s="621"/>
    </row>
    <row r="453" spans="9:9" s="613" customFormat="1" x14ac:dyDescent="0.2">
      <c r="I453" s="621"/>
    </row>
    <row r="454" spans="9:9" s="613" customFormat="1" x14ac:dyDescent="0.2">
      <c r="I454" s="621"/>
    </row>
    <row r="455" spans="9:9" s="613" customFormat="1" x14ac:dyDescent="0.2">
      <c r="I455" s="621"/>
    </row>
    <row r="456" spans="9:9" s="613" customFormat="1" x14ac:dyDescent="0.2">
      <c r="I456" s="621"/>
    </row>
    <row r="457" spans="9:9" s="613" customFormat="1" x14ac:dyDescent="0.2">
      <c r="I457" s="621"/>
    </row>
    <row r="458" spans="9:9" s="613" customFormat="1" x14ac:dyDescent="0.2">
      <c r="I458" s="621"/>
    </row>
    <row r="459" spans="9:9" s="613" customFormat="1" x14ac:dyDescent="0.2">
      <c r="I459" s="621"/>
    </row>
    <row r="460" spans="9:9" s="613" customFormat="1" x14ac:dyDescent="0.2">
      <c r="I460" s="621"/>
    </row>
    <row r="461" spans="9:9" s="613" customFormat="1" x14ac:dyDescent="0.2">
      <c r="I461" s="621"/>
    </row>
    <row r="462" spans="9:9" s="613" customFormat="1" x14ac:dyDescent="0.2">
      <c r="I462" s="621"/>
    </row>
    <row r="463" spans="9:9" s="613" customFormat="1" x14ac:dyDescent="0.2">
      <c r="I463" s="621"/>
    </row>
    <row r="464" spans="9:9" s="613" customFormat="1" x14ac:dyDescent="0.2">
      <c r="I464" s="621"/>
    </row>
    <row r="465" spans="9:9" s="613" customFormat="1" x14ac:dyDescent="0.2">
      <c r="I465" s="621"/>
    </row>
    <row r="466" spans="9:9" s="613" customFormat="1" x14ac:dyDescent="0.2">
      <c r="I466" s="621"/>
    </row>
    <row r="467" spans="9:9" s="613" customFormat="1" x14ac:dyDescent="0.2">
      <c r="I467" s="621"/>
    </row>
    <row r="468" spans="9:9" s="613" customFormat="1" x14ac:dyDescent="0.2">
      <c r="I468" s="621"/>
    </row>
    <row r="469" spans="9:9" s="613" customFormat="1" x14ac:dyDescent="0.2">
      <c r="I469" s="621"/>
    </row>
    <row r="470" spans="9:9" s="613" customFormat="1" x14ac:dyDescent="0.2">
      <c r="I470" s="621"/>
    </row>
    <row r="471" spans="9:9" s="613" customFormat="1" x14ac:dyDescent="0.2">
      <c r="I471" s="621"/>
    </row>
    <row r="472" spans="9:9" s="613" customFormat="1" x14ac:dyDescent="0.2">
      <c r="I472" s="621"/>
    </row>
    <row r="473" spans="9:9" s="613" customFormat="1" x14ac:dyDescent="0.2">
      <c r="I473" s="621"/>
    </row>
    <row r="474" spans="9:9" s="613" customFormat="1" x14ac:dyDescent="0.2">
      <c r="I474" s="621"/>
    </row>
    <row r="475" spans="9:9" s="613" customFormat="1" x14ac:dyDescent="0.2">
      <c r="I475" s="621"/>
    </row>
    <row r="476" spans="9:9" s="613" customFormat="1" x14ac:dyDescent="0.2">
      <c r="I476" s="621"/>
    </row>
    <row r="477" spans="9:9" s="613" customFormat="1" x14ac:dyDescent="0.2">
      <c r="I477" s="621"/>
    </row>
    <row r="478" spans="9:9" s="613" customFormat="1" x14ac:dyDescent="0.2">
      <c r="I478" s="621"/>
    </row>
    <row r="479" spans="9:9" s="613" customFormat="1" x14ac:dyDescent="0.2">
      <c r="I479" s="621"/>
    </row>
    <row r="480" spans="9:9" s="613" customFormat="1" x14ac:dyDescent="0.2">
      <c r="I480" s="621"/>
    </row>
    <row r="481" spans="9:9" s="613" customFormat="1" x14ac:dyDescent="0.2">
      <c r="I481" s="621"/>
    </row>
    <row r="482" spans="9:9" s="613" customFormat="1" x14ac:dyDescent="0.2">
      <c r="I482" s="621"/>
    </row>
    <row r="483" spans="9:9" s="613" customFormat="1" x14ac:dyDescent="0.2">
      <c r="I483" s="621"/>
    </row>
    <row r="484" spans="9:9" s="613" customFormat="1" x14ac:dyDescent="0.2">
      <c r="I484" s="621"/>
    </row>
    <row r="485" spans="9:9" s="613" customFormat="1" x14ac:dyDescent="0.2">
      <c r="I485" s="621"/>
    </row>
    <row r="486" spans="9:9" s="613" customFormat="1" x14ac:dyDescent="0.2">
      <c r="I486" s="621"/>
    </row>
    <row r="487" spans="9:9" s="613" customFormat="1" x14ac:dyDescent="0.2">
      <c r="I487" s="621"/>
    </row>
    <row r="488" spans="9:9" s="613" customFormat="1" x14ac:dyDescent="0.2">
      <c r="I488" s="621"/>
    </row>
    <row r="489" spans="9:9" s="613" customFormat="1" x14ac:dyDescent="0.2">
      <c r="I489" s="621"/>
    </row>
    <row r="490" spans="9:9" s="613" customFormat="1" x14ac:dyDescent="0.2">
      <c r="I490" s="621"/>
    </row>
    <row r="491" spans="9:9" s="613" customFormat="1" x14ac:dyDescent="0.2">
      <c r="I491" s="621"/>
    </row>
    <row r="492" spans="9:9" s="613" customFormat="1" x14ac:dyDescent="0.2">
      <c r="I492" s="621"/>
    </row>
    <row r="493" spans="9:9" s="613" customFormat="1" x14ac:dyDescent="0.2">
      <c r="I493" s="621"/>
    </row>
    <row r="494" spans="9:9" s="613" customFormat="1" x14ac:dyDescent="0.2">
      <c r="I494" s="621"/>
    </row>
    <row r="495" spans="9:9" s="613" customFormat="1" x14ac:dyDescent="0.2">
      <c r="I495" s="621"/>
    </row>
    <row r="496" spans="9:9" s="613" customFormat="1" x14ac:dyDescent="0.2">
      <c r="I496" s="621"/>
    </row>
    <row r="497" spans="9:9" s="613" customFormat="1" x14ac:dyDescent="0.2">
      <c r="I497" s="621"/>
    </row>
    <row r="498" spans="9:9" s="613" customFormat="1" x14ac:dyDescent="0.2">
      <c r="I498" s="621"/>
    </row>
    <row r="499" spans="9:9" s="613" customFormat="1" x14ac:dyDescent="0.2">
      <c r="I499" s="621"/>
    </row>
    <row r="500" spans="9:9" s="613" customFormat="1" x14ac:dyDescent="0.2">
      <c r="I500" s="621"/>
    </row>
    <row r="501" spans="9:9" s="613" customFormat="1" x14ac:dyDescent="0.2">
      <c r="I501" s="621"/>
    </row>
    <row r="502" spans="9:9" s="613" customFormat="1" x14ac:dyDescent="0.2">
      <c r="I502" s="621"/>
    </row>
    <row r="503" spans="9:9" s="613" customFormat="1" x14ac:dyDescent="0.2">
      <c r="I503" s="621"/>
    </row>
    <row r="504" spans="9:9" s="613" customFormat="1" x14ac:dyDescent="0.2">
      <c r="I504" s="621"/>
    </row>
    <row r="505" spans="9:9" s="613" customFormat="1" x14ac:dyDescent="0.2">
      <c r="I505" s="621"/>
    </row>
    <row r="506" spans="9:9" s="613" customFormat="1" x14ac:dyDescent="0.2">
      <c r="I506" s="621"/>
    </row>
    <row r="507" spans="9:9" s="613" customFormat="1" x14ac:dyDescent="0.2">
      <c r="I507" s="621"/>
    </row>
    <row r="508" spans="9:9" s="613" customFormat="1" x14ac:dyDescent="0.2">
      <c r="I508" s="621"/>
    </row>
    <row r="509" spans="9:9" s="613" customFormat="1" x14ac:dyDescent="0.2">
      <c r="I509" s="621"/>
    </row>
    <row r="510" spans="9:9" s="613" customFormat="1" x14ac:dyDescent="0.2">
      <c r="I510" s="621"/>
    </row>
    <row r="511" spans="9:9" s="613" customFormat="1" x14ac:dyDescent="0.2">
      <c r="I511" s="621"/>
    </row>
    <row r="512" spans="9:9" s="613" customFormat="1" x14ac:dyDescent="0.2">
      <c r="I512" s="621"/>
    </row>
    <row r="513" spans="9:9" s="613" customFormat="1" x14ac:dyDescent="0.2">
      <c r="I513" s="621"/>
    </row>
    <row r="514" spans="9:9" s="613" customFormat="1" x14ac:dyDescent="0.2">
      <c r="I514" s="621"/>
    </row>
    <row r="515" spans="9:9" s="613" customFormat="1" x14ac:dyDescent="0.2">
      <c r="I515" s="621"/>
    </row>
    <row r="516" spans="9:9" s="613" customFormat="1" x14ac:dyDescent="0.2">
      <c r="I516" s="621"/>
    </row>
    <row r="517" spans="9:9" s="613" customFormat="1" x14ac:dyDescent="0.2">
      <c r="I517" s="621"/>
    </row>
    <row r="518" spans="9:9" s="613" customFormat="1" x14ac:dyDescent="0.2">
      <c r="I518" s="621"/>
    </row>
    <row r="519" spans="9:9" s="613" customFormat="1" x14ac:dyDescent="0.2">
      <c r="I519" s="621"/>
    </row>
    <row r="520" spans="9:9" s="613" customFormat="1" x14ac:dyDescent="0.2">
      <c r="I520" s="621"/>
    </row>
    <row r="521" spans="9:9" s="613" customFormat="1" x14ac:dyDescent="0.2">
      <c r="I521" s="621"/>
    </row>
    <row r="522" spans="9:9" s="613" customFormat="1" x14ac:dyDescent="0.2">
      <c r="I522" s="621"/>
    </row>
    <row r="523" spans="9:9" s="613" customFormat="1" x14ac:dyDescent="0.2">
      <c r="I523" s="621"/>
    </row>
    <row r="524" spans="9:9" s="613" customFormat="1" x14ac:dyDescent="0.2">
      <c r="I524" s="621"/>
    </row>
    <row r="525" spans="9:9" s="613" customFormat="1" x14ac:dyDescent="0.2">
      <c r="I525" s="621"/>
    </row>
    <row r="526" spans="9:9" s="613" customFormat="1" x14ac:dyDescent="0.2">
      <c r="I526" s="621"/>
    </row>
    <row r="527" spans="9:9" s="613" customFormat="1" x14ac:dyDescent="0.2">
      <c r="I527" s="621"/>
    </row>
    <row r="528" spans="9:9" s="613" customFormat="1" x14ac:dyDescent="0.2">
      <c r="I528" s="621"/>
    </row>
    <row r="529" spans="9:9" s="613" customFormat="1" x14ac:dyDescent="0.2">
      <c r="I529" s="621"/>
    </row>
    <row r="530" spans="9:9" s="613" customFormat="1" x14ac:dyDescent="0.2">
      <c r="I530" s="621"/>
    </row>
    <row r="531" spans="9:9" s="613" customFormat="1" x14ac:dyDescent="0.2">
      <c r="I531" s="621"/>
    </row>
    <row r="532" spans="9:9" s="613" customFormat="1" x14ac:dyDescent="0.2">
      <c r="I532" s="621"/>
    </row>
    <row r="533" spans="9:9" s="613" customFormat="1" x14ac:dyDescent="0.2">
      <c r="I533" s="621"/>
    </row>
    <row r="534" spans="9:9" s="613" customFormat="1" x14ac:dyDescent="0.2">
      <c r="I534" s="621"/>
    </row>
    <row r="535" spans="9:9" s="613" customFormat="1" x14ac:dyDescent="0.2">
      <c r="I535" s="621"/>
    </row>
    <row r="536" spans="9:9" s="613" customFormat="1" x14ac:dyDescent="0.2">
      <c r="I536" s="621"/>
    </row>
    <row r="537" spans="9:9" s="613" customFormat="1" x14ac:dyDescent="0.2">
      <c r="I537" s="621"/>
    </row>
    <row r="538" spans="9:9" s="613" customFormat="1" x14ac:dyDescent="0.2">
      <c r="I538" s="621"/>
    </row>
    <row r="539" spans="9:9" s="613" customFormat="1" x14ac:dyDescent="0.2">
      <c r="I539" s="621"/>
    </row>
    <row r="540" spans="9:9" s="613" customFormat="1" x14ac:dyDescent="0.2">
      <c r="I540" s="621"/>
    </row>
    <row r="541" spans="9:9" s="613" customFormat="1" x14ac:dyDescent="0.2">
      <c r="I541" s="621"/>
    </row>
    <row r="542" spans="9:9" s="613" customFormat="1" x14ac:dyDescent="0.2">
      <c r="I542" s="621"/>
    </row>
    <row r="543" spans="9:9" s="613" customFormat="1" x14ac:dyDescent="0.2">
      <c r="I543" s="621"/>
    </row>
    <row r="544" spans="9:9" s="613" customFormat="1" x14ac:dyDescent="0.2">
      <c r="I544" s="621"/>
    </row>
    <row r="545" spans="9:9" s="613" customFormat="1" x14ac:dyDescent="0.2">
      <c r="I545" s="621"/>
    </row>
    <row r="546" spans="9:9" s="613" customFormat="1" x14ac:dyDescent="0.2">
      <c r="I546" s="621"/>
    </row>
    <row r="547" spans="9:9" s="613" customFormat="1" x14ac:dyDescent="0.2">
      <c r="I547" s="621"/>
    </row>
    <row r="548" spans="9:9" s="613" customFormat="1" x14ac:dyDescent="0.2">
      <c r="I548" s="621"/>
    </row>
    <row r="549" spans="9:9" s="613" customFormat="1" x14ac:dyDescent="0.2">
      <c r="I549" s="621"/>
    </row>
    <row r="550" spans="9:9" s="613" customFormat="1" x14ac:dyDescent="0.2">
      <c r="I550" s="621"/>
    </row>
    <row r="551" spans="9:9" s="613" customFormat="1" x14ac:dyDescent="0.2">
      <c r="I551" s="621"/>
    </row>
    <row r="552" spans="9:9" s="613" customFormat="1" x14ac:dyDescent="0.2">
      <c r="I552" s="621"/>
    </row>
    <row r="553" spans="9:9" s="613" customFormat="1" x14ac:dyDescent="0.2">
      <c r="I553" s="621"/>
    </row>
    <row r="554" spans="9:9" s="613" customFormat="1" x14ac:dyDescent="0.2">
      <c r="I554" s="621"/>
    </row>
    <row r="555" spans="9:9" s="613" customFormat="1" x14ac:dyDescent="0.2">
      <c r="I555" s="621"/>
    </row>
    <row r="556" spans="9:9" s="613" customFormat="1" x14ac:dyDescent="0.2">
      <c r="I556" s="621"/>
    </row>
    <row r="557" spans="9:9" s="613" customFormat="1" x14ac:dyDescent="0.2">
      <c r="I557" s="621"/>
    </row>
    <row r="558" spans="9:9" s="613" customFormat="1" x14ac:dyDescent="0.2">
      <c r="I558" s="621"/>
    </row>
    <row r="559" spans="9:9" s="613" customFormat="1" x14ac:dyDescent="0.2">
      <c r="I559" s="621"/>
    </row>
    <row r="560" spans="9:9" s="613" customFormat="1" x14ac:dyDescent="0.2">
      <c r="I560" s="621"/>
    </row>
    <row r="561" spans="9:9" s="613" customFormat="1" x14ac:dyDescent="0.2">
      <c r="I561" s="621"/>
    </row>
    <row r="562" spans="9:9" s="613" customFormat="1" x14ac:dyDescent="0.2">
      <c r="I562" s="621"/>
    </row>
    <row r="563" spans="9:9" s="613" customFormat="1" x14ac:dyDescent="0.2">
      <c r="I563" s="621"/>
    </row>
    <row r="564" spans="9:9" s="613" customFormat="1" x14ac:dyDescent="0.2">
      <c r="I564" s="621"/>
    </row>
    <row r="565" spans="9:9" s="613" customFormat="1" x14ac:dyDescent="0.2">
      <c r="I565" s="621"/>
    </row>
    <row r="566" spans="9:9" s="613" customFormat="1" x14ac:dyDescent="0.2">
      <c r="I566" s="621"/>
    </row>
    <row r="567" spans="9:9" s="613" customFormat="1" x14ac:dyDescent="0.2">
      <c r="I567" s="621"/>
    </row>
    <row r="568" spans="9:9" s="613" customFormat="1" x14ac:dyDescent="0.2">
      <c r="I568" s="621"/>
    </row>
    <row r="569" spans="9:9" s="613" customFormat="1" x14ac:dyDescent="0.2">
      <c r="I569" s="621"/>
    </row>
    <row r="570" spans="9:9" s="613" customFormat="1" x14ac:dyDescent="0.2">
      <c r="I570" s="621"/>
    </row>
    <row r="571" spans="9:9" s="613" customFormat="1" x14ac:dyDescent="0.2">
      <c r="I571" s="621"/>
    </row>
    <row r="572" spans="9:9" s="613" customFormat="1" x14ac:dyDescent="0.2">
      <c r="I572" s="621"/>
    </row>
    <row r="573" spans="9:9" s="613" customFormat="1" x14ac:dyDescent="0.2">
      <c r="I573" s="621"/>
    </row>
    <row r="574" spans="9:9" s="613" customFormat="1" x14ac:dyDescent="0.2">
      <c r="I574" s="621"/>
    </row>
    <row r="575" spans="9:9" s="613" customFormat="1" x14ac:dyDescent="0.2">
      <c r="I575" s="621"/>
    </row>
    <row r="576" spans="9:9" s="613" customFormat="1" x14ac:dyDescent="0.2">
      <c r="I576" s="621"/>
    </row>
    <row r="577" spans="9:9" s="613" customFormat="1" x14ac:dyDescent="0.2">
      <c r="I577" s="621"/>
    </row>
    <row r="578" spans="9:9" s="613" customFormat="1" x14ac:dyDescent="0.2">
      <c r="I578" s="621"/>
    </row>
    <row r="579" spans="9:9" s="613" customFormat="1" x14ac:dyDescent="0.2">
      <c r="I579" s="621"/>
    </row>
    <row r="580" spans="9:9" s="613" customFormat="1" x14ac:dyDescent="0.2">
      <c r="I580" s="621"/>
    </row>
    <row r="581" spans="9:9" s="613" customFormat="1" x14ac:dyDescent="0.2">
      <c r="I581" s="621"/>
    </row>
    <row r="582" spans="9:9" s="613" customFormat="1" x14ac:dyDescent="0.2">
      <c r="I582" s="621"/>
    </row>
    <row r="583" spans="9:9" s="613" customFormat="1" x14ac:dyDescent="0.2">
      <c r="I583" s="621"/>
    </row>
    <row r="584" spans="9:9" s="613" customFormat="1" x14ac:dyDescent="0.2">
      <c r="I584" s="621"/>
    </row>
    <row r="585" spans="9:9" s="613" customFormat="1" x14ac:dyDescent="0.2">
      <c r="I585" s="621"/>
    </row>
    <row r="586" spans="9:9" s="613" customFormat="1" x14ac:dyDescent="0.2">
      <c r="I586" s="621"/>
    </row>
    <row r="587" spans="9:9" s="613" customFormat="1" x14ac:dyDescent="0.2">
      <c r="I587" s="621"/>
    </row>
    <row r="588" spans="9:9" s="613" customFormat="1" x14ac:dyDescent="0.2">
      <c r="I588" s="621"/>
    </row>
    <row r="589" spans="9:9" s="613" customFormat="1" x14ac:dyDescent="0.2">
      <c r="I589" s="621"/>
    </row>
    <row r="590" spans="9:9" s="613" customFormat="1" x14ac:dyDescent="0.2">
      <c r="I590" s="621"/>
    </row>
    <row r="591" spans="9:9" s="613" customFormat="1" x14ac:dyDescent="0.2">
      <c r="I591" s="621"/>
    </row>
    <row r="592" spans="9:9" s="613" customFormat="1" x14ac:dyDescent="0.2">
      <c r="I592" s="621"/>
    </row>
    <row r="593" spans="9:9" s="613" customFormat="1" x14ac:dyDescent="0.2">
      <c r="I593" s="621"/>
    </row>
    <row r="594" spans="9:9" s="613" customFormat="1" x14ac:dyDescent="0.2">
      <c r="I594" s="621"/>
    </row>
    <row r="595" spans="9:9" s="613" customFormat="1" x14ac:dyDescent="0.2">
      <c r="I595" s="621"/>
    </row>
    <row r="596" spans="9:9" s="613" customFormat="1" x14ac:dyDescent="0.2">
      <c r="I596" s="621"/>
    </row>
    <row r="597" spans="9:9" s="613" customFormat="1" x14ac:dyDescent="0.2">
      <c r="I597" s="621"/>
    </row>
    <row r="598" spans="9:9" s="613" customFormat="1" x14ac:dyDescent="0.2">
      <c r="I598" s="621"/>
    </row>
    <row r="599" spans="9:9" s="613" customFormat="1" x14ac:dyDescent="0.2">
      <c r="I599" s="621"/>
    </row>
    <row r="600" spans="9:9" s="613" customFormat="1" x14ac:dyDescent="0.2">
      <c r="I600" s="621"/>
    </row>
    <row r="601" spans="9:9" s="613" customFormat="1" x14ac:dyDescent="0.2">
      <c r="I601" s="621"/>
    </row>
    <row r="602" spans="9:9" s="613" customFormat="1" x14ac:dyDescent="0.2">
      <c r="I602" s="621"/>
    </row>
    <row r="603" spans="9:9" s="613" customFormat="1" x14ac:dyDescent="0.2">
      <c r="I603" s="621"/>
    </row>
    <row r="604" spans="9:9" s="613" customFormat="1" x14ac:dyDescent="0.2">
      <c r="I604" s="621"/>
    </row>
    <row r="605" spans="9:9" s="613" customFormat="1" x14ac:dyDescent="0.2">
      <c r="I605" s="621"/>
    </row>
    <row r="606" spans="9:9" s="613" customFormat="1" x14ac:dyDescent="0.2">
      <c r="I606" s="621"/>
    </row>
    <row r="607" spans="9:9" s="613" customFormat="1" x14ac:dyDescent="0.2">
      <c r="I607" s="621"/>
    </row>
    <row r="608" spans="9:9" s="613" customFormat="1" x14ac:dyDescent="0.2">
      <c r="I608" s="621"/>
    </row>
    <row r="609" spans="9:9" s="613" customFormat="1" x14ac:dyDescent="0.2">
      <c r="I609" s="621"/>
    </row>
    <row r="610" spans="9:9" s="613" customFormat="1" x14ac:dyDescent="0.2">
      <c r="I610" s="621"/>
    </row>
    <row r="611" spans="9:9" s="613" customFormat="1" x14ac:dyDescent="0.2">
      <c r="I611" s="621"/>
    </row>
    <row r="612" spans="9:9" s="613" customFormat="1" x14ac:dyDescent="0.2">
      <c r="I612" s="621"/>
    </row>
    <row r="613" spans="9:9" s="613" customFormat="1" x14ac:dyDescent="0.2">
      <c r="I613" s="621"/>
    </row>
    <row r="614" spans="9:9" s="613" customFormat="1" x14ac:dyDescent="0.2">
      <c r="I614" s="621"/>
    </row>
    <row r="615" spans="9:9" s="613" customFormat="1" x14ac:dyDescent="0.2">
      <c r="I615" s="621"/>
    </row>
    <row r="616" spans="9:9" s="613" customFormat="1" x14ac:dyDescent="0.2">
      <c r="I616" s="621"/>
    </row>
    <row r="617" spans="9:9" s="613" customFormat="1" x14ac:dyDescent="0.2">
      <c r="I617" s="621"/>
    </row>
    <row r="618" spans="9:9" s="613" customFormat="1" x14ac:dyDescent="0.2">
      <c r="I618" s="621"/>
    </row>
    <row r="619" spans="9:9" s="613" customFormat="1" x14ac:dyDescent="0.2">
      <c r="I619" s="621"/>
    </row>
    <row r="620" spans="9:9" s="613" customFormat="1" x14ac:dyDescent="0.2">
      <c r="I620" s="621"/>
    </row>
    <row r="621" spans="9:9" s="613" customFormat="1" x14ac:dyDescent="0.2">
      <c r="I621" s="621"/>
    </row>
    <row r="622" spans="9:9" s="613" customFormat="1" x14ac:dyDescent="0.2">
      <c r="I622" s="621"/>
    </row>
    <row r="623" spans="9:9" s="613" customFormat="1" x14ac:dyDescent="0.2">
      <c r="I623" s="621"/>
    </row>
    <row r="624" spans="9:9" s="613" customFormat="1" x14ac:dyDescent="0.2">
      <c r="I624" s="621"/>
    </row>
    <row r="625" spans="9:9" s="613" customFormat="1" x14ac:dyDescent="0.2">
      <c r="I625" s="621"/>
    </row>
    <row r="626" spans="9:9" s="613" customFormat="1" x14ac:dyDescent="0.2">
      <c r="I626" s="621"/>
    </row>
    <row r="627" spans="9:9" s="613" customFormat="1" x14ac:dyDescent="0.2">
      <c r="I627" s="621"/>
    </row>
    <row r="628" spans="9:9" s="613" customFormat="1" x14ac:dyDescent="0.2">
      <c r="I628" s="621"/>
    </row>
    <row r="629" spans="9:9" s="613" customFormat="1" x14ac:dyDescent="0.2">
      <c r="I629" s="621"/>
    </row>
    <row r="630" spans="9:9" s="613" customFormat="1" x14ac:dyDescent="0.2">
      <c r="I630" s="621"/>
    </row>
    <row r="631" spans="9:9" s="613" customFormat="1" x14ac:dyDescent="0.2">
      <c r="I631" s="621"/>
    </row>
    <row r="632" spans="9:9" s="613" customFormat="1" x14ac:dyDescent="0.2">
      <c r="I632" s="621"/>
    </row>
    <row r="633" spans="9:9" s="613" customFormat="1" x14ac:dyDescent="0.2">
      <c r="I633" s="621"/>
    </row>
    <row r="634" spans="9:9" s="613" customFormat="1" x14ac:dyDescent="0.2">
      <c r="I634" s="621"/>
    </row>
    <row r="635" spans="9:9" s="613" customFormat="1" x14ac:dyDescent="0.2">
      <c r="I635" s="621"/>
    </row>
    <row r="636" spans="9:9" s="613" customFormat="1" x14ac:dyDescent="0.2">
      <c r="I636" s="621"/>
    </row>
    <row r="637" spans="9:9" s="613" customFormat="1" x14ac:dyDescent="0.2">
      <c r="I637" s="621"/>
    </row>
    <row r="638" spans="9:9" s="613" customFormat="1" x14ac:dyDescent="0.2">
      <c r="I638" s="621"/>
    </row>
    <row r="639" spans="9:9" s="613" customFormat="1" x14ac:dyDescent="0.2">
      <c r="I639" s="621"/>
    </row>
    <row r="640" spans="9:9" s="613" customFormat="1" x14ac:dyDescent="0.2">
      <c r="I640" s="621"/>
    </row>
    <row r="641" spans="9:9" s="613" customFormat="1" x14ac:dyDescent="0.2">
      <c r="I641" s="621"/>
    </row>
    <row r="642" spans="9:9" s="613" customFormat="1" x14ac:dyDescent="0.2">
      <c r="I642" s="621"/>
    </row>
    <row r="643" spans="9:9" s="613" customFormat="1" x14ac:dyDescent="0.2">
      <c r="I643" s="621"/>
    </row>
    <row r="644" spans="9:9" s="613" customFormat="1" x14ac:dyDescent="0.2">
      <c r="I644" s="621"/>
    </row>
    <row r="645" spans="9:9" s="613" customFormat="1" x14ac:dyDescent="0.2">
      <c r="I645" s="621"/>
    </row>
    <row r="646" spans="9:9" s="613" customFormat="1" x14ac:dyDescent="0.2">
      <c r="I646" s="621"/>
    </row>
    <row r="647" spans="9:9" s="613" customFormat="1" x14ac:dyDescent="0.2">
      <c r="I647" s="621"/>
    </row>
    <row r="648" spans="9:9" s="613" customFormat="1" x14ac:dyDescent="0.2">
      <c r="I648" s="621"/>
    </row>
    <row r="649" spans="9:9" s="613" customFormat="1" x14ac:dyDescent="0.2">
      <c r="I649" s="621"/>
    </row>
    <row r="650" spans="9:9" s="613" customFormat="1" x14ac:dyDescent="0.2">
      <c r="I650" s="621"/>
    </row>
    <row r="651" spans="9:9" s="613" customFormat="1" x14ac:dyDescent="0.2">
      <c r="I651" s="621"/>
    </row>
    <row r="652" spans="9:9" s="613" customFormat="1" x14ac:dyDescent="0.2">
      <c r="I652" s="621"/>
    </row>
    <row r="653" spans="9:9" s="613" customFormat="1" x14ac:dyDescent="0.2">
      <c r="I653" s="621"/>
    </row>
    <row r="654" spans="9:9" s="613" customFormat="1" x14ac:dyDescent="0.2">
      <c r="I654" s="621"/>
    </row>
    <row r="655" spans="9:9" s="613" customFormat="1" x14ac:dyDescent="0.2">
      <c r="I655" s="621"/>
    </row>
    <row r="656" spans="9:9" s="613" customFormat="1" x14ac:dyDescent="0.2">
      <c r="I656" s="621"/>
    </row>
    <row r="657" spans="9:9" s="613" customFormat="1" x14ac:dyDescent="0.2">
      <c r="I657" s="621"/>
    </row>
    <row r="658" spans="9:9" s="613" customFormat="1" x14ac:dyDescent="0.2">
      <c r="I658" s="621"/>
    </row>
    <row r="659" spans="9:9" s="613" customFormat="1" x14ac:dyDescent="0.2">
      <c r="I659" s="621"/>
    </row>
    <row r="660" spans="9:9" s="613" customFormat="1" x14ac:dyDescent="0.2">
      <c r="I660" s="621"/>
    </row>
    <row r="661" spans="9:9" s="613" customFormat="1" x14ac:dyDescent="0.2">
      <c r="I661" s="621"/>
    </row>
    <row r="662" spans="9:9" s="613" customFormat="1" x14ac:dyDescent="0.2">
      <c r="I662" s="621"/>
    </row>
    <row r="663" spans="9:9" s="613" customFormat="1" x14ac:dyDescent="0.2">
      <c r="I663" s="621"/>
    </row>
    <row r="664" spans="9:9" s="613" customFormat="1" x14ac:dyDescent="0.2">
      <c r="I664" s="621"/>
    </row>
    <row r="665" spans="9:9" s="613" customFormat="1" x14ac:dyDescent="0.2">
      <c r="I665" s="621"/>
    </row>
    <row r="666" spans="9:9" s="613" customFormat="1" x14ac:dyDescent="0.2">
      <c r="I666" s="621"/>
    </row>
    <row r="667" spans="9:9" s="613" customFormat="1" x14ac:dyDescent="0.2">
      <c r="I667" s="621"/>
    </row>
    <row r="668" spans="9:9" s="613" customFormat="1" x14ac:dyDescent="0.2">
      <c r="I668" s="621"/>
    </row>
    <row r="669" spans="9:9" s="613" customFormat="1" x14ac:dyDescent="0.2">
      <c r="I669" s="621"/>
    </row>
    <row r="670" spans="9:9" s="613" customFormat="1" x14ac:dyDescent="0.2">
      <c r="I670" s="621"/>
    </row>
    <row r="671" spans="9:9" s="613" customFormat="1" x14ac:dyDescent="0.2">
      <c r="I671" s="621"/>
    </row>
    <row r="672" spans="9:9" s="613" customFormat="1" x14ac:dyDescent="0.2">
      <c r="I672" s="621"/>
    </row>
    <row r="673" spans="9:9" s="613" customFormat="1" x14ac:dyDescent="0.2">
      <c r="I673" s="621"/>
    </row>
    <row r="674" spans="9:9" s="613" customFormat="1" x14ac:dyDescent="0.2">
      <c r="I674" s="621"/>
    </row>
    <row r="675" spans="9:9" s="613" customFormat="1" x14ac:dyDescent="0.2">
      <c r="I675" s="621"/>
    </row>
    <row r="676" spans="9:9" s="613" customFormat="1" x14ac:dyDescent="0.2">
      <c r="I676" s="621"/>
    </row>
    <row r="677" spans="9:9" s="613" customFormat="1" x14ac:dyDescent="0.2">
      <c r="I677" s="621"/>
    </row>
    <row r="678" spans="9:9" s="613" customFormat="1" x14ac:dyDescent="0.2">
      <c r="I678" s="621"/>
    </row>
    <row r="679" spans="9:9" s="613" customFormat="1" x14ac:dyDescent="0.2">
      <c r="I679" s="621"/>
    </row>
    <row r="680" spans="9:9" s="613" customFormat="1" x14ac:dyDescent="0.2">
      <c r="I680" s="621"/>
    </row>
    <row r="681" spans="9:9" s="613" customFormat="1" x14ac:dyDescent="0.2">
      <c r="I681" s="621"/>
    </row>
    <row r="682" spans="9:9" s="613" customFormat="1" x14ac:dyDescent="0.2">
      <c r="I682" s="621"/>
    </row>
    <row r="683" spans="9:9" s="613" customFormat="1" x14ac:dyDescent="0.2">
      <c r="I683" s="621"/>
    </row>
    <row r="684" spans="9:9" s="613" customFormat="1" x14ac:dyDescent="0.2">
      <c r="I684" s="621"/>
    </row>
    <row r="685" spans="9:9" s="613" customFormat="1" x14ac:dyDescent="0.2">
      <c r="I685" s="621"/>
    </row>
    <row r="686" spans="9:9" s="613" customFormat="1" x14ac:dyDescent="0.2">
      <c r="I686" s="621"/>
    </row>
    <row r="687" spans="9:9" s="613" customFormat="1" x14ac:dyDescent="0.2">
      <c r="I687" s="621"/>
    </row>
    <row r="688" spans="9:9" s="613" customFormat="1" x14ac:dyDescent="0.2">
      <c r="I688" s="621"/>
    </row>
    <row r="689" spans="9:9" s="613" customFormat="1" x14ac:dyDescent="0.2">
      <c r="I689" s="621"/>
    </row>
    <row r="690" spans="9:9" s="613" customFormat="1" x14ac:dyDescent="0.2">
      <c r="I690" s="621"/>
    </row>
    <row r="691" spans="9:9" s="613" customFormat="1" x14ac:dyDescent="0.2">
      <c r="I691" s="621"/>
    </row>
    <row r="692" spans="9:9" s="613" customFormat="1" x14ac:dyDescent="0.2">
      <c r="I692" s="621"/>
    </row>
    <row r="693" spans="9:9" s="613" customFormat="1" x14ac:dyDescent="0.2">
      <c r="I693" s="621"/>
    </row>
    <row r="694" spans="9:9" s="613" customFormat="1" x14ac:dyDescent="0.2">
      <c r="I694" s="621"/>
    </row>
    <row r="695" spans="9:9" s="613" customFormat="1" x14ac:dyDescent="0.2">
      <c r="I695" s="621"/>
    </row>
    <row r="696" spans="9:9" s="613" customFormat="1" x14ac:dyDescent="0.2">
      <c r="I696" s="621"/>
    </row>
    <row r="697" spans="9:9" s="613" customFormat="1" x14ac:dyDescent="0.2">
      <c r="I697" s="621"/>
    </row>
    <row r="698" spans="9:9" s="613" customFormat="1" x14ac:dyDescent="0.2">
      <c r="I698" s="621"/>
    </row>
    <row r="699" spans="9:9" s="613" customFormat="1" x14ac:dyDescent="0.2">
      <c r="I699" s="621"/>
    </row>
    <row r="700" spans="9:9" s="613" customFormat="1" x14ac:dyDescent="0.2">
      <c r="I700" s="621"/>
    </row>
    <row r="701" spans="9:9" s="613" customFormat="1" x14ac:dyDescent="0.2">
      <c r="I701" s="621"/>
    </row>
    <row r="702" spans="9:9" s="613" customFormat="1" x14ac:dyDescent="0.2">
      <c r="I702" s="621"/>
    </row>
    <row r="703" spans="9:9" s="613" customFormat="1" x14ac:dyDescent="0.2">
      <c r="I703" s="621"/>
    </row>
    <row r="704" spans="9:9" s="613" customFormat="1" x14ac:dyDescent="0.2">
      <c r="I704" s="621"/>
    </row>
    <row r="705" spans="9:9" s="613" customFormat="1" x14ac:dyDescent="0.2">
      <c r="I705" s="621"/>
    </row>
    <row r="706" spans="9:9" s="613" customFormat="1" x14ac:dyDescent="0.2">
      <c r="I706" s="621"/>
    </row>
    <row r="707" spans="9:9" s="613" customFormat="1" x14ac:dyDescent="0.2">
      <c r="I707" s="621"/>
    </row>
    <row r="708" spans="9:9" s="613" customFormat="1" x14ac:dyDescent="0.2">
      <c r="I708" s="621"/>
    </row>
    <row r="709" spans="9:9" s="613" customFormat="1" x14ac:dyDescent="0.2">
      <c r="I709" s="621"/>
    </row>
    <row r="710" spans="9:9" s="613" customFormat="1" x14ac:dyDescent="0.2">
      <c r="I710" s="621"/>
    </row>
    <row r="711" spans="9:9" s="613" customFormat="1" x14ac:dyDescent="0.2">
      <c r="I711" s="621"/>
    </row>
    <row r="712" spans="9:9" s="613" customFormat="1" x14ac:dyDescent="0.2">
      <c r="I712" s="621"/>
    </row>
    <row r="713" spans="9:9" s="613" customFormat="1" x14ac:dyDescent="0.2">
      <c r="I713" s="621"/>
    </row>
    <row r="714" spans="9:9" s="613" customFormat="1" x14ac:dyDescent="0.2">
      <c r="I714" s="621"/>
    </row>
    <row r="715" spans="9:9" s="613" customFormat="1" x14ac:dyDescent="0.2">
      <c r="I715" s="621"/>
    </row>
    <row r="716" spans="9:9" s="613" customFormat="1" x14ac:dyDescent="0.2">
      <c r="I716" s="621"/>
    </row>
    <row r="717" spans="9:9" s="613" customFormat="1" x14ac:dyDescent="0.2">
      <c r="I717" s="621"/>
    </row>
    <row r="718" spans="9:9" s="613" customFormat="1" x14ac:dyDescent="0.2">
      <c r="I718" s="621"/>
    </row>
    <row r="719" spans="9:9" s="613" customFormat="1" x14ac:dyDescent="0.2">
      <c r="I719" s="621"/>
    </row>
    <row r="720" spans="9:9" s="613" customFormat="1" x14ac:dyDescent="0.2">
      <c r="I720" s="621"/>
    </row>
    <row r="721" spans="9:9" s="613" customFormat="1" x14ac:dyDescent="0.2">
      <c r="I721" s="621"/>
    </row>
    <row r="722" spans="9:9" s="613" customFormat="1" x14ac:dyDescent="0.2">
      <c r="I722" s="621"/>
    </row>
    <row r="723" spans="9:9" s="613" customFormat="1" x14ac:dyDescent="0.2">
      <c r="I723" s="621"/>
    </row>
    <row r="724" spans="9:9" s="613" customFormat="1" x14ac:dyDescent="0.2">
      <c r="I724" s="621"/>
    </row>
    <row r="725" spans="9:9" s="613" customFormat="1" x14ac:dyDescent="0.2">
      <c r="I725" s="621"/>
    </row>
    <row r="726" spans="9:9" s="613" customFormat="1" x14ac:dyDescent="0.2">
      <c r="I726" s="621"/>
    </row>
    <row r="727" spans="9:9" s="613" customFormat="1" x14ac:dyDescent="0.2">
      <c r="I727" s="621"/>
    </row>
    <row r="728" spans="9:9" s="613" customFormat="1" x14ac:dyDescent="0.2">
      <c r="I728" s="621"/>
    </row>
    <row r="729" spans="9:9" s="613" customFormat="1" x14ac:dyDescent="0.2">
      <c r="I729" s="621"/>
    </row>
    <row r="730" spans="9:9" s="613" customFormat="1" x14ac:dyDescent="0.2">
      <c r="I730" s="621"/>
    </row>
    <row r="731" spans="9:9" s="613" customFormat="1" x14ac:dyDescent="0.2">
      <c r="I731" s="621"/>
    </row>
    <row r="732" spans="9:9" s="613" customFormat="1" x14ac:dyDescent="0.2">
      <c r="I732" s="621"/>
    </row>
    <row r="733" spans="9:9" s="613" customFormat="1" x14ac:dyDescent="0.2">
      <c r="I733" s="621"/>
    </row>
    <row r="734" spans="9:9" s="613" customFormat="1" x14ac:dyDescent="0.2">
      <c r="I734" s="621"/>
    </row>
    <row r="735" spans="9:9" s="613" customFormat="1" x14ac:dyDescent="0.2">
      <c r="I735" s="621"/>
    </row>
    <row r="736" spans="9:9" s="613" customFormat="1" x14ac:dyDescent="0.2">
      <c r="I736" s="621"/>
    </row>
    <row r="737" spans="9:9" s="613" customFormat="1" x14ac:dyDescent="0.2">
      <c r="I737" s="621"/>
    </row>
    <row r="738" spans="9:9" s="613" customFormat="1" x14ac:dyDescent="0.2">
      <c r="I738" s="621"/>
    </row>
    <row r="739" spans="9:9" s="613" customFormat="1" x14ac:dyDescent="0.2">
      <c r="I739" s="621"/>
    </row>
    <row r="740" spans="9:9" s="613" customFormat="1" x14ac:dyDescent="0.2">
      <c r="I740" s="621"/>
    </row>
    <row r="741" spans="9:9" s="613" customFormat="1" x14ac:dyDescent="0.2">
      <c r="I741" s="621"/>
    </row>
    <row r="742" spans="9:9" s="613" customFormat="1" x14ac:dyDescent="0.2">
      <c r="I742" s="621"/>
    </row>
    <row r="743" spans="9:9" s="613" customFormat="1" x14ac:dyDescent="0.2">
      <c r="I743" s="621"/>
    </row>
  </sheetData>
  <mergeCells count="2">
    <mergeCell ref="A4:I4"/>
    <mergeCell ref="B6:D6"/>
  </mergeCells>
  <printOptions horizontalCentered="1"/>
  <pageMargins left="0" right="0" top="1.3775590551181103" bottom="0.59015748031496074" header="0.98385826771653528" footer="0.19645669291338586"/>
  <pageSetup paperSize="0" scale="90" fitToWidth="0" fitToHeight="0" orientation="landscape" horizontalDpi="0" verticalDpi="0" copie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14"/>
  <sheetViews>
    <sheetView showGridLines="0" workbookViewId="0">
      <selection activeCell="E15" sqref="E15:H129"/>
    </sheetView>
  </sheetViews>
  <sheetFormatPr baseColWidth="10" defaultRowHeight="11.25" x14ac:dyDescent="0.15"/>
  <cols>
    <col min="1" max="1" width="4.125" style="360" customWidth="1"/>
    <col min="2" max="2" width="15.875" style="360" customWidth="1"/>
    <col min="3" max="3" width="8.875" style="360" customWidth="1"/>
    <col min="4" max="4" width="11" style="360" customWidth="1"/>
    <col min="5" max="5" width="12.5" style="360" customWidth="1"/>
    <col min="6" max="6" width="10.75" style="360" customWidth="1"/>
    <col min="7" max="7" width="11.125" style="360" customWidth="1"/>
    <col min="8" max="8" width="11.375" style="360" customWidth="1"/>
    <col min="9" max="9" width="5.875" style="360" customWidth="1"/>
    <col min="10" max="10" width="5.125" style="360" customWidth="1"/>
    <col min="11" max="1024" width="12.875" style="360" customWidth="1"/>
    <col min="1025" max="16384" width="11" style="395"/>
  </cols>
  <sheetData>
    <row r="1" spans="1:17" s="360" customFormat="1" x14ac:dyDescent="0.15">
      <c r="A1" s="540"/>
      <c r="B1" s="540"/>
      <c r="C1" s="362" t="s">
        <v>0</v>
      </c>
      <c r="D1" s="540"/>
      <c r="F1" s="540"/>
      <c r="G1" s="540"/>
      <c r="H1" s="540"/>
      <c r="L1" s="362" t="s">
        <v>0</v>
      </c>
    </row>
    <row r="2" spans="1:17" s="360" customFormat="1" x14ac:dyDescent="0.15">
      <c r="A2" s="540"/>
      <c r="B2" s="540"/>
      <c r="C2" s="362" t="s">
        <v>163</v>
      </c>
      <c r="D2" s="540"/>
      <c r="F2" s="540"/>
      <c r="G2" s="540"/>
      <c r="H2" s="540"/>
      <c r="L2" s="362" t="s">
        <v>163</v>
      </c>
    </row>
    <row r="3" spans="1:17" s="360" customFormat="1" x14ac:dyDescent="0.15">
      <c r="A3" s="540"/>
      <c r="B3" s="540"/>
      <c r="C3" s="540"/>
      <c r="D3" s="540"/>
      <c r="E3" s="540"/>
      <c r="F3" s="540"/>
      <c r="G3" s="540"/>
      <c r="H3" s="540"/>
    </row>
    <row r="4" spans="1:17" s="360" customFormat="1" x14ac:dyDescent="0.15">
      <c r="A4" s="757" t="s">
        <v>533</v>
      </c>
      <c r="B4" s="757"/>
      <c r="C4" s="757"/>
      <c r="D4" s="757"/>
      <c r="E4" s="757"/>
      <c r="F4" s="757"/>
      <c r="G4" s="757"/>
      <c r="H4" s="757"/>
      <c r="J4" s="757" t="s">
        <v>534</v>
      </c>
      <c r="K4" s="757"/>
      <c r="L4" s="757"/>
      <c r="M4" s="757"/>
      <c r="N4" s="757"/>
      <c r="O4" s="757"/>
      <c r="P4" s="757"/>
    </row>
    <row r="5" spans="1:17" s="360" customFormat="1" x14ac:dyDescent="0.15">
      <c r="B5" s="362" t="s">
        <v>389</v>
      </c>
      <c r="E5" s="367">
        <f>'FONDOS PART 2024'!H21</f>
        <v>223551273.60000002</v>
      </c>
      <c r="F5" s="541"/>
      <c r="G5" s="362"/>
      <c r="J5" s="362" t="s">
        <v>390</v>
      </c>
      <c r="M5" s="367">
        <f>'FONDOS PART 2024'!H22</f>
        <v>0</v>
      </c>
      <c r="O5" s="541">
        <f>E5+M5</f>
        <v>223551273.60000002</v>
      </c>
    </row>
    <row r="6" spans="1:17" s="360" customFormat="1" x14ac:dyDescent="0.15">
      <c r="B6" s="362" t="s">
        <v>391</v>
      </c>
      <c r="E6" s="371">
        <f>E5*0.7</f>
        <v>156485891.52000001</v>
      </c>
      <c r="F6" s="542" t="s">
        <v>217</v>
      </c>
      <c r="G6" s="362"/>
      <c r="J6" s="362" t="s">
        <v>391</v>
      </c>
      <c r="M6" s="371">
        <f>M5*0.7</f>
        <v>0</v>
      </c>
      <c r="N6" s="542" t="s">
        <v>217</v>
      </c>
      <c r="O6" s="541">
        <f>E6+M6</f>
        <v>156485891.52000001</v>
      </c>
    </row>
    <row r="7" spans="1:17" s="360" customFormat="1" x14ac:dyDescent="0.15">
      <c r="B7" s="362" t="s">
        <v>392</v>
      </c>
      <c r="E7" s="371">
        <f>E5*0.3</f>
        <v>67065382.080000006</v>
      </c>
      <c r="F7" s="362" t="s">
        <v>318</v>
      </c>
      <c r="G7" s="362"/>
      <c r="J7" s="362" t="s">
        <v>392</v>
      </c>
      <c r="M7" s="371">
        <f>M5*0.3</f>
        <v>0</v>
      </c>
      <c r="N7" s="362" t="s">
        <v>318</v>
      </c>
      <c r="O7" s="541">
        <f>E7+M7</f>
        <v>67065382.080000006</v>
      </c>
    </row>
    <row r="8" spans="1:17" s="360" customFormat="1" x14ac:dyDescent="0.15">
      <c r="B8" s="362"/>
      <c r="E8" s="371"/>
      <c r="F8" s="372"/>
      <c r="G8" s="362"/>
    </row>
    <row r="9" spans="1:17" s="360" customFormat="1" x14ac:dyDescent="0.15">
      <c r="B9" s="362"/>
      <c r="E9" s="365"/>
      <c r="F9" s="372"/>
      <c r="G9" s="362"/>
    </row>
    <row r="10" spans="1:17" s="360" customFormat="1" x14ac:dyDescent="0.15">
      <c r="B10" s="362"/>
      <c r="E10" s="371"/>
      <c r="F10" s="372"/>
      <c r="G10" s="543"/>
    </row>
    <row r="11" spans="1:17" s="360" customFormat="1" x14ac:dyDescent="0.15">
      <c r="B11" s="362"/>
      <c r="E11" s="371"/>
      <c r="F11" s="372"/>
      <c r="G11" s="362"/>
    </row>
    <row r="12" spans="1:17" s="360" customFormat="1" ht="14.25" customHeight="1" x14ac:dyDescent="0.15">
      <c r="A12" s="767" t="s">
        <v>21</v>
      </c>
      <c r="B12" s="767" t="s">
        <v>34</v>
      </c>
      <c r="C12" s="766" t="s">
        <v>10</v>
      </c>
      <c r="D12" s="766"/>
      <c r="E12" s="544" t="s">
        <v>186</v>
      </c>
      <c r="F12" s="544" t="s">
        <v>27</v>
      </c>
      <c r="G12" s="544" t="s">
        <v>186</v>
      </c>
      <c r="H12" s="544"/>
      <c r="J12" s="767" t="s">
        <v>21</v>
      </c>
      <c r="K12" s="767" t="s">
        <v>34</v>
      </c>
      <c r="L12" s="767" t="s">
        <v>10</v>
      </c>
      <c r="M12" s="767"/>
      <c r="N12" s="564" t="s">
        <v>186</v>
      </c>
      <c r="O12" s="564" t="s">
        <v>27</v>
      </c>
      <c r="P12" s="564" t="s">
        <v>186</v>
      </c>
      <c r="Q12" s="564"/>
    </row>
    <row r="13" spans="1:17" s="360" customFormat="1" x14ac:dyDescent="0.15">
      <c r="A13" s="768"/>
      <c r="B13" s="768"/>
      <c r="C13" s="544">
        <v>2020</v>
      </c>
      <c r="D13" s="544" t="s">
        <v>16</v>
      </c>
      <c r="E13" s="545" t="s">
        <v>325</v>
      </c>
      <c r="F13" s="545" t="s">
        <v>394</v>
      </c>
      <c r="G13" s="545" t="s">
        <v>395</v>
      </c>
      <c r="H13" s="545" t="s">
        <v>191</v>
      </c>
      <c r="J13" s="768"/>
      <c r="K13" s="768"/>
      <c r="L13" s="564">
        <v>2020</v>
      </c>
      <c r="M13" s="564" t="s">
        <v>16</v>
      </c>
      <c r="N13" s="565" t="s">
        <v>325</v>
      </c>
      <c r="O13" s="565" t="s">
        <v>394</v>
      </c>
      <c r="P13" s="565" t="s">
        <v>395</v>
      </c>
      <c r="Q13" s="565" t="s">
        <v>191</v>
      </c>
    </row>
    <row r="14" spans="1:17" s="360" customFormat="1" x14ac:dyDescent="0.15">
      <c r="A14" s="769"/>
      <c r="B14" s="769"/>
      <c r="C14" s="546">
        <v>3</v>
      </c>
      <c r="D14" s="546" t="s">
        <v>35</v>
      </c>
      <c r="E14" s="546" t="s">
        <v>396</v>
      </c>
      <c r="F14" s="546" t="s">
        <v>397</v>
      </c>
      <c r="G14" s="546" t="s">
        <v>398</v>
      </c>
      <c r="H14" s="546" t="s">
        <v>399</v>
      </c>
      <c r="J14" s="769"/>
      <c r="K14" s="769"/>
      <c r="L14" s="566">
        <v>3</v>
      </c>
      <c r="M14" s="566" t="s">
        <v>35</v>
      </c>
      <c r="N14" s="566" t="s">
        <v>396</v>
      </c>
      <c r="O14" s="566" t="s">
        <v>397</v>
      </c>
      <c r="P14" s="566" t="s">
        <v>398</v>
      </c>
      <c r="Q14" s="566" t="s">
        <v>399</v>
      </c>
    </row>
    <row r="15" spans="1:17" s="360" customFormat="1" x14ac:dyDescent="0.15">
      <c r="B15" s="379"/>
      <c r="C15" s="380">
        <f t="shared" ref="C15:H15" si="0">SUM(C16:C128)</f>
        <v>4748846</v>
      </c>
      <c r="D15" s="381">
        <f t="shared" si="0"/>
        <v>100.00000000000004</v>
      </c>
      <c r="E15" s="547">
        <f t="shared" si="0"/>
        <v>156485891.52000004</v>
      </c>
      <c r="F15" s="563">
        <f t="shared" si="0"/>
        <v>100.00000000000016</v>
      </c>
      <c r="G15" s="547">
        <f t="shared" si="0"/>
        <v>67065382.080000088</v>
      </c>
      <c r="H15" s="547">
        <f t="shared" si="0"/>
        <v>223551273.60000011</v>
      </c>
      <c r="J15" s="567"/>
      <c r="K15" s="568"/>
      <c r="L15" s="438">
        <f t="shared" ref="L15:Q15" si="1">SUM(L16:L128)</f>
        <v>4748846</v>
      </c>
      <c r="M15" s="563">
        <f t="shared" si="1"/>
        <v>100.00000000000004</v>
      </c>
      <c r="N15" s="438">
        <f t="shared" si="1"/>
        <v>0</v>
      </c>
      <c r="O15" s="570">
        <f t="shared" si="1"/>
        <v>100.00000000000016</v>
      </c>
      <c r="P15" s="569">
        <f t="shared" si="1"/>
        <v>0</v>
      </c>
      <c r="Q15" s="569">
        <f t="shared" si="1"/>
        <v>0</v>
      </c>
    </row>
    <row r="16" spans="1:17" s="360" customFormat="1" x14ac:dyDescent="0.15">
      <c r="A16" s="385">
        <v>1</v>
      </c>
      <c r="B16" s="560" t="s">
        <v>43</v>
      </c>
      <c r="C16" s="548">
        <f>'COEFIC 2023'!E8</f>
        <v>11301</v>
      </c>
      <c r="D16" s="549">
        <f>'COEFIC 2023'!I8</f>
        <v>0.23797360453465957</v>
      </c>
      <c r="E16" s="550">
        <f t="shared" ref="E16:E47" si="2">$E$6*D16%</f>
        <v>372395.11663834122</v>
      </c>
      <c r="F16" s="549">
        <f t="shared" ref="F16:F47" si="3">100/113</f>
        <v>0.88495575221238942</v>
      </c>
      <c r="G16" s="551">
        <f t="shared" ref="G16:G47" si="4">$E$7*F16%</f>
        <v>593498.95646017708</v>
      </c>
      <c r="H16" s="552">
        <f t="shared" ref="H16:H47" si="5">E16+G16</f>
        <v>965894.0730985183</v>
      </c>
      <c r="J16" s="558">
        <v>1</v>
      </c>
      <c r="K16" s="558" t="s">
        <v>43</v>
      </c>
      <c r="L16" s="443">
        <f t="shared" ref="L16:L47" si="6">C16</f>
        <v>11301</v>
      </c>
      <c r="M16" s="444">
        <f>'COEFIC 2023'!I8</f>
        <v>0.23797360453465957</v>
      </c>
      <c r="N16" s="445">
        <f t="shared" ref="N16:N47" si="7">$M$6*M16%</f>
        <v>0</v>
      </c>
      <c r="O16" s="571">
        <f t="shared" ref="O16:O47" si="8">100/113</f>
        <v>0.88495575221238942</v>
      </c>
      <c r="P16" s="447">
        <f t="shared" ref="P16:P47" si="9">$M$7*O16%</f>
        <v>0</v>
      </c>
      <c r="Q16" s="572">
        <f t="shared" ref="Q16:Q47" si="10">N16+P16</f>
        <v>0</v>
      </c>
    </row>
    <row r="17" spans="1:17" s="360" customFormat="1" x14ac:dyDescent="0.15">
      <c r="A17" s="385">
        <v>2</v>
      </c>
      <c r="B17" s="560" t="s">
        <v>46</v>
      </c>
      <c r="C17" s="548">
        <f>'COEFIC 2023'!E9</f>
        <v>14754</v>
      </c>
      <c r="D17" s="549">
        <f>'COEFIC 2023'!I9</f>
        <v>0.31068600666351365</v>
      </c>
      <c r="E17" s="550">
        <f t="shared" si="2"/>
        <v>486179.76735528599</v>
      </c>
      <c r="F17" s="549">
        <f t="shared" si="3"/>
        <v>0.88495575221238942</v>
      </c>
      <c r="G17" s="551">
        <f t="shared" si="4"/>
        <v>593498.95646017708</v>
      </c>
      <c r="H17" s="552">
        <f t="shared" si="5"/>
        <v>1079678.723815463</v>
      </c>
      <c r="J17" s="558">
        <v>2</v>
      </c>
      <c r="K17" s="558" t="s">
        <v>46</v>
      </c>
      <c r="L17" s="443">
        <f t="shared" si="6"/>
        <v>14754</v>
      </c>
      <c r="M17" s="444">
        <f>'COEFIC 2023'!I9</f>
        <v>0.31068600666351365</v>
      </c>
      <c r="N17" s="445">
        <f t="shared" si="7"/>
        <v>0</v>
      </c>
      <c r="O17" s="571">
        <f t="shared" si="8"/>
        <v>0.88495575221238942</v>
      </c>
      <c r="P17" s="447">
        <f t="shared" si="9"/>
        <v>0</v>
      </c>
      <c r="Q17" s="572">
        <f t="shared" si="10"/>
        <v>0</v>
      </c>
    </row>
    <row r="18" spans="1:17" s="360" customFormat="1" x14ac:dyDescent="0.15">
      <c r="A18" s="385">
        <v>3</v>
      </c>
      <c r="B18" s="560" t="s">
        <v>49</v>
      </c>
      <c r="C18" s="548">
        <f>'COEFIC 2023'!E10</f>
        <v>23000</v>
      </c>
      <c r="D18" s="549">
        <f>'COEFIC 2023'!I10</f>
        <v>0.48432819257562787</v>
      </c>
      <c r="E18" s="550">
        <f t="shared" si="2"/>
        <v>757905.29003467376</v>
      </c>
      <c r="F18" s="549">
        <f t="shared" si="3"/>
        <v>0.88495575221238942</v>
      </c>
      <c r="G18" s="551">
        <f t="shared" si="4"/>
        <v>593498.95646017708</v>
      </c>
      <c r="H18" s="552">
        <f t="shared" si="5"/>
        <v>1351404.2464948508</v>
      </c>
      <c r="J18" s="558">
        <v>3</v>
      </c>
      <c r="K18" s="558" t="s">
        <v>49</v>
      </c>
      <c r="L18" s="443">
        <f t="shared" si="6"/>
        <v>23000</v>
      </c>
      <c r="M18" s="444">
        <f>'COEFIC 2023'!I10</f>
        <v>0.48432819257562787</v>
      </c>
      <c r="N18" s="445">
        <f t="shared" si="7"/>
        <v>0</v>
      </c>
      <c r="O18" s="571">
        <f t="shared" si="8"/>
        <v>0.88495575221238942</v>
      </c>
      <c r="P18" s="447">
        <f t="shared" si="9"/>
        <v>0</v>
      </c>
      <c r="Q18" s="572">
        <f t="shared" si="10"/>
        <v>0</v>
      </c>
    </row>
    <row r="19" spans="1:17" s="360" customFormat="1" x14ac:dyDescent="0.15">
      <c r="A19" s="385">
        <v>4</v>
      </c>
      <c r="B19" s="560" t="s">
        <v>52</v>
      </c>
      <c r="C19" s="548">
        <f>'COEFIC 2023'!E11</f>
        <v>14943</v>
      </c>
      <c r="D19" s="549">
        <f>'COEFIC 2023'!I11</f>
        <v>0.31466592094163509</v>
      </c>
      <c r="E19" s="550">
        <f t="shared" si="2"/>
        <v>492407.77169513609</v>
      </c>
      <c r="F19" s="549">
        <f t="shared" si="3"/>
        <v>0.88495575221238942</v>
      </c>
      <c r="G19" s="551">
        <f t="shared" si="4"/>
        <v>593498.95646017708</v>
      </c>
      <c r="H19" s="552">
        <f t="shared" si="5"/>
        <v>1085906.7281553131</v>
      </c>
      <c r="J19" s="558">
        <v>4</v>
      </c>
      <c r="K19" s="558" t="s">
        <v>52</v>
      </c>
      <c r="L19" s="443">
        <f t="shared" si="6"/>
        <v>14943</v>
      </c>
      <c r="M19" s="444">
        <f>'COEFIC 2023'!I11</f>
        <v>0.31466592094163509</v>
      </c>
      <c r="N19" s="445">
        <f t="shared" si="7"/>
        <v>0</v>
      </c>
      <c r="O19" s="571">
        <f t="shared" si="8"/>
        <v>0.88495575221238942</v>
      </c>
      <c r="P19" s="447">
        <f t="shared" si="9"/>
        <v>0</v>
      </c>
      <c r="Q19" s="572">
        <f t="shared" si="10"/>
        <v>0</v>
      </c>
    </row>
    <row r="20" spans="1:17" s="360" customFormat="1" x14ac:dyDescent="0.15">
      <c r="A20" s="385">
        <v>5</v>
      </c>
      <c r="B20" s="560" t="s">
        <v>54</v>
      </c>
      <c r="C20" s="548">
        <f>'COEFIC 2023'!E12</f>
        <v>10892</v>
      </c>
      <c r="D20" s="549">
        <f>'COEFIC 2023'!I12</f>
        <v>0.22936098580581471</v>
      </c>
      <c r="E20" s="550">
        <f t="shared" si="2"/>
        <v>358917.58343728981</v>
      </c>
      <c r="F20" s="549">
        <f t="shared" si="3"/>
        <v>0.88495575221238942</v>
      </c>
      <c r="G20" s="551">
        <f t="shared" si="4"/>
        <v>593498.95646017708</v>
      </c>
      <c r="H20" s="552">
        <f t="shared" si="5"/>
        <v>952416.53989746689</v>
      </c>
      <c r="J20" s="558">
        <v>5</v>
      </c>
      <c r="K20" s="558" t="s">
        <v>54</v>
      </c>
      <c r="L20" s="443">
        <f t="shared" si="6"/>
        <v>10892</v>
      </c>
      <c r="M20" s="444">
        <f>'COEFIC 2023'!I12</f>
        <v>0.22936098580581471</v>
      </c>
      <c r="N20" s="445">
        <f t="shared" si="7"/>
        <v>0</v>
      </c>
      <c r="O20" s="571">
        <f t="shared" si="8"/>
        <v>0.88495575221238942</v>
      </c>
      <c r="P20" s="447">
        <f t="shared" si="9"/>
        <v>0</v>
      </c>
      <c r="Q20" s="572">
        <f t="shared" si="10"/>
        <v>0</v>
      </c>
    </row>
    <row r="21" spans="1:17" s="360" customFormat="1" x14ac:dyDescent="0.15">
      <c r="A21" s="385">
        <v>6</v>
      </c>
      <c r="B21" s="560" t="s">
        <v>57</v>
      </c>
      <c r="C21" s="548">
        <f>'COEFIC 2023'!E13</f>
        <v>126191</v>
      </c>
      <c r="D21" s="549">
        <f>'COEFIC 2023'!I13</f>
        <v>2.6572982151874371</v>
      </c>
      <c r="E21" s="550">
        <f t="shared" si="2"/>
        <v>4158296.8023811094</v>
      </c>
      <c r="F21" s="549">
        <f t="shared" si="3"/>
        <v>0.88495575221238942</v>
      </c>
      <c r="G21" s="551">
        <f t="shared" si="4"/>
        <v>593498.95646017708</v>
      </c>
      <c r="H21" s="552">
        <f t="shared" si="5"/>
        <v>4751795.7588412864</v>
      </c>
      <c r="J21" s="558">
        <v>6</v>
      </c>
      <c r="K21" s="558" t="s">
        <v>57</v>
      </c>
      <c r="L21" s="443">
        <f t="shared" si="6"/>
        <v>126191</v>
      </c>
      <c r="M21" s="444">
        <f>'COEFIC 2023'!I13</f>
        <v>2.6572982151874371</v>
      </c>
      <c r="N21" s="445">
        <f t="shared" si="7"/>
        <v>0</v>
      </c>
      <c r="O21" s="571">
        <f t="shared" si="8"/>
        <v>0.88495575221238942</v>
      </c>
      <c r="P21" s="447">
        <f t="shared" si="9"/>
        <v>0</v>
      </c>
      <c r="Q21" s="572">
        <f t="shared" si="10"/>
        <v>0</v>
      </c>
    </row>
    <row r="22" spans="1:17" s="360" customFormat="1" x14ac:dyDescent="0.15">
      <c r="A22" s="385">
        <v>7</v>
      </c>
      <c r="B22" s="560" t="s">
        <v>44</v>
      </c>
      <c r="C22" s="548">
        <f>'COEFIC 2023'!E14</f>
        <v>3529</v>
      </c>
      <c r="D22" s="549">
        <f>'COEFIC 2023'!I14</f>
        <v>7.4312790939103937E-2</v>
      </c>
      <c r="E22" s="550">
        <f t="shared" si="2"/>
        <v>116289.03341445058</v>
      </c>
      <c r="F22" s="549">
        <f t="shared" si="3"/>
        <v>0.88495575221238942</v>
      </c>
      <c r="G22" s="551">
        <f t="shared" si="4"/>
        <v>593498.95646017708</v>
      </c>
      <c r="H22" s="552">
        <f t="shared" si="5"/>
        <v>709787.98987462767</v>
      </c>
      <c r="J22" s="558">
        <v>7</v>
      </c>
      <c r="K22" s="558" t="s">
        <v>44</v>
      </c>
      <c r="L22" s="443">
        <f t="shared" si="6"/>
        <v>3529</v>
      </c>
      <c r="M22" s="444">
        <f>'COEFIC 2023'!I14</f>
        <v>7.4312790939103937E-2</v>
      </c>
      <c r="N22" s="445">
        <f t="shared" si="7"/>
        <v>0</v>
      </c>
      <c r="O22" s="571">
        <f t="shared" si="8"/>
        <v>0.88495575221238942</v>
      </c>
      <c r="P22" s="447">
        <f t="shared" si="9"/>
        <v>0</v>
      </c>
      <c r="Q22" s="572">
        <f t="shared" si="10"/>
        <v>0</v>
      </c>
    </row>
    <row r="23" spans="1:17" s="360" customFormat="1" x14ac:dyDescent="0.15">
      <c r="A23" s="385">
        <v>8</v>
      </c>
      <c r="B23" s="560" t="s">
        <v>59</v>
      </c>
      <c r="C23" s="548">
        <f>'COEFIC 2023'!E15</f>
        <v>24676</v>
      </c>
      <c r="D23" s="549">
        <f>'COEFIC 2023'!I15</f>
        <v>0.51962097739113877</v>
      </c>
      <c r="E23" s="550">
        <f t="shared" si="2"/>
        <v>813133.51899546117</v>
      </c>
      <c r="F23" s="549">
        <f t="shared" si="3"/>
        <v>0.88495575221238942</v>
      </c>
      <c r="G23" s="551">
        <f t="shared" si="4"/>
        <v>593498.95646017708</v>
      </c>
      <c r="H23" s="552">
        <f t="shared" si="5"/>
        <v>1406632.4754556383</v>
      </c>
      <c r="J23" s="558">
        <v>8</v>
      </c>
      <c r="K23" s="558" t="s">
        <v>59</v>
      </c>
      <c r="L23" s="443">
        <f t="shared" si="6"/>
        <v>24676</v>
      </c>
      <c r="M23" s="444">
        <f>'COEFIC 2023'!I15</f>
        <v>0.51962097739113877</v>
      </c>
      <c r="N23" s="445">
        <f t="shared" si="7"/>
        <v>0</v>
      </c>
      <c r="O23" s="571">
        <f t="shared" si="8"/>
        <v>0.88495575221238942</v>
      </c>
      <c r="P23" s="447">
        <f t="shared" si="9"/>
        <v>0</v>
      </c>
      <c r="Q23" s="572">
        <f t="shared" si="10"/>
        <v>0</v>
      </c>
    </row>
    <row r="24" spans="1:17" s="360" customFormat="1" x14ac:dyDescent="0.15">
      <c r="A24" s="385">
        <v>9</v>
      </c>
      <c r="B24" s="560" t="s">
        <v>342</v>
      </c>
      <c r="C24" s="548">
        <f>'COEFIC 2023'!E16</f>
        <v>36268</v>
      </c>
      <c r="D24" s="549">
        <f>'COEFIC 2023'!I16</f>
        <v>0.76372238644925527</v>
      </c>
      <c r="E24" s="550">
        <f t="shared" si="2"/>
        <v>1195117.7851729367</v>
      </c>
      <c r="F24" s="549">
        <f t="shared" si="3"/>
        <v>0.88495575221238942</v>
      </c>
      <c r="G24" s="551">
        <f t="shared" si="4"/>
        <v>593498.95646017708</v>
      </c>
      <c r="H24" s="552">
        <f t="shared" si="5"/>
        <v>1788616.7416331139</v>
      </c>
      <c r="J24" s="558">
        <v>9</v>
      </c>
      <c r="K24" s="558" t="s">
        <v>342</v>
      </c>
      <c r="L24" s="443">
        <f t="shared" si="6"/>
        <v>36268</v>
      </c>
      <c r="M24" s="444">
        <f>'COEFIC 2023'!I16</f>
        <v>0.76372238644925527</v>
      </c>
      <c r="N24" s="445">
        <f t="shared" si="7"/>
        <v>0</v>
      </c>
      <c r="O24" s="571">
        <f t="shared" si="8"/>
        <v>0.88495575221238942</v>
      </c>
      <c r="P24" s="447">
        <f t="shared" si="9"/>
        <v>0</v>
      </c>
      <c r="Q24" s="572">
        <f t="shared" si="10"/>
        <v>0</v>
      </c>
    </row>
    <row r="25" spans="1:17" s="360" customFormat="1" x14ac:dyDescent="0.15">
      <c r="A25" s="385">
        <v>10</v>
      </c>
      <c r="B25" s="560" t="s">
        <v>64</v>
      </c>
      <c r="C25" s="548">
        <f>'COEFIC 2023'!E17</f>
        <v>20332</v>
      </c>
      <c r="D25" s="549">
        <f>'COEFIC 2023'!I17</f>
        <v>0.428146122236855</v>
      </c>
      <c r="E25" s="550">
        <f t="shared" si="2"/>
        <v>669988.27639065159</v>
      </c>
      <c r="F25" s="549">
        <f t="shared" si="3"/>
        <v>0.88495575221238942</v>
      </c>
      <c r="G25" s="551">
        <f t="shared" si="4"/>
        <v>593498.95646017708</v>
      </c>
      <c r="H25" s="552">
        <f t="shared" si="5"/>
        <v>1263487.2328508287</v>
      </c>
      <c r="J25" s="558">
        <v>10</v>
      </c>
      <c r="K25" s="558" t="s">
        <v>64</v>
      </c>
      <c r="L25" s="443">
        <f t="shared" si="6"/>
        <v>20332</v>
      </c>
      <c r="M25" s="444">
        <f>'COEFIC 2023'!I17</f>
        <v>0.428146122236855</v>
      </c>
      <c r="N25" s="445">
        <f t="shared" si="7"/>
        <v>0</v>
      </c>
      <c r="O25" s="571">
        <f t="shared" si="8"/>
        <v>0.88495575221238942</v>
      </c>
      <c r="P25" s="447">
        <f t="shared" si="9"/>
        <v>0</v>
      </c>
      <c r="Q25" s="572">
        <f t="shared" si="10"/>
        <v>0</v>
      </c>
    </row>
    <row r="26" spans="1:17" s="360" customFormat="1" x14ac:dyDescent="0.15">
      <c r="A26" s="385">
        <v>11</v>
      </c>
      <c r="B26" s="560" t="s">
        <v>343</v>
      </c>
      <c r="C26" s="548">
        <f>'COEFIC 2023'!E18</f>
        <v>11681</v>
      </c>
      <c r="D26" s="549">
        <f>'COEFIC 2023'!I18</f>
        <v>0.24597554858590909</v>
      </c>
      <c r="E26" s="550">
        <f t="shared" si="2"/>
        <v>384917.0301258706</v>
      </c>
      <c r="F26" s="549">
        <f t="shared" si="3"/>
        <v>0.88495575221238942</v>
      </c>
      <c r="G26" s="551">
        <f t="shared" si="4"/>
        <v>593498.95646017708</v>
      </c>
      <c r="H26" s="552">
        <f t="shared" si="5"/>
        <v>978415.98658604769</v>
      </c>
      <c r="J26" s="558">
        <v>11</v>
      </c>
      <c r="K26" s="558" t="s">
        <v>343</v>
      </c>
      <c r="L26" s="443">
        <f t="shared" si="6"/>
        <v>11681</v>
      </c>
      <c r="M26" s="444">
        <f>'COEFIC 2023'!I18</f>
        <v>0.24597554858590909</v>
      </c>
      <c r="N26" s="445">
        <f t="shared" si="7"/>
        <v>0</v>
      </c>
      <c r="O26" s="571">
        <f t="shared" si="8"/>
        <v>0.88495575221238942</v>
      </c>
      <c r="P26" s="447">
        <f t="shared" si="9"/>
        <v>0</v>
      </c>
      <c r="Q26" s="572">
        <f t="shared" si="10"/>
        <v>0</v>
      </c>
    </row>
    <row r="27" spans="1:17" s="360" customFormat="1" x14ac:dyDescent="0.15">
      <c r="A27" s="385">
        <v>12</v>
      </c>
      <c r="B27" s="560" t="s">
        <v>70</v>
      </c>
      <c r="C27" s="548">
        <f>'COEFIC 2023'!E19</f>
        <v>45538</v>
      </c>
      <c r="D27" s="549">
        <f>'COEFIC 2023'!I19</f>
        <v>0.95892770580473663</v>
      </c>
      <c r="E27" s="550">
        <f t="shared" si="2"/>
        <v>1500586.5694608248</v>
      </c>
      <c r="F27" s="549">
        <f t="shared" si="3"/>
        <v>0.88495575221238942</v>
      </c>
      <c r="G27" s="551">
        <f t="shared" si="4"/>
        <v>593498.95646017708</v>
      </c>
      <c r="H27" s="552">
        <f t="shared" si="5"/>
        <v>2094085.525921002</v>
      </c>
      <c r="J27" s="558">
        <v>12</v>
      </c>
      <c r="K27" s="558" t="s">
        <v>70</v>
      </c>
      <c r="L27" s="443">
        <f t="shared" si="6"/>
        <v>45538</v>
      </c>
      <c r="M27" s="444">
        <f>'COEFIC 2023'!I19</f>
        <v>0.95892770580473663</v>
      </c>
      <c r="N27" s="445">
        <f t="shared" si="7"/>
        <v>0</v>
      </c>
      <c r="O27" s="571">
        <f t="shared" si="8"/>
        <v>0.88495575221238942</v>
      </c>
      <c r="P27" s="447">
        <f t="shared" si="9"/>
        <v>0</v>
      </c>
      <c r="Q27" s="572">
        <f t="shared" si="10"/>
        <v>0</v>
      </c>
    </row>
    <row r="28" spans="1:17" s="360" customFormat="1" x14ac:dyDescent="0.15">
      <c r="A28" s="385">
        <v>13</v>
      </c>
      <c r="B28" s="560" t="s">
        <v>73</v>
      </c>
      <c r="C28" s="548">
        <f>'COEFIC 2023'!E20</f>
        <v>9176</v>
      </c>
      <c r="D28" s="549">
        <f>'COEFIC 2023'!I20</f>
        <v>0.19322589109017221</v>
      </c>
      <c r="E28" s="550">
        <f t="shared" si="2"/>
        <v>302371.25831992028</v>
      </c>
      <c r="F28" s="549">
        <f t="shared" si="3"/>
        <v>0.88495575221238942</v>
      </c>
      <c r="G28" s="551">
        <f t="shared" si="4"/>
        <v>593498.95646017708</v>
      </c>
      <c r="H28" s="552">
        <f t="shared" si="5"/>
        <v>895870.21478009736</v>
      </c>
      <c r="J28" s="558">
        <v>13</v>
      </c>
      <c r="K28" s="558" t="s">
        <v>73</v>
      </c>
      <c r="L28" s="443">
        <f t="shared" si="6"/>
        <v>9176</v>
      </c>
      <c r="M28" s="444">
        <f>'COEFIC 2023'!I20</f>
        <v>0.19322589109017221</v>
      </c>
      <c r="N28" s="445">
        <f t="shared" si="7"/>
        <v>0</v>
      </c>
      <c r="O28" s="571">
        <f t="shared" si="8"/>
        <v>0.88495575221238942</v>
      </c>
      <c r="P28" s="447">
        <f t="shared" si="9"/>
        <v>0</v>
      </c>
      <c r="Q28" s="572">
        <f t="shared" si="10"/>
        <v>0</v>
      </c>
    </row>
    <row r="29" spans="1:17" s="360" customFormat="1" x14ac:dyDescent="0.15">
      <c r="A29" s="385">
        <v>14</v>
      </c>
      <c r="B29" s="560" t="s">
        <v>75</v>
      </c>
      <c r="C29" s="548">
        <f>'COEFIC 2023'!E21</f>
        <v>17022</v>
      </c>
      <c r="D29" s="549">
        <f>'COEFIC 2023'!I21</f>
        <v>0.35844497800097119</v>
      </c>
      <c r="E29" s="550">
        <f t="shared" si="2"/>
        <v>560915.8194334876</v>
      </c>
      <c r="F29" s="549">
        <f t="shared" si="3"/>
        <v>0.88495575221238942</v>
      </c>
      <c r="G29" s="551">
        <f t="shared" si="4"/>
        <v>593498.95646017708</v>
      </c>
      <c r="H29" s="552">
        <f t="shared" si="5"/>
        <v>1154414.7758936647</v>
      </c>
      <c r="J29" s="558">
        <v>14</v>
      </c>
      <c r="K29" s="558" t="s">
        <v>75</v>
      </c>
      <c r="L29" s="443">
        <f t="shared" si="6"/>
        <v>17022</v>
      </c>
      <c r="M29" s="444">
        <f>'COEFIC 2023'!I21</f>
        <v>0.35844497800097119</v>
      </c>
      <c r="N29" s="445">
        <f t="shared" si="7"/>
        <v>0</v>
      </c>
      <c r="O29" s="571">
        <f t="shared" si="8"/>
        <v>0.88495575221238942</v>
      </c>
      <c r="P29" s="447">
        <f t="shared" si="9"/>
        <v>0</v>
      </c>
      <c r="Q29" s="572">
        <f t="shared" si="10"/>
        <v>0</v>
      </c>
    </row>
    <row r="30" spans="1:17" s="360" customFormat="1" ht="22.5" x14ac:dyDescent="0.15">
      <c r="A30" s="385">
        <v>15</v>
      </c>
      <c r="B30" s="561" t="s">
        <v>77</v>
      </c>
      <c r="C30" s="548">
        <f>'COEFIC 2023'!E22</f>
        <v>19633</v>
      </c>
      <c r="D30" s="549">
        <f>'COEFIC 2023'!I22</f>
        <v>0.41342675673205659</v>
      </c>
      <c r="E30" s="550">
        <f t="shared" si="2"/>
        <v>646954.54605438048</v>
      </c>
      <c r="F30" s="549">
        <f t="shared" si="3"/>
        <v>0.88495575221238942</v>
      </c>
      <c r="G30" s="551">
        <f t="shared" si="4"/>
        <v>593498.95646017708</v>
      </c>
      <c r="H30" s="552">
        <f t="shared" si="5"/>
        <v>1240453.5025145574</v>
      </c>
      <c r="J30" s="558">
        <v>15</v>
      </c>
      <c r="K30" s="559" t="s">
        <v>77</v>
      </c>
      <c r="L30" s="443">
        <f t="shared" si="6"/>
        <v>19633</v>
      </c>
      <c r="M30" s="444">
        <f>'COEFIC 2023'!I22</f>
        <v>0.41342675673205659</v>
      </c>
      <c r="N30" s="445">
        <f t="shared" si="7"/>
        <v>0</v>
      </c>
      <c r="O30" s="571">
        <f t="shared" si="8"/>
        <v>0.88495575221238942</v>
      </c>
      <c r="P30" s="447">
        <f t="shared" si="9"/>
        <v>0</v>
      </c>
      <c r="Q30" s="572">
        <f t="shared" si="10"/>
        <v>0</v>
      </c>
    </row>
    <row r="31" spans="1:17" s="360" customFormat="1" x14ac:dyDescent="0.15">
      <c r="A31" s="385">
        <v>16</v>
      </c>
      <c r="B31" s="560" t="s">
        <v>79</v>
      </c>
      <c r="C31" s="548">
        <f>'COEFIC 2023'!E23</f>
        <v>20965</v>
      </c>
      <c r="D31" s="549">
        <f>'COEFIC 2023'!I23</f>
        <v>0.44147567640643642</v>
      </c>
      <c r="E31" s="550">
        <f t="shared" si="2"/>
        <v>690847.14806856238</v>
      </c>
      <c r="F31" s="549">
        <f t="shared" si="3"/>
        <v>0.88495575221238942</v>
      </c>
      <c r="G31" s="551">
        <f t="shared" si="4"/>
        <v>593498.95646017708</v>
      </c>
      <c r="H31" s="552">
        <f t="shared" si="5"/>
        <v>1284346.1045287396</v>
      </c>
      <c r="J31" s="558">
        <v>16</v>
      </c>
      <c r="K31" s="558" t="s">
        <v>79</v>
      </c>
      <c r="L31" s="443">
        <f t="shared" si="6"/>
        <v>20965</v>
      </c>
      <c r="M31" s="444">
        <f>'COEFIC 2023'!I23</f>
        <v>0.44147567640643642</v>
      </c>
      <c r="N31" s="445">
        <f t="shared" si="7"/>
        <v>0</v>
      </c>
      <c r="O31" s="571">
        <f t="shared" si="8"/>
        <v>0.88495575221238942</v>
      </c>
      <c r="P31" s="447">
        <f t="shared" si="9"/>
        <v>0</v>
      </c>
      <c r="Q31" s="572">
        <f t="shared" si="10"/>
        <v>0</v>
      </c>
    </row>
    <row r="32" spans="1:17" s="360" customFormat="1" x14ac:dyDescent="0.15">
      <c r="A32" s="385">
        <v>17</v>
      </c>
      <c r="B32" s="560" t="s">
        <v>81</v>
      </c>
      <c r="C32" s="548">
        <f>'COEFIC 2023'!E24</f>
        <v>35070</v>
      </c>
      <c r="D32" s="549">
        <f>'COEFIC 2023'!I24</f>
        <v>0.73849520494031606</v>
      </c>
      <c r="E32" s="550">
        <f t="shared" si="2"/>
        <v>1155640.8052833048</v>
      </c>
      <c r="F32" s="549">
        <f t="shared" si="3"/>
        <v>0.88495575221238942</v>
      </c>
      <c r="G32" s="551">
        <f t="shared" si="4"/>
        <v>593498.95646017708</v>
      </c>
      <c r="H32" s="552">
        <f t="shared" si="5"/>
        <v>1749139.7617434817</v>
      </c>
      <c r="J32" s="558">
        <v>17</v>
      </c>
      <c r="K32" s="558" t="s">
        <v>81</v>
      </c>
      <c r="L32" s="443">
        <f t="shared" si="6"/>
        <v>35070</v>
      </c>
      <c r="M32" s="444">
        <f>'COEFIC 2023'!I24</f>
        <v>0.73849520494031606</v>
      </c>
      <c r="N32" s="445">
        <f t="shared" si="7"/>
        <v>0</v>
      </c>
      <c r="O32" s="571">
        <f t="shared" si="8"/>
        <v>0.88495575221238942</v>
      </c>
      <c r="P32" s="447">
        <f t="shared" si="9"/>
        <v>0</v>
      </c>
      <c r="Q32" s="572">
        <f t="shared" si="10"/>
        <v>0</v>
      </c>
    </row>
    <row r="33" spans="1:17" s="360" customFormat="1" x14ac:dyDescent="0.15">
      <c r="A33" s="385">
        <v>18</v>
      </c>
      <c r="B33" s="560" t="s">
        <v>82</v>
      </c>
      <c r="C33" s="548">
        <f>'COEFIC 2023'!E25</f>
        <v>9484</v>
      </c>
      <c r="D33" s="549">
        <f>'COEFIC 2023'!I25</f>
        <v>0.19971167732118497</v>
      </c>
      <c r="E33" s="550">
        <f t="shared" si="2"/>
        <v>312520.59872560197</v>
      </c>
      <c r="F33" s="549">
        <f t="shared" si="3"/>
        <v>0.88495575221238942</v>
      </c>
      <c r="G33" s="551">
        <f t="shared" si="4"/>
        <v>593498.95646017708</v>
      </c>
      <c r="H33" s="552">
        <f t="shared" si="5"/>
        <v>906019.555185779</v>
      </c>
      <c r="J33" s="558">
        <v>18</v>
      </c>
      <c r="K33" s="558" t="s">
        <v>82</v>
      </c>
      <c r="L33" s="443">
        <f t="shared" si="6"/>
        <v>9484</v>
      </c>
      <c r="M33" s="444">
        <f>'COEFIC 2023'!I25</f>
        <v>0.19971167732118497</v>
      </c>
      <c r="N33" s="445">
        <f t="shared" si="7"/>
        <v>0</v>
      </c>
      <c r="O33" s="571">
        <f t="shared" si="8"/>
        <v>0.88495575221238942</v>
      </c>
      <c r="P33" s="447">
        <f t="shared" si="9"/>
        <v>0</v>
      </c>
      <c r="Q33" s="572">
        <f t="shared" si="10"/>
        <v>0</v>
      </c>
    </row>
    <row r="34" spans="1:17" s="360" customFormat="1" x14ac:dyDescent="0.15">
      <c r="A34" s="385">
        <v>19</v>
      </c>
      <c r="B34" s="560" t="s">
        <v>344</v>
      </c>
      <c r="C34" s="548">
        <f>'COEFIC 2023'!E26</f>
        <v>20198</v>
      </c>
      <c r="D34" s="549">
        <f>'COEFIC 2023'!I26</f>
        <v>0.42532438407141443</v>
      </c>
      <c r="E34" s="550">
        <f t="shared" si="2"/>
        <v>665572.65426610177</v>
      </c>
      <c r="F34" s="549">
        <f t="shared" si="3"/>
        <v>0.88495575221238942</v>
      </c>
      <c r="G34" s="551">
        <f t="shared" si="4"/>
        <v>593498.95646017708</v>
      </c>
      <c r="H34" s="552">
        <f t="shared" si="5"/>
        <v>1259071.6107262787</v>
      </c>
      <c r="J34" s="558">
        <v>19</v>
      </c>
      <c r="K34" s="558" t="s">
        <v>344</v>
      </c>
      <c r="L34" s="443">
        <f t="shared" si="6"/>
        <v>20198</v>
      </c>
      <c r="M34" s="444">
        <f>'COEFIC 2023'!I26</f>
        <v>0.42532438407141443</v>
      </c>
      <c r="N34" s="445">
        <f t="shared" si="7"/>
        <v>0</v>
      </c>
      <c r="O34" s="571">
        <f t="shared" si="8"/>
        <v>0.88495575221238942</v>
      </c>
      <c r="P34" s="447">
        <f t="shared" si="9"/>
        <v>0</v>
      </c>
      <c r="Q34" s="572">
        <f t="shared" si="10"/>
        <v>0</v>
      </c>
    </row>
    <row r="35" spans="1:17" s="360" customFormat="1" x14ac:dyDescent="0.15">
      <c r="A35" s="385">
        <v>20</v>
      </c>
      <c r="B35" s="560" t="s">
        <v>87</v>
      </c>
      <c r="C35" s="548">
        <f>'COEFIC 2023'!E27</f>
        <v>29910</v>
      </c>
      <c r="D35" s="549">
        <f>'COEFIC 2023'!I27</f>
        <v>0.62983722782334906</v>
      </c>
      <c r="E35" s="550">
        <f t="shared" si="2"/>
        <v>985606.40108422143</v>
      </c>
      <c r="F35" s="549">
        <f t="shared" si="3"/>
        <v>0.88495575221238942</v>
      </c>
      <c r="G35" s="551">
        <f t="shared" si="4"/>
        <v>593498.95646017708</v>
      </c>
      <c r="H35" s="552">
        <f t="shared" si="5"/>
        <v>1579105.3575443984</v>
      </c>
      <c r="J35" s="558">
        <v>20</v>
      </c>
      <c r="K35" s="558" t="s">
        <v>87</v>
      </c>
      <c r="L35" s="443">
        <f t="shared" si="6"/>
        <v>29910</v>
      </c>
      <c r="M35" s="444">
        <f>'COEFIC 2023'!I27</f>
        <v>0.62983722782334906</v>
      </c>
      <c r="N35" s="445">
        <f t="shared" si="7"/>
        <v>0</v>
      </c>
      <c r="O35" s="571">
        <f t="shared" si="8"/>
        <v>0.88495575221238942</v>
      </c>
      <c r="P35" s="447">
        <f t="shared" si="9"/>
        <v>0</v>
      </c>
      <c r="Q35" s="572">
        <f t="shared" si="10"/>
        <v>0</v>
      </c>
    </row>
    <row r="36" spans="1:17" s="360" customFormat="1" x14ac:dyDescent="0.15">
      <c r="A36" s="385">
        <v>21</v>
      </c>
      <c r="B36" s="560" t="s">
        <v>88</v>
      </c>
      <c r="C36" s="548">
        <f>'COEFIC 2023'!E28</f>
        <v>13539</v>
      </c>
      <c r="D36" s="549">
        <f>'COEFIC 2023'!I28</f>
        <v>0.28510084344701853</v>
      </c>
      <c r="E36" s="550">
        <f t="shared" si="2"/>
        <v>446142.5965991065</v>
      </c>
      <c r="F36" s="549">
        <f t="shared" si="3"/>
        <v>0.88495575221238942</v>
      </c>
      <c r="G36" s="551">
        <f t="shared" si="4"/>
        <v>593498.95646017708</v>
      </c>
      <c r="H36" s="552">
        <f t="shared" si="5"/>
        <v>1039641.5530592836</v>
      </c>
      <c r="J36" s="558">
        <v>21</v>
      </c>
      <c r="K36" s="558" t="s">
        <v>88</v>
      </c>
      <c r="L36" s="443">
        <f t="shared" si="6"/>
        <v>13539</v>
      </c>
      <c r="M36" s="444">
        <f>'COEFIC 2023'!I28</f>
        <v>0.28510084344701853</v>
      </c>
      <c r="N36" s="445">
        <f t="shared" si="7"/>
        <v>0</v>
      </c>
      <c r="O36" s="571">
        <f t="shared" si="8"/>
        <v>0.88495575221238942</v>
      </c>
      <c r="P36" s="447">
        <f t="shared" si="9"/>
        <v>0</v>
      </c>
      <c r="Q36" s="572">
        <f t="shared" si="10"/>
        <v>0</v>
      </c>
    </row>
    <row r="37" spans="1:17" s="360" customFormat="1" x14ac:dyDescent="0.15">
      <c r="A37" s="385">
        <v>22</v>
      </c>
      <c r="B37" s="560" t="s">
        <v>91</v>
      </c>
      <c r="C37" s="548">
        <f>'COEFIC 2023'!E29</f>
        <v>25138</v>
      </c>
      <c r="D37" s="549">
        <f>'COEFIC 2023'!I29</f>
        <v>0.52934965673765799</v>
      </c>
      <c r="E37" s="550">
        <f t="shared" si="2"/>
        <v>828357.52960398386</v>
      </c>
      <c r="F37" s="549">
        <f t="shared" si="3"/>
        <v>0.88495575221238942</v>
      </c>
      <c r="G37" s="551">
        <f t="shared" si="4"/>
        <v>593498.95646017708</v>
      </c>
      <c r="H37" s="552">
        <f t="shared" si="5"/>
        <v>1421856.4860641609</v>
      </c>
      <c r="J37" s="558">
        <v>22</v>
      </c>
      <c r="K37" s="558" t="s">
        <v>91</v>
      </c>
      <c r="L37" s="443">
        <f t="shared" si="6"/>
        <v>25138</v>
      </c>
      <c r="M37" s="444">
        <f>'COEFIC 2023'!I29</f>
        <v>0.52934965673765799</v>
      </c>
      <c r="N37" s="445">
        <f t="shared" si="7"/>
        <v>0</v>
      </c>
      <c r="O37" s="571">
        <f t="shared" si="8"/>
        <v>0.88495575221238942</v>
      </c>
      <c r="P37" s="447">
        <f t="shared" si="9"/>
        <v>0</v>
      </c>
      <c r="Q37" s="572">
        <f t="shared" si="10"/>
        <v>0</v>
      </c>
    </row>
    <row r="38" spans="1:17" s="360" customFormat="1" x14ac:dyDescent="0.15">
      <c r="A38" s="385">
        <v>23</v>
      </c>
      <c r="B38" s="560" t="s">
        <v>60</v>
      </c>
      <c r="C38" s="548">
        <f>'COEFIC 2023'!E30</f>
        <v>10417</v>
      </c>
      <c r="D38" s="549">
        <f>'COEFIC 2023'!I30</f>
        <v>0.21935855574175284</v>
      </c>
      <c r="E38" s="550">
        <f t="shared" si="2"/>
        <v>343265.19157787808</v>
      </c>
      <c r="F38" s="549">
        <f t="shared" si="3"/>
        <v>0.88495575221238942</v>
      </c>
      <c r="G38" s="551">
        <f t="shared" si="4"/>
        <v>593498.95646017708</v>
      </c>
      <c r="H38" s="552">
        <f t="shared" si="5"/>
        <v>936764.14803805517</v>
      </c>
      <c r="J38" s="558">
        <v>23</v>
      </c>
      <c r="K38" s="558" t="s">
        <v>60</v>
      </c>
      <c r="L38" s="443">
        <f t="shared" si="6"/>
        <v>10417</v>
      </c>
      <c r="M38" s="444">
        <f>'COEFIC 2023'!I30</f>
        <v>0.21935855574175284</v>
      </c>
      <c r="N38" s="445">
        <f t="shared" si="7"/>
        <v>0</v>
      </c>
      <c r="O38" s="571">
        <f t="shared" si="8"/>
        <v>0.88495575221238942</v>
      </c>
      <c r="P38" s="447">
        <f t="shared" si="9"/>
        <v>0</v>
      </c>
      <c r="Q38" s="572">
        <f t="shared" si="10"/>
        <v>0</v>
      </c>
    </row>
    <row r="39" spans="1:17" s="360" customFormat="1" x14ac:dyDescent="0.15">
      <c r="A39" s="385">
        <v>24</v>
      </c>
      <c r="B39" s="560" t="s">
        <v>95</v>
      </c>
      <c r="C39" s="548">
        <f>'COEFIC 2023'!E31</f>
        <v>20586</v>
      </c>
      <c r="D39" s="549">
        <f>'COEFIC 2023'!I31</f>
        <v>0.43349479010269021</v>
      </c>
      <c r="E39" s="550">
        <f t="shared" si="2"/>
        <v>678358.18698494753</v>
      </c>
      <c r="F39" s="549">
        <f t="shared" si="3"/>
        <v>0.88495575221238942</v>
      </c>
      <c r="G39" s="551">
        <f t="shared" si="4"/>
        <v>593498.95646017708</v>
      </c>
      <c r="H39" s="552">
        <f t="shared" si="5"/>
        <v>1271857.1434451246</v>
      </c>
      <c r="J39" s="558">
        <v>24</v>
      </c>
      <c r="K39" s="558" t="s">
        <v>95</v>
      </c>
      <c r="L39" s="443">
        <f t="shared" si="6"/>
        <v>20586</v>
      </c>
      <c r="M39" s="444">
        <f>'COEFIC 2023'!I31</f>
        <v>0.43349479010269021</v>
      </c>
      <c r="N39" s="445">
        <f t="shared" si="7"/>
        <v>0</v>
      </c>
      <c r="O39" s="571">
        <f t="shared" si="8"/>
        <v>0.88495575221238942</v>
      </c>
      <c r="P39" s="447">
        <f t="shared" si="9"/>
        <v>0</v>
      </c>
      <c r="Q39" s="572">
        <f t="shared" si="10"/>
        <v>0</v>
      </c>
    </row>
    <row r="40" spans="1:17" s="360" customFormat="1" x14ac:dyDescent="0.15">
      <c r="A40" s="385">
        <v>25</v>
      </c>
      <c r="B40" s="560" t="s">
        <v>97</v>
      </c>
      <c r="C40" s="548">
        <f>'COEFIC 2023'!E32</f>
        <v>40560</v>
      </c>
      <c r="D40" s="549">
        <f>'COEFIC 2023'!I32</f>
        <v>0.8541022387333681</v>
      </c>
      <c r="E40" s="550">
        <f t="shared" si="2"/>
        <v>1336549.5027741899</v>
      </c>
      <c r="F40" s="549">
        <f t="shared" si="3"/>
        <v>0.88495575221238942</v>
      </c>
      <c r="G40" s="551">
        <f t="shared" si="4"/>
        <v>593498.95646017708</v>
      </c>
      <c r="H40" s="552">
        <f t="shared" si="5"/>
        <v>1930048.4592343671</v>
      </c>
      <c r="J40" s="558">
        <v>25</v>
      </c>
      <c r="K40" s="558" t="s">
        <v>97</v>
      </c>
      <c r="L40" s="443">
        <f t="shared" si="6"/>
        <v>40560</v>
      </c>
      <c r="M40" s="444">
        <f>'COEFIC 2023'!I32</f>
        <v>0.8541022387333681</v>
      </c>
      <c r="N40" s="445">
        <f t="shared" si="7"/>
        <v>0</v>
      </c>
      <c r="O40" s="571">
        <f t="shared" si="8"/>
        <v>0.88495575221238942</v>
      </c>
      <c r="P40" s="447">
        <f t="shared" si="9"/>
        <v>0</v>
      </c>
      <c r="Q40" s="572">
        <f t="shared" si="10"/>
        <v>0</v>
      </c>
    </row>
    <row r="41" spans="1:17" s="360" customFormat="1" x14ac:dyDescent="0.15">
      <c r="A41" s="385">
        <v>26</v>
      </c>
      <c r="B41" s="560" t="s">
        <v>345</v>
      </c>
      <c r="C41" s="548">
        <f>'COEFIC 2023'!E33</f>
        <v>4773</v>
      </c>
      <c r="D41" s="549">
        <f>'COEFIC 2023'!I33</f>
        <v>0.10050862883319442</v>
      </c>
      <c r="E41" s="550">
        <f t="shared" si="2"/>
        <v>157281.82388415205</v>
      </c>
      <c r="F41" s="549">
        <f t="shared" si="3"/>
        <v>0.88495575221238942</v>
      </c>
      <c r="G41" s="551">
        <f t="shared" si="4"/>
        <v>593498.95646017708</v>
      </c>
      <c r="H41" s="552">
        <f t="shared" si="5"/>
        <v>750780.78034432908</v>
      </c>
      <c r="J41" s="558">
        <v>26</v>
      </c>
      <c r="K41" s="558" t="s">
        <v>345</v>
      </c>
      <c r="L41" s="443">
        <f t="shared" si="6"/>
        <v>4773</v>
      </c>
      <c r="M41" s="444">
        <f>'COEFIC 2023'!I33</f>
        <v>0.10050862883319442</v>
      </c>
      <c r="N41" s="445">
        <f t="shared" si="7"/>
        <v>0</v>
      </c>
      <c r="O41" s="571">
        <f t="shared" si="8"/>
        <v>0.88495575221238942</v>
      </c>
      <c r="P41" s="447">
        <f t="shared" si="9"/>
        <v>0</v>
      </c>
      <c r="Q41" s="572">
        <f t="shared" si="10"/>
        <v>0</v>
      </c>
    </row>
    <row r="42" spans="1:17" s="360" customFormat="1" x14ac:dyDescent="0.15">
      <c r="A42" s="385">
        <v>27</v>
      </c>
      <c r="B42" s="560" t="s">
        <v>71</v>
      </c>
      <c r="C42" s="548">
        <f>'COEFIC 2023'!E34</f>
        <v>4944</v>
      </c>
      <c r="D42" s="549">
        <f>'COEFIC 2023'!I34</f>
        <v>0.10410950365625671</v>
      </c>
      <c r="E42" s="550">
        <f t="shared" si="2"/>
        <v>162916.68495354033</v>
      </c>
      <c r="F42" s="549">
        <f t="shared" si="3"/>
        <v>0.88495575221238942</v>
      </c>
      <c r="G42" s="551">
        <f t="shared" si="4"/>
        <v>593498.95646017708</v>
      </c>
      <c r="H42" s="552">
        <f t="shared" si="5"/>
        <v>756415.64141371741</v>
      </c>
      <c r="J42" s="558">
        <v>27</v>
      </c>
      <c r="K42" s="558" t="s">
        <v>71</v>
      </c>
      <c r="L42" s="443">
        <f t="shared" si="6"/>
        <v>4944</v>
      </c>
      <c r="M42" s="444">
        <f>'COEFIC 2023'!I34</f>
        <v>0.10410950365625671</v>
      </c>
      <c r="N42" s="445">
        <f t="shared" si="7"/>
        <v>0</v>
      </c>
      <c r="O42" s="571">
        <f t="shared" si="8"/>
        <v>0.88495575221238942</v>
      </c>
      <c r="P42" s="447">
        <f t="shared" si="9"/>
        <v>0</v>
      </c>
      <c r="Q42" s="572">
        <f t="shared" si="10"/>
        <v>0</v>
      </c>
    </row>
    <row r="43" spans="1:17" s="360" customFormat="1" x14ac:dyDescent="0.15">
      <c r="A43" s="385">
        <v>28</v>
      </c>
      <c r="B43" s="560" t="s">
        <v>72</v>
      </c>
      <c r="C43" s="548">
        <f>'COEFIC 2023'!E35</f>
        <v>5233</v>
      </c>
      <c r="D43" s="549">
        <f>'COEFIC 2023'!I35</f>
        <v>0.11019519268470698</v>
      </c>
      <c r="E43" s="550">
        <f t="shared" si="2"/>
        <v>172439.92968484556</v>
      </c>
      <c r="F43" s="549">
        <f t="shared" si="3"/>
        <v>0.88495575221238942</v>
      </c>
      <c r="G43" s="551">
        <f t="shared" si="4"/>
        <v>593498.95646017708</v>
      </c>
      <c r="H43" s="552">
        <f t="shared" si="5"/>
        <v>765938.8861450227</v>
      </c>
      <c r="J43" s="558">
        <v>28</v>
      </c>
      <c r="K43" s="558" t="s">
        <v>72</v>
      </c>
      <c r="L43" s="443">
        <f t="shared" si="6"/>
        <v>5233</v>
      </c>
      <c r="M43" s="444">
        <f>'COEFIC 2023'!I35</f>
        <v>0.11019519268470698</v>
      </c>
      <c r="N43" s="445">
        <f t="shared" si="7"/>
        <v>0</v>
      </c>
      <c r="O43" s="571">
        <f t="shared" si="8"/>
        <v>0.88495575221238942</v>
      </c>
      <c r="P43" s="447">
        <f t="shared" si="9"/>
        <v>0</v>
      </c>
      <c r="Q43" s="572">
        <f t="shared" si="10"/>
        <v>0</v>
      </c>
    </row>
    <row r="44" spans="1:17" s="360" customFormat="1" x14ac:dyDescent="0.15">
      <c r="A44" s="385">
        <v>29</v>
      </c>
      <c r="B44" s="560" t="s">
        <v>61</v>
      </c>
      <c r="C44" s="548">
        <f>'COEFIC 2023'!E36</f>
        <v>12342</v>
      </c>
      <c r="D44" s="549">
        <f>'COEFIC 2023'!I36</f>
        <v>0.25989471968558259</v>
      </c>
      <c r="E44" s="550">
        <f t="shared" si="2"/>
        <v>406698.56911338889</v>
      </c>
      <c r="F44" s="549">
        <f t="shared" si="3"/>
        <v>0.88495575221238942</v>
      </c>
      <c r="G44" s="551">
        <f t="shared" si="4"/>
        <v>593498.95646017708</v>
      </c>
      <c r="H44" s="552">
        <f t="shared" si="5"/>
        <v>1000197.525573566</v>
      </c>
      <c r="J44" s="558">
        <v>29</v>
      </c>
      <c r="K44" s="558" t="s">
        <v>61</v>
      </c>
      <c r="L44" s="443">
        <f t="shared" si="6"/>
        <v>12342</v>
      </c>
      <c r="M44" s="444">
        <f>'COEFIC 2023'!I36</f>
        <v>0.25989471968558259</v>
      </c>
      <c r="N44" s="445">
        <f t="shared" si="7"/>
        <v>0</v>
      </c>
      <c r="O44" s="571">
        <f t="shared" si="8"/>
        <v>0.88495575221238942</v>
      </c>
      <c r="P44" s="447">
        <f t="shared" si="9"/>
        <v>0</v>
      </c>
      <c r="Q44" s="572">
        <f t="shared" si="10"/>
        <v>0</v>
      </c>
    </row>
    <row r="45" spans="1:17" s="360" customFormat="1" x14ac:dyDescent="0.15">
      <c r="A45" s="385">
        <v>30</v>
      </c>
      <c r="B45" s="560" t="s">
        <v>104</v>
      </c>
      <c r="C45" s="548">
        <f>'COEFIC 2023'!E37</f>
        <v>11850</v>
      </c>
      <c r="D45" s="549">
        <f>'COEFIC 2023'!I37</f>
        <v>0.24953430791396478</v>
      </c>
      <c r="E45" s="550">
        <f t="shared" si="2"/>
        <v>390485.9863874297</v>
      </c>
      <c r="F45" s="549">
        <f t="shared" si="3"/>
        <v>0.88495575221238942</v>
      </c>
      <c r="G45" s="551">
        <f t="shared" si="4"/>
        <v>593498.95646017708</v>
      </c>
      <c r="H45" s="552">
        <f t="shared" si="5"/>
        <v>983984.94284760673</v>
      </c>
      <c r="J45" s="558">
        <v>30</v>
      </c>
      <c r="K45" s="558" t="s">
        <v>104</v>
      </c>
      <c r="L45" s="443">
        <f t="shared" si="6"/>
        <v>11850</v>
      </c>
      <c r="M45" s="444">
        <f>'COEFIC 2023'!I37</f>
        <v>0.24953430791396478</v>
      </c>
      <c r="N45" s="445">
        <f t="shared" si="7"/>
        <v>0</v>
      </c>
      <c r="O45" s="571">
        <f t="shared" si="8"/>
        <v>0.88495575221238942</v>
      </c>
      <c r="P45" s="447">
        <f t="shared" si="9"/>
        <v>0</v>
      </c>
      <c r="Q45" s="572">
        <f t="shared" si="10"/>
        <v>0</v>
      </c>
    </row>
    <row r="46" spans="1:17" s="360" customFormat="1" x14ac:dyDescent="0.15">
      <c r="A46" s="385">
        <v>31</v>
      </c>
      <c r="B46" s="560" t="s">
        <v>48</v>
      </c>
      <c r="C46" s="548">
        <f>'COEFIC 2023'!E38</f>
        <v>16112</v>
      </c>
      <c r="D46" s="549">
        <f>'COEFIC 2023'!I38</f>
        <v>0.33928242777297896</v>
      </c>
      <c r="E46" s="550">
        <f t="shared" si="2"/>
        <v>530929.13187124627</v>
      </c>
      <c r="F46" s="549">
        <f t="shared" si="3"/>
        <v>0.88495575221238942</v>
      </c>
      <c r="G46" s="551">
        <f t="shared" si="4"/>
        <v>593498.95646017708</v>
      </c>
      <c r="H46" s="552">
        <f t="shared" si="5"/>
        <v>1124428.0883314232</v>
      </c>
      <c r="J46" s="558">
        <v>31</v>
      </c>
      <c r="K46" s="558" t="s">
        <v>48</v>
      </c>
      <c r="L46" s="443">
        <f t="shared" si="6"/>
        <v>16112</v>
      </c>
      <c r="M46" s="444">
        <f>'COEFIC 2023'!I38</f>
        <v>0.33928242777297896</v>
      </c>
      <c r="N46" s="445">
        <f t="shared" si="7"/>
        <v>0</v>
      </c>
      <c r="O46" s="571">
        <f t="shared" si="8"/>
        <v>0.88495575221238942</v>
      </c>
      <c r="P46" s="447">
        <f t="shared" si="9"/>
        <v>0</v>
      </c>
      <c r="Q46" s="572">
        <f t="shared" si="10"/>
        <v>0</v>
      </c>
    </row>
    <row r="47" spans="1:17" s="360" customFormat="1" x14ac:dyDescent="0.15">
      <c r="A47" s="385">
        <v>32</v>
      </c>
      <c r="B47" s="560" t="s">
        <v>83</v>
      </c>
      <c r="C47" s="548">
        <f>'COEFIC 2023'!E39</f>
        <v>15715</v>
      </c>
      <c r="D47" s="549">
        <f>'COEFIC 2023'!I39</f>
        <v>0.33092250201417356</v>
      </c>
      <c r="E47" s="550">
        <f t="shared" si="2"/>
        <v>517847.02751716954</v>
      </c>
      <c r="F47" s="549">
        <f t="shared" si="3"/>
        <v>0.88495575221238942</v>
      </c>
      <c r="G47" s="551">
        <f t="shared" si="4"/>
        <v>593498.95646017708</v>
      </c>
      <c r="H47" s="552">
        <f t="shared" si="5"/>
        <v>1111345.9839773467</v>
      </c>
      <c r="J47" s="558">
        <v>32</v>
      </c>
      <c r="K47" s="558" t="s">
        <v>83</v>
      </c>
      <c r="L47" s="443">
        <f t="shared" si="6"/>
        <v>15715</v>
      </c>
      <c r="M47" s="444">
        <f>'COEFIC 2023'!I39</f>
        <v>0.33092250201417356</v>
      </c>
      <c r="N47" s="445">
        <f t="shared" si="7"/>
        <v>0</v>
      </c>
      <c r="O47" s="571">
        <f t="shared" si="8"/>
        <v>0.88495575221238942</v>
      </c>
      <c r="P47" s="447">
        <f t="shared" si="9"/>
        <v>0</v>
      </c>
      <c r="Q47" s="572">
        <f t="shared" si="10"/>
        <v>0</v>
      </c>
    </row>
    <row r="48" spans="1:17" s="360" customFormat="1" x14ac:dyDescent="0.15">
      <c r="A48" s="385">
        <v>33</v>
      </c>
      <c r="B48" s="560" t="s">
        <v>108</v>
      </c>
      <c r="C48" s="548">
        <f>'COEFIC 2023'!E40</f>
        <v>21466</v>
      </c>
      <c r="D48" s="549">
        <f>'COEFIC 2023'!I40</f>
        <v>0.45202560790558383</v>
      </c>
      <c r="E48" s="550">
        <f t="shared" ref="E48:E79" si="11">$E$6*D48%</f>
        <v>707356.30242975254</v>
      </c>
      <c r="F48" s="549">
        <f t="shared" ref="F48:F79" si="12">100/113</f>
        <v>0.88495575221238942</v>
      </c>
      <c r="G48" s="551">
        <f t="shared" ref="G48:G79" si="13">$E$7*F48%</f>
        <v>593498.95646017708</v>
      </c>
      <c r="H48" s="552">
        <f t="shared" ref="H48:H79" si="14">E48+G48</f>
        <v>1300855.2588899296</v>
      </c>
      <c r="J48" s="558">
        <v>33</v>
      </c>
      <c r="K48" s="558" t="s">
        <v>108</v>
      </c>
      <c r="L48" s="443">
        <f t="shared" ref="L48:L79" si="15">C48</f>
        <v>21466</v>
      </c>
      <c r="M48" s="444">
        <f>'COEFIC 2023'!I40</f>
        <v>0.45202560790558383</v>
      </c>
      <c r="N48" s="445">
        <f t="shared" ref="N48:N79" si="16">$M$6*M48%</f>
        <v>0</v>
      </c>
      <c r="O48" s="571">
        <f t="shared" ref="O48:O79" si="17">100/113</f>
        <v>0.88495575221238942</v>
      </c>
      <c r="P48" s="447">
        <f t="shared" ref="P48:P79" si="18">$M$7*O48%</f>
        <v>0</v>
      </c>
      <c r="Q48" s="572">
        <f t="shared" ref="Q48:Q79" si="19">N48+P48</f>
        <v>0</v>
      </c>
    </row>
    <row r="49" spans="1:17" s="360" customFormat="1" x14ac:dyDescent="0.15">
      <c r="A49" s="385">
        <v>34</v>
      </c>
      <c r="B49" s="560" t="s">
        <v>110</v>
      </c>
      <c r="C49" s="548">
        <f>'COEFIC 2023'!E41</f>
        <v>125712</v>
      </c>
      <c r="D49" s="549">
        <f>'COEFIC 2023'!I41</f>
        <v>2.6472115541333623</v>
      </c>
      <c r="E49" s="550">
        <f t="shared" si="11"/>
        <v>4142512.6009060396</v>
      </c>
      <c r="F49" s="549">
        <f t="shared" si="12"/>
        <v>0.88495575221238942</v>
      </c>
      <c r="G49" s="551">
        <f t="shared" si="13"/>
        <v>593498.95646017708</v>
      </c>
      <c r="H49" s="552">
        <f t="shared" si="14"/>
        <v>4736011.5573662166</v>
      </c>
      <c r="J49" s="558">
        <v>34</v>
      </c>
      <c r="K49" s="558" t="s">
        <v>110</v>
      </c>
      <c r="L49" s="443">
        <f t="shared" si="15"/>
        <v>125712</v>
      </c>
      <c r="M49" s="444">
        <f>'COEFIC 2023'!I41</f>
        <v>2.6472115541333623</v>
      </c>
      <c r="N49" s="445">
        <f t="shared" si="16"/>
        <v>0</v>
      </c>
      <c r="O49" s="571">
        <f t="shared" si="17"/>
        <v>0.88495575221238942</v>
      </c>
      <c r="P49" s="447">
        <f t="shared" si="18"/>
        <v>0</v>
      </c>
      <c r="Q49" s="572">
        <f t="shared" si="19"/>
        <v>0</v>
      </c>
    </row>
    <row r="50" spans="1:17" s="360" customFormat="1" x14ac:dyDescent="0.15">
      <c r="A50" s="385">
        <v>35</v>
      </c>
      <c r="B50" s="560" t="s">
        <v>112</v>
      </c>
      <c r="C50" s="548">
        <f>'COEFIC 2023'!E42</f>
        <v>30627</v>
      </c>
      <c r="D50" s="549">
        <f>'COEFIC 2023'!I42</f>
        <v>0.64493563278320676</v>
      </c>
      <c r="E50" s="550">
        <f t="shared" si="11"/>
        <v>1009233.2746909546</v>
      </c>
      <c r="F50" s="549">
        <f t="shared" si="12"/>
        <v>0.88495575221238942</v>
      </c>
      <c r="G50" s="551">
        <f t="shared" si="13"/>
        <v>593498.95646017708</v>
      </c>
      <c r="H50" s="552">
        <f t="shared" si="14"/>
        <v>1602732.2311511317</v>
      </c>
      <c r="J50" s="558">
        <v>35</v>
      </c>
      <c r="K50" s="558" t="s">
        <v>112</v>
      </c>
      <c r="L50" s="443">
        <f t="shared" si="15"/>
        <v>30627</v>
      </c>
      <c r="M50" s="444">
        <f>'COEFIC 2023'!I42</f>
        <v>0.64493563278320676</v>
      </c>
      <c r="N50" s="445">
        <f t="shared" si="16"/>
        <v>0</v>
      </c>
      <c r="O50" s="571">
        <f t="shared" si="17"/>
        <v>0.88495575221238942</v>
      </c>
      <c r="P50" s="447">
        <f t="shared" si="18"/>
        <v>0</v>
      </c>
      <c r="Q50" s="572">
        <f t="shared" si="19"/>
        <v>0</v>
      </c>
    </row>
    <row r="51" spans="1:17" s="360" customFormat="1" x14ac:dyDescent="0.15">
      <c r="A51" s="385">
        <v>36</v>
      </c>
      <c r="B51" s="560" t="s">
        <v>114</v>
      </c>
      <c r="C51" s="548">
        <f>'COEFIC 2023'!E43</f>
        <v>11644</v>
      </c>
      <c r="D51" s="549">
        <f>'COEFIC 2023'!I43</f>
        <v>0.24519641192828742</v>
      </c>
      <c r="E51" s="550">
        <f t="shared" si="11"/>
        <v>383697.79118103225</v>
      </c>
      <c r="F51" s="549">
        <f t="shared" si="12"/>
        <v>0.88495575221238942</v>
      </c>
      <c r="G51" s="551">
        <f t="shared" si="13"/>
        <v>593498.95646017708</v>
      </c>
      <c r="H51" s="552">
        <f t="shared" si="14"/>
        <v>977196.74764120928</v>
      </c>
      <c r="J51" s="558">
        <v>36</v>
      </c>
      <c r="K51" s="558" t="s">
        <v>114</v>
      </c>
      <c r="L51" s="443">
        <f t="shared" si="15"/>
        <v>11644</v>
      </c>
      <c r="M51" s="444">
        <f>'COEFIC 2023'!I43</f>
        <v>0.24519641192828742</v>
      </c>
      <c r="N51" s="445">
        <f t="shared" si="16"/>
        <v>0</v>
      </c>
      <c r="O51" s="571">
        <f t="shared" si="17"/>
        <v>0.88495575221238942</v>
      </c>
      <c r="P51" s="447">
        <f t="shared" si="18"/>
        <v>0</v>
      </c>
      <c r="Q51" s="572">
        <f t="shared" si="19"/>
        <v>0</v>
      </c>
    </row>
    <row r="52" spans="1:17" s="360" customFormat="1" x14ac:dyDescent="0.15">
      <c r="A52" s="385">
        <v>37</v>
      </c>
      <c r="B52" s="560" t="s">
        <v>92</v>
      </c>
      <c r="C52" s="548">
        <f>'COEFIC 2023'!E44</f>
        <v>7945</v>
      </c>
      <c r="D52" s="549">
        <f>'COEFIC 2023'!I44</f>
        <v>0.16730380391362448</v>
      </c>
      <c r="E52" s="550">
        <f t="shared" si="11"/>
        <v>261806.84910110792</v>
      </c>
      <c r="F52" s="549">
        <f t="shared" si="12"/>
        <v>0.88495575221238942</v>
      </c>
      <c r="G52" s="551">
        <f t="shared" si="13"/>
        <v>593498.95646017708</v>
      </c>
      <c r="H52" s="552">
        <f t="shared" si="14"/>
        <v>855305.805561285</v>
      </c>
      <c r="J52" s="558">
        <v>37</v>
      </c>
      <c r="K52" s="558" t="s">
        <v>92</v>
      </c>
      <c r="L52" s="443">
        <f t="shared" si="15"/>
        <v>7945</v>
      </c>
      <c r="M52" s="444">
        <f>'COEFIC 2023'!I44</f>
        <v>0.16730380391362448</v>
      </c>
      <c r="N52" s="445">
        <f t="shared" si="16"/>
        <v>0</v>
      </c>
      <c r="O52" s="571">
        <f t="shared" si="17"/>
        <v>0.88495575221238942</v>
      </c>
      <c r="P52" s="447">
        <f t="shared" si="18"/>
        <v>0</v>
      </c>
      <c r="Q52" s="572">
        <f t="shared" si="19"/>
        <v>0</v>
      </c>
    </row>
    <row r="53" spans="1:17" s="360" customFormat="1" x14ac:dyDescent="0.15">
      <c r="A53" s="385">
        <v>38</v>
      </c>
      <c r="B53" s="560" t="s">
        <v>51</v>
      </c>
      <c r="C53" s="548">
        <f>'COEFIC 2023'!E45</f>
        <v>41973</v>
      </c>
      <c r="D53" s="549">
        <f>'COEFIC 2023'!I45</f>
        <v>0.88385683595551423</v>
      </c>
      <c r="E53" s="550">
        <f t="shared" si="11"/>
        <v>1383111.2495054505</v>
      </c>
      <c r="F53" s="549">
        <f t="shared" si="12"/>
        <v>0.88495575221238942</v>
      </c>
      <c r="G53" s="551">
        <f t="shared" si="13"/>
        <v>593498.95646017708</v>
      </c>
      <c r="H53" s="552">
        <f t="shared" si="14"/>
        <v>1976610.2059656275</v>
      </c>
      <c r="J53" s="558">
        <v>38</v>
      </c>
      <c r="K53" s="558" t="s">
        <v>51</v>
      </c>
      <c r="L53" s="443">
        <f t="shared" si="15"/>
        <v>41973</v>
      </c>
      <c r="M53" s="444">
        <f>'COEFIC 2023'!I45</f>
        <v>0.88385683595551423</v>
      </c>
      <c r="N53" s="445">
        <f t="shared" si="16"/>
        <v>0</v>
      </c>
      <c r="O53" s="571">
        <f t="shared" si="17"/>
        <v>0.88495575221238942</v>
      </c>
      <c r="P53" s="447">
        <f t="shared" si="18"/>
        <v>0</v>
      </c>
      <c r="Q53" s="572">
        <f t="shared" si="19"/>
        <v>0</v>
      </c>
    </row>
    <row r="54" spans="1:17" s="360" customFormat="1" x14ac:dyDescent="0.15">
      <c r="A54" s="385">
        <v>39</v>
      </c>
      <c r="B54" s="560" t="s">
        <v>105</v>
      </c>
      <c r="C54" s="548">
        <f>'COEFIC 2023'!E46</f>
        <v>9015</v>
      </c>
      <c r="D54" s="549">
        <f>'COEFIC 2023'!I46</f>
        <v>0.18983559374214284</v>
      </c>
      <c r="E54" s="550">
        <f t="shared" si="11"/>
        <v>297065.92128967756</v>
      </c>
      <c r="F54" s="549">
        <f t="shared" si="12"/>
        <v>0.88495575221238942</v>
      </c>
      <c r="G54" s="551">
        <f t="shared" si="13"/>
        <v>593498.95646017708</v>
      </c>
      <c r="H54" s="552">
        <f t="shared" si="14"/>
        <v>890564.8777498547</v>
      </c>
      <c r="J54" s="558">
        <v>39</v>
      </c>
      <c r="K54" s="558" t="s">
        <v>105</v>
      </c>
      <c r="L54" s="443">
        <f t="shared" si="15"/>
        <v>9015</v>
      </c>
      <c r="M54" s="444">
        <f>'COEFIC 2023'!I46</f>
        <v>0.18983559374214284</v>
      </c>
      <c r="N54" s="445">
        <f t="shared" si="16"/>
        <v>0</v>
      </c>
      <c r="O54" s="571">
        <f t="shared" si="17"/>
        <v>0.88495575221238942</v>
      </c>
      <c r="P54" s="447">
        <f t="shared" si="18"/>
        <v>0</v>
      </c>
      <c r="Q54" s="572">
        <f t="shared" si="19"/>
        <v>0</v>
      </c>
    </row>
    <row r="55" spans="1:17" s="360" customFormat="1" x14ac:dyDescent="0.15">
      <c r="A55" s="385">
        <v>40</v>
      </c>
      <c r="B55" s="560" t="s">
        <v>96</v>
      </c>
      <c r="C55" s="548">
        <f>'COEFIC 2023'!E47</f>
        <v>18385</v>
      </c>
      <c r="D55" s="549">
        <f>'COEFIC 2023'!I47</f>
        <v>0.38714668784795297</v>
      </c>
      <c r="E55" s="550">
        <f t="shared" si="11"/>
        <v>605829.94596902071</v>
      </c>
      <c r="F55" s="549">
        <f t="shared" si="12"/>
        <v>0.88495575221238942</v>
      </c>
      <c r="G55" s="551">
        <f t="shared" si="13"/>
        <v>593498.95646017708</v>
      </c>
      <c r="H55" s="552">
        <f t="shared" si="14"/>
        <v>1199328.9024291979</v>
      </c>
      <c r="J55" s="558">
        <v>40</v>
      </c>
      <c r="K55" s="558" t="s">
        <v>96</v>
      </c>
      <c r="L55" s="443">
        <f t="shared" si="15"/>
        <v>18385</v>
      </c>
      <c r="M55" s="444">
        <f>'COEFIC 2023'!I47</f>
        <v>0.38714668784795297</v>
      </c>
      <c r="N55" s="445">
        <f t="shared" si="16"/>
        <v>0</v>
      </c>
      <c r="O55" s="571">
        <f t="shared" si="17"/>
        <v>0.88495575221238942</v>
      </c>
      <c r="P55" s="447">
        <f t="shared" si="18"/>
        <v>0</v>
      </c>
      <c r="Q55" s="572">
        <f t="shared" si="19"/>
        <v>0</v>
      </c>
    </row>
    <row r="56" spans="1:17" s="360" customFormat="1" x14ac:dyDescent="0.15">
      <c r="A56" s="385">
        <v>41</v>
      </c>
      <c r="B56" s="560" t="s">
        <v>98</v>
      </c>
      <c r="C56" s="548">
        <f>'COEFIC 2023'!E48</f>
        <v>16043</v>
      </c>
      <c r="D56" s="549">
        <f>'COEFIC 2023'!I48</f>
        <v>0.3378294431952521</v>
      </c>
      <c r="E56" s="550">
        <f t="shared" si="11"/>
        <v>528655.41600114224</v>
      </c>
      <c r="F56" s="549">
        <f t="shared" si="12"/>
        <v>0.88495575221238942</v>
      </c>
      <c r="G56" s="551">
        <f t="shared" si="13"/>
        <v>593498.95646017708</v>
      </c>
      <c r="H56" s="552">
        <f t="shared" si="14"/>
        <v>1122154.3724613194</v>
      </c>
      <c r="J56" s="558">
        <v>41</v>
      </c>
      <c r="K56" s="558" t="s">
        <v>98</v>
      </c>
      <c r="L56" s="443">
        <f t="shared" si="15"/>
        <v>16043</v>
      </c>
      <c r="M56" s="444">
        <f>'COEFIC 2023'!I48</f>
        <v>0.3378294431952521</v>
      </c>
      <c r="N56" s="445">
        <f t="shared" si="16"/>
        <v>0</v>
      </c>
      <c r="O56" s="571">
        <f t="shared" si="17"/>
        <v>0.88495575221238942</v>
      </c>
      <c r="P56" s="447">
        <f t="shared" si="18"/>
        <v>0</v>
      </c>
      <c r="Q56" s="572">
        <f t="shared" si="19"/>
        <v>0</v>
      </c>
    </row>
    <row r="57" spans="1:17" s="360" customFormat="1" x14ac:dyDescent="0.15">
      <c r="A57" s="385">
        <v>42</v>
      </c>
      <c r="B57" s="560" t="s">
        <v>122</v>
      </c>
      <c r="C57" s="548">
        <f>'COEFIC 2023'!E49</f>
        <v>14302</v>
      </c>
      <c r="D57" s="549">
        <f>'COEFIC 2023'!I49</f>
        <v>0.30116790479202737</v>
      </c>
      <c r="E57" s="550">
        <f t="shared" si="11"/>
        <v>471285.28078590886</v>
      </c>
      <c r="F57" s="549">
        <f t="shared" si="12"/>
        <v>0.88495575221238942</v>
      </c>
      <c r="G57" s="551">
        <f t="shared" si="13"/>
        <v>593498.95646017708</v>
      </c>
      <c r="H57" s="552">
        <f t="shared" si="14"/>
        <v>1064784.2372460859</v>
      </c>
      <c r="J57" s="558">
        <v>42</v>
      </c>
      <c r="K57" s="558" t="s">
        <v>122</v>
      </c>
      <c r="L57" s="443">
        <f t="shared" si="15"/>
        <v>14302</v>
      </c>
      <c r="M57" s="444">
        <f>'COEFIC 2023'!I49</f>
        <v>0.30116790479202737</v>
      </c>
      <c r="N57" s="445">
        <f t="shared" si="16"/>
        <v>0</v>
      </c>
      <c r="O57" s="571">
        <f t="shared" si="17"/>
        <v>0.88495575221238942</v>
      </c>
      <c r="P57" s="447">
        <f t="shared" si="18"/>
        <v>0</v>
      </c>
      <c r="Q57" s="572">
        <f t="shared" si="19"/>
        <v>0</v>
      </c>
    </row>
    <row r="58" spans="1:17" s="360" customFormat="1" x14ac:dyDescent="0.15">
      <c r="A58" s="385">
        <v>43</v>
      </c>
      <c r="B58" s="560" t="s">
        <v>346</v>
      </c>
      <c r="C58" s="548">
        <f>'COEFIC 2023'!E50</f>
        <v>68781</v>
      </c>
      <c r="D58" s="549">
        <f>'COEFIC 2023'!I50</f>
        <v>1.4483729310236635</v>
      </c>
      <c r="E58" s="550">
        <f t="shared" si="11"/>
        <v>2266499.2936467347</v>
      </c>
      <c r="F58" s="549">
        <f t="shared" si="12"/>
        <v>0.88495575221238942</v>
      </c>
      <c r="G58" s="551">
        <f t="shared" si="13"/>
        <v>593498.95646017708</v>
      </c>
      <c r="H58" s="552">
        <f t="shared" si="14"/>
        <v>2859998.2501069116</v>
      </c>
      <c r="J58" s="558">
        <v>43</v>
      </c>
      <c r="K58" s="558" t="s">
        <v>346</v>
      </c>
      <c r="L58" s="443">
        <f t="shared" si="15"/>
        <v>68781</v>
      </c>
      <c r="M58" s="444">
        <f>'COEFIC 2023'!I50</f>
        <v>1.4483729310236635</v>
      </c>
      <c r="N58" s="445">
        <f t="shared" si="16"/>
        <v>0</v>
      </c>
      <c r="O58" s="571">
        <f t="shared" si="17"/>
        <v>0.88495575221238942</v>
      </c>
      <c r="P58" s="447">
        <f t="shared" si="18"/>
        <v>0</v>
      </c>
      <c r="Q58" s="572">
        <f t="shared" si="19"/>
        <v>0</v>
      </c>
    </row>
    <row r="59" spans="1:17" s="360" customFormat="1" x14ac:dyDescent="0.15">
      <c r="A59" s="385">
        <v>44</v>
      </c>
      <c r="B59" s="560" t="s">
        <v>102</v>
      </c>
      <c r="C59" s="548">
        <f>'COEFIC 2023'!E51</f>
        <v>12946</v>
      </c>
      <c r="D59" s="549">
        <f>'COEFIC 2023'!I51</f>
        <v>0.27261359917756861</v>
      </c>
      <c r="E59" s="550">
        <f t="shared" si="11"/>
        <v>426601.82107777765</v>
      </c>
      <c r="F59" s="549">
        <f t="shared" si="12"/>
        <v>0.88495575221238942</v>
      </c>
      <c r="G59" s="551">
        <f t="shared" si="13"/>
        <v>593498.95646017708</v>
      </c>
      <c r="H59" s="552">
        <f t="shared" si="14"/>
        <v>1020100.7775379547</v>
      </c>
      <c r="J59" s="558">
        <v>44</v>
      </c>
      <c r="K59" s="558" t="s">
        <v>102</v>
      </c>
      <c r="L59" s="443">
        <f t="shared" si="15"/>
        <v>12946</v>
      </c>
      <c r="M59" s="444">
        <f>'COEFIC 2023'!I51</f>
        <v>0.27261359917756861</v>
      </c>
      <c r="N59" s="445">
        <f t="shared" si="16"/>
        <v>0</v>
      </c>
      <c r="O59" s="571">
        <f t="shared" si="17"/>
        <v>0.88495575221238942</v>
      </c>
      <c r="P59" s="447">
        <f t="shared" si="18"/>
        <v>0</v>
      </c>
      <c r="Q59" s="572">
        <f t="shared" si="19"/>
        <v>0</v>
      </c>
    </row>
    <row r="60" spans="1:17" s="360" customFormat="1" x14ac:dyDescent="0.15">
      <c r="A60" s="385">
        <v>45</v>
      </c>
      <c r="B60" s="560" t="s">
        <v>127</v>
      </c>
      <c r="C60" s="548">
        <f>'COEFIC 2023'!E52</f>
        <v>36158</v>
      </c>
      <c r="D60" s="549">
        <f>'COEFIC 2023'!I52</f>
        <v>0.76140603422389352</v>
      </c>
      <c r="E60" s="550">
        <f t="shared" si="11"/>
        <v>1191493.0207423361</v>
      </c>
      <c r="F60" s="549">
        <f t="shared" si="12"/>
        <v>0.88495575221238942</v>
      </c>
      <c r="G60" s="551">
        <f t="shared" si="13"/>
        <v>593498.95646017708</v>
      </c>
      <c r="H60" s="552">
        <f t="shared" si="14"/>
        <v>1784991.9772025133</v>
      </c>
      <c r="J60" s="558">
        <v>45</v>
      </c>
      <c r="K60" s="558" t="s">
        <v>127</v>
      </c>
      <c r="L60" s="443">
        <f t="shared" si="15"/>
        <v>36158</v>
      </c>
      <c r="M60" s="444">
        <f>'COEFIC 2023'!I52</f>
        <v>0.76140603422389352</v>
      </c>
      <c r="N60" s="445">
        <f t="shared" si="16"/>
        <v>0</v>
      </c>
      <c r="O60" s="571">
        <f t="shared" si="17"/>
        <v>0.88495575221238942</v>
      </c>
      <c r="P60" s="447">
        <f t="shared" si="18"/>
        <v>0</v>
      </c>
      <c r="Q60" s="572">
        <f t="shared" si="19"/>
        <v>0</v>
      </c>
    </row>
    <row r="61" spans="1:17" s="360" customFormat="1" x14ac:dyDescent="0.15">
      <c r="A61" s="385">
        <v>46</v>
      </c>
      <c r="B61" s="560" t="s">
        <v>119</v>
      </c>
      <c r="C61" s="548">
        <f>'COEFIC 2023'!E53</f>
        <v>14936</v>
      </c>
      <c r="D61" s="549">
        <f>'COEFIC 2023'!I53</f>
        <v>0.31451851670911207</v>
      </c>
      <c r="E61" s="550">
        <f t="shared" si="11"/>
        <v>492177.10486773425</v>
      </c>
      <c r="F61" s="549">
        <f t="shared" si="12"/>
        <v>0.88495575221238942</v>
      </c>
      <c r="G61" s="551">
        <f t="shared" si="13"/>
        <v>593498.95646017708</v>
      </c>
      <c r="H61" s="552">
        <f t="shared" si="14"/>
        <v>1085676.0613279114</v>
      </c>
      <c r="J61" s="558">
        <v>46</v>
      </c>
      <c r="K61" s="558" t="s">
        <v>119</v>
      </c>
      <c r="L61" s="443">
        <f t="shared" si="15"/>
        <v>14936</v>
      </c>
      <c r="M61" s="444">
        <f>'COEFIC 2023'!I53</f>
        <v>0.31451851670911207</v>
      </c>
      <c r="N61" s="445">
        <f t="shared" si="16"/>
        <v>0</v>
      </c>
      <c r="O61" s="571">
        <f t="shared" si="17"/>
        <v>0.88495575221238942</v>
      </c>
      <c r="P61" s="447">
        <f t="shared" si="18"/>
        <v>0</v>
      </c>
      <c r="Q61" s="572">
        <f t="shared" si="19"/>
        <v>0</v>
      </c>
    </row>
    <row r="62" spans="1:17" s="360" customFormat="1" x14ac:dyDescent="0.15">
      <c r="A62" s="385">
        <v>47</v>
      </c>
      <c r="B62" s="560" t="s">
        <v>121</v>
      </c>
      <c r="C62" s="548">
        <f>'COEFIC 2023'!E54</f>
        <v>19834</v>
      </c>
      <c r="D62" s="549">
        <f>'COEFIC 2023'!I54</f>
        <v>0.41765936398021752</v>
      </c>
      <c r="E62" s="550">
        <f t="shared" si="11"/>
        <v>653577.97924120515</v>
      </c>
      <c r="F62" s="549">
        <f t="shared" si="12"/>
        <v>0.88495575221238942</v>
      </c>
      <c r="G62" s="551">
        <f t="shared" si="13"/>
        <v>593498.95646017708</v>
      </c>
      <c r="H62" s="552">
        <f t="shared" si="14"/>
        <v>1247076.9357013823</v>
      </c>
      <c r="J62" s="558">
        <v>47</v>
      </c>
      <c r="K62" s="558" t="s">
        <v>121</v>
      </c>
      <c r="L62" s="443">
        <f t="shared" si="15"/>
        <v>19834</v>
      </c>
      <c r="M62" s="444">
        <f>'COEFIC 2023'!I54</f>
        <v>0.41765936398021752</v>
      </c>
      <c r="N62" s="445">
        <f t="shared" si="16"/>
        <v>0</v>
      </c>
      <c r="O62" s="571">
        <f t="shared" si="17"/>
        <v>0.88495575221238942</v>
      </c>
      <c r="P62" s="447">
        <f t="shared" si="18"/>
        <v>0</v>
      </c>
      <c r="Q62" s="572">
        <f t="shared" si="19"/>
        <v>0</v>
      </c>
    </row>
    <row r="63" spans="1:17" s="360" customFormat="1" x14ac:dyDescent="0.15">
      <c r="A63" s="385">
        <v>48</v>
      </c>
      <c r="B63" s="560" t="s">
        <v>47</v>
      </c>
      <c r="C63" s="548">
        <f>'COEFIC 2023'!E55</f>
        <v>5745</v>
      </c>
      <c r="D63" s="549">
        <f>'COEFIC 2023'!I55</f>
        <v>0.12097675940639052</v>
      </c>
      <c r="E63" s="550">
        <f t="shared" si="11"/>
        <v>189311.56048909569</v>
      </c>
      <c r="F63" s="549">
        <f t="shared" si="12"/>
        <v>0.88495575221238942</v>
      </c>
      <c r="G63" s="551">
        <f t="shared" si="13"/>
        <v>593498.95646017708</v>
      </c>
      <c r="H63" s="552">
        <f t="shared" si="14"/>
        <v>782810.51694927271</v>
      </c>
      <c r="J63" s="558">
        <v>48</v>
      </c>
      <c r="K63" s="558" t="s">
        <v>47</v>
      </c>
      <c r="L63" s="443">
        <f t="shared" si="15"/>
        <v>5745</v>
      </c>
      <c r="M63" s="444">
        <f>'COEFIC 2023'!I55</f>
        <v>0.12097675940639052</v>
      </c>
      <c r="N63" s="445">
        <f t="shared" si="16"/>
        <v>0</v>
      </c>
      <c r="O63" s="571">
        <f t="shared" si="17"/>
        <v>0.88495575221238942</v>
      </c>
      <c r="P63" s="447">
        <f t="shared" si="18"/>
        <v>0</v>
      </c>
      <c r="Q63" s="572">
        <f t="shared" si="19"/>
        <v>0</v>
      </c>
    </row>
    <row r="64" spans="1:17" s="360" customFormat="1" x14ac:dyDescent="0.15">
      <c r="A64" s="385">
        <v>49</v>
      </c>
      <c r="B64" s="560" t="s">
        <v>115</v>
      </c>
      <c r="C64" s="548">
        <f>'COEFIC 2023'!E56</f>
        <v>19086</v>
      </c>
      <c r="D64" s="549">
        <f>'COEFIC 2023'!I56</f>
        <v>0.40190816884775799</v>
      </c>
      <c r="E64" s="550">
        <f t="shared" si="11"/>
        <v>628929.58111312101</v>
      </c>
      <c r="F64" s="549">
        <f t="shared" si="12"/>
        <v>0.88495575221238942</v>
      </c>
      <c r="G64" s="551">
        <f t="shared" si="13"/>
        <v>593498.95646017708</v>
      </c>
      <c r="H64" s="552">
        <f t="shared" si="14"/>
        <v>1222428.537573298</v>
      </c>
      <c r="J64" s="558">
        <v>49</v>
      </c>
      <c r="K64" s="558" t="s">
        <v>115</v>
      </c>
      <c r="L64" s="443">
        <f t="shared" si="15"/>
        <v>19086</v>
      </c>
      <c r="M64" s="444">
        <f>'COEFIC 2023'!I56</f>
        <v>0.40190816884775799</v>
      </c>
      <c r="N64" s="445">
        <f t="shared" si="16"/>
        <v>0</v>
      </c>
      <c r="O64" s="571">
        <f t="shared" si="17"/>
        <v>0.88495575221238942</v>
      </c>
      <c r="P64" s="447">
        <f t="shared" si="18"/>
        <v>0</v>
      </c>
      <c r="Q64" s="572">
        <f t="shared" si="19"/>
        <v>0</v>
      </c>
    </row>
    <row r="65" spans="1:17" s="360" customFormat="1" x14ac:dyDescent="0.15">
      <c r="A65" s="385">
        <v>50</v>
      </c>
      <c r="B65" s="560" t="s">
        <v>69</v>
      </c>
      <c r="C65" s="548">
        <f>'COEFIC 2023'!E57</f>
        <v>89311</v>
      </c>
      <c r="D65" s="549">
        <f>'COEFIC 2023'!I57</f>
        <v>1.8806884872661696</v>
      </c>
      <c r="E65" s="550">
        <f t="shared" si="11"/>
        <v>2943012.1460124673</v>
      </c>
      <c r="F65" s="549">
        <f t="shared" si="12"/>
        <v>0.88495575221238942</v>
      </c>
      <c r="G65" s="551">
        <f t="shared" si="13"/>
        <v>593498.95646017708</v>
      </c>
      <c r="H65" s="552">
        <f t="shared" si="14"/>
        <v>3536511.1024726443</v>
      </c>
      <c r="J65" s="558">
        <v>50</v>
      </c>
      <c r="K65" s="558" t="s">
        <v>69</v>
      </c>
      <c r="L65" s="443">
        <f t="shared" si="15"/>
        <v>89311</v>
      </c>
      <c r="M65" s="444">
        <f>'COEFIC 2023'!I57</f>
        <v>1.8806884872661696</v>
      </c>
      <c r="N65" s="445">
        <f t="shared" si="16"/>
        <v>0</v>
      </c>
      <c r="O65" s="571">
        <f t="shared" si="17"/>
        <v>0.88495575221238942</v>
      </c>
      <c r="P65" s="447">
        <f t="shared" si="18"/>
        <v>0</v>
      </c>
      <c r="Q65" s="572">
        <f t="shared" si="19"/>
        <v>0</v>
      </c>
    </row>
    <row r="66" spans="1:17" s="360" customFormat="1" x14ac:dyDescent="0.15">
      <c r="A66" s="385">
        <v>51</v>
      </c>
      <c r="B66" s="560" t="s">
        <v>126</v>
      </c>
      <c r="C66" s="548">
        <f>'COEFIC 2023'!E58</f>
        <v>13983</v>
      </c>
      <c r="D66" s="549">
        <f>'COEFIC 2023'!I58</f>
        <v>0.29445048333847845</v>
      </c>
      <c r="E66" s="550">
        <f t="shared" si="11"/>
        <v>460773.46393716708</v>
      </c>
      <c r="F66" s="549">
        <f t="shared" si="12"/>
        <v>0.88495575221238942</v>
      </c>
      <c r="G66" s="551">
        <f t="shared" si="13"/>
        <v>593498.95646017708</v>
      </c>
      <c r="H66" s="552">
        <f t="shared" si="14"/>
        <v>1054272.420397344</v>
      </c>
      <c r="J66" s="558">
        <v>51</v>
      </c>
      <c r="K66" s="558" t="s">
        <v>126</v>
      </c>
      <c r="L66" s="443">
        <f t="shared" si="15"/>
        <v>13983</v>
      </c>
      <c r="M66" s="444">
        <f>'COEFIC 2023'!I58</f>
        <v>0.29445048333847845</v>
      </c>
      <c r="N66" s="445">
        <f t="shared" si="16"/>
        <v>0</v>
      </c>
      <c r="O66" s="571">
        <f t="shared" si="17"/>
        <v>0.88495575221238942</v>
      </c>
      <c r="P66" s="447">
        <f t="shared" si="18"/>
        <v>0</v>
      </c>
      <c r="Q66" s="572">
        <f t="shared" si="19"/>
        <v>0</v>
      </c>
    </row>
    <row r="67" spans="1:17" s="360" customFormat="1" x14ac:dyDescent="0.15">
      <c r="A67" s="385">
        <v>52</v>
      </c>
      <c r="B67" s="560" t="s">
        <v>58</v>
      </c>
      <c r="C67" s="548">
        <f>'COEFIC 2023'!E59</f>
        <v>196003</v>
      </c>
      <c r="D67" s="549">
        <f>'COEFIC 2023'!I59</f>
        <v>4.1273816838869903</v>
      </c>
      <c r="E67" s="550">
        <f t="shared" si="11"/>
        <v>6458770.0244637448</v>
      </c>
      <c r="F67" s="549">
        <f t="shared" si="12"/>
        <v>0.88495575221238942</v>
      </c>
      <c r="G67" s="551">
        <f t="shared" si="13"/>
        <v>593498.95646017708</v>
      </c>
      <c r="H67" s="552">
        <f t="shared" si="14"/>
        <v>7052268.9809239218</v>
      </c>
      <c r="J67" s="558">
        <v>52</v>
      </c>
      <c r="K67" s="558" t="s">
        <v>58</v>
      </c>
      <c r="L67" s="443">
        <f t="shared" si="15"/>
        <v>196003</v>
      </c>
      <c r="M67" s="444">
        <f>'COEFIC 2023'!I59</f>
        <v>4.1273816838869903</v>
      </c>
      <c r="N67" s="445">
        <f t="shared" si="16"/>
        <v>0</v>
      </c>
      <c r="O67" s="571">
        <f t="shared" si="17"/>
        <v>0.88495575221238942</v>
      </c>
      <c r="P67" s="447">
        <f t="shared" si="18"/>
        <v>0</v>
      </c>
      <c r="Q67" s="572">
        <f t="shared" si="19"/>
        <v>0</v>
      </c>
    </row>
    <row r="68" spans="1:17" s="360" customFormat="1" x14ac:dyDescent="0.15">
      <c r="A68" s="385">
        <v>53</v>
      </c>
      <c r="B68" s="560" t="s">
        <v>103</v>
      </c>
      <c r="C68" s="548">
        <f>'COEFIC 2023'!E60</f>
        <v>849053</v>
      </c>
      <c r="D68" s="549">
        <f>'COEFIC 2023'!I60</f>
        <v>17.879143690909327</v>
      </c>
      <c r="E68" s="550">
        <f t="shared" si="11"/>
        <v>27978337.400861297</v>
      </c>
      <c r="F68" s="549">
        <f t="shared" si="12"/>
        <v>0.88495575221238942</v>
      </c>
      <c r="G68" s="551">
        <f t="shared" si="13"/>
        <v>593498.95646017708</v>
      </c>
      <c r="H68" s="552">
        <f t="shared" si="14"/>
        <v>28571836.357321475</v>
      </c>
      <c r="J68" s="558">
        <v>53</v>
      </c>
      <c r="K68" s="558" t="s">
        <v>103</v>
      </c>
      <c r="L68" s="443">
        <f t="shared" si="15"/>
        <v>849053</v>
      </c>
      <c r="M68" s="444">
        <f>'COEFIC 2023'!I60</f>
        <v>17.879143690909327</v>
      </c>
      <c r="N68" s="445">
        <f t="shared" si="16"/>
        <v>0</v>
      </c>
      <c r="O68" s="571">
        <f t="shared" si="17"/>
        <v>0.88495575221238942</v>
      </c>
      <c r="P68" s="447">
        <f t="shared" si="18"/>
        <v>0</v>
      </c>
      <c r="Q68" s="572">
        <f t="shared" si="19"/>
        <v>0</v>
      </c>
    </row>
    <row r="69" spans="1:17" s="360" customFormat="1" x14ac:dyDescent="0.15">
      <c r="A69" s="385">
        <v>54</v>
      </c>
      <c r="B69" s="560" t="s">
        <v>94</v>
      </c>
      <c r="C69" s="548">
        <f>'COEFIC 2023'!E61</f>
        <v>7983</v>
      </c>
      <c r="D69" s="549">
        <f>'COEFIC 2023'!I61</f>
        <v>0.16810399831874945</v>
      </c>
      <c r="E69" s="550">
        <f t="shared" si="11"/>
        <v>263059.04044986091</v>
      </c>
      <c r="F69" s="549">
        <f t="shared" si="12"/>
        <v>0.88495575221238942</v>
      </c>
      <c r="G69" s="551">
        <f t="shared" si="13"/>
        <v>593498.95646017708</v>
      </c>
      <c r="H69" s="552">
        <f t="shared" si="14"/>
        <v>856557.99691003794</v>
      </c>
      <c r="J69" s="558">
        <v>54</v>
      </c>
      <c r="K69" s="558" t="s">
        <v>94</v>
      </c>
      <c r="L69" s="443">
        <f t="shared" si="15"/>
        <v>7983</v>
      </c>
      <c r="M69" s="444">
        <f>'COEFIC 2023'!I61</f>
        <v>0.16810399831874945</v>
      </c>
      <c r="N69" s="445">
        <f t="shared" si="16"/>
        <v>0</v>
      </c>
      <c r="O69" s="571">
        <f t="shared" si="17"/>
        <v>0.88495575221238942</v>
      </c>
      <c r="P69" s="447">
        <f t="shared" si="18"/>
        <v>0</v>
      </c>
      <c r="Q69" s="572">
        <f t="shared" si="19"/>
        <v>0</v>
      </c>
    </row>
    <row r="70" spans="1:17" s="360" customFormat="1" x14ac:dyDescent="0.15">
      <c r="A70" s="385">
        <v>55</v>
      </c>
      <c r="B70" s="560" t="s">
        <v>347</v>
      </c>
      <c r="C70" s="548">
        <f>'COEFIC 2023'!E62</f>
        <v>45732</v>
      </c>
      <c r="D70" s="549">
        <f>'COEFIC 2023'!I62</f>
        <v>0.96301290882037449</v>
      </c>
      <c r="E70" s="550">
        <f t="shared" si="11"/>
        <v>1506979.3358202477</v>
      </c>
      <c r="F70" s="549">
        <f t="shared" si="12"/>
        <v>0.88495575221238942</v>
      </c>
      <c r="G70" s="551">
        <f t="shared" si="13"/>
        <v>593498.95646017708</v>
      </c>
      <c r="H70" s="552">
        <f t="shared" si="14"/>
        <v>2100478.2922804249</v>
      </c>
      <c r="J70" s="558">
        <v>55</v>
      </c>
      <c r="K70" s="558" t="s">
        <v>347</v>
      </c>
      <c r="L70" s="443">
        <f t="shared" si="15"/>
        <v>45732</v>
      </c>
      <c r="M70" s="444">
        <f>'COEFIC 2023'!I62</f>
        <v>0.96301290882037449</v>
      </c>
      <c r="N70" s="445">
        <f t="shared" si="16"/>
        <v>0</v>
      </c>
      <c r="O70" s="571">
        <f t="shared" si="17"/>
        <v>0.88495575221238942</v>
      </c>
      <c r="P70" s="447">
        <f t="shared" si="18"/>
        <v>0</v>
      </c>
      <c r="Q70" s="572">
        <f t="shared" si="19"/>
        <v>0</v>
      </c>
    </row>
    <row r="71" spans="1:17" s="360" customFormat="1" x14ac:dyDescent="0.15">
      <c r="A71" s="385">
        <v>56</v>
      </c>
      <c r="B71" s="560" t="s">
        <v>348</v>
      </c>
      <c r="C71" s="548">
        <f>'COEFIC 2023'!E63</f>
        <v>32598</v>
      </c>
      <c r="D71" s="549">
        <f>'COEFIC 2023'!I63</f>
        <v>0.68644045311218771</v>
      </c>
      <c r="E71" s="550">
        <f t="shared" si="11"/>
        <v>1074182.4628065345</v>
      </c>
      <c r="F71" s="549">
        <f t="shared" si="12"/>
        <v>0.88495575221238942</v>
      </c>
      <c r="G71" s="551">
        <f t="shared" si="13"/>
        <v>593498.95646017708</v>
      </c>
      <c r="H71" s="552">
        <f t="shared" si="14"/>
        <v>1667681.4192667115</v>
      </c>
      <c r="J71" s="558">
        <v>56</v>
      </c>
      <c r="K71" s="558" t="s">
        <v>348</v>
      </c>
      <c r="L71" s="443">
        <f t="shared" si="15"/>
        <v>32598</v>
      </c>
      <c r="M71" s="444">
        <f>'COEFIC 2023'!I63</f>
        <v>0.68644045311218771</v>
      </c>
      <c r="N71" s="445">
        <f t="shared" si="16"/>
        <v>0</v>
      </c>
      <c r="O71" s="571">
        <f t="shared" si="17"/>
        <v>0.88495575221238942</v>
      </c>
      <c r="P71" s="447">
        <f t="shared" si="18"/>
        <v>0</v>
      </c>
      <c r="Q71" s="572">
        <f t="shared" si="19"/>
        <v>0</v>
      </c>
    </row>
    <row r="72" spans="1:17" s="390" customFormat="1" x14ac:dyDescent="0.15">
      <c r="A72" s="385">
        <v>57</v>
      </c>
      <c r="B72" s="560" t="s">
        <v>65</v>
      </c>
      <c r="C72" s="548">
        <f>'COEFIC 2023'!E64</f>
        <v>8196</v>
      </c>
      <c r="D72" s="549">
        <f>'COEFIC 2023'!I64</f>
        <v>0.17258929853694982</v>
      </c>
      <c r="E72" s="550">
        <f t="shared" si="11"/>
        <v>270077.90248366026</v>
      </c>
      <c r="F72" s="549">
        <f t="shared" si="12"/>
        <v>0.88495575221238942</v>
      </c>
      <c r="G72" s="551">
        <f t="shared" si="13"/>
        <v>593498.95646017708</v>
      </c>
      <c r="H72" s="552">
        <f t="shared" si="14"/>
        <v>863576.85894383735</v>
      </c>
      <c r="J72" s="558">
        <v>57</v>
      </c>
      <c r="K72" s="558" t="s">
        <v>65</v>
      </c>
      <c r="L72" s="443">
        <f t="shared" si="15"/>
        <v>8196</v>
      </c>
      <c r="M72" s="444">
        <f>'COEFIC 2023'!I64</f>
        <v>0.17258929853694982</v>
      </c>
      <c r="N72" s="445">
        <f t="shared" si="16"/>
        <v>0</v>
      </c>
      <c r="O72" s="571">
        <f t="shared" si="17"/>
        <v>0.88495575221238942</v>
      </c>
      <c r="P72" s="447">
        <f t="shared" si="18"/>
        <v>0</v>
      </c>
      <c r="Q72" s="572">
        <f t="shared" si="19"/>
        <v>0</v>
      </c>
    </row>
    <row r="73" spans="1:17" s="360" customFormat="1" x14ac:dyDescent="0.15">
      <c r="A73" s="385">
        <v>58</v>
      </c>
      <c r="B73" s="560" t="s">
        <v>134</v>
      </c>
      <c r="C73" s="548">
        <f>'COEFIC 2023'!E65</f>
        <v>20981</v>
      </c>
      <c r="D73" s="549">
        <f>'COEFIC 2023'!I65</f>
        <v>0.44181260036648906</v>
      </c>
      <c r="E73" s="550">
        <f t="shared" si="11"/>
        <v>691374.38653119525</v>
      </c>
      <c r="F73" s="549">
        <f t="shared" si="12"/>
        <v>0.88495575221238942</v>
      </c>
      <c r="G73" s="551">
        <f t="shared" si="13"/>
        <v>593498.95646017708</v>
      </c>
      <c r="H73" s="552">
        <f t="shared" si="14"/>
        <v>1284873.3429913723</v>
      </c>
      <c r="J73" s="558">
        <v>58</v>
      </c>
      <c r="K73" s="558" t="s">
        <v>134</v>
      </c>
      <c r="L73" s="443">
        <f t="shared" si="15"/>
        <v>20981</v>
      </c>
      <c r="M73" s="444">
        <f>'COEFIC 2023'!I65</f>
        <v>0.44181260036648906</v>
      </c>
      <c r="N73" s="445">
        <f t="shared" si="16"/>
        <v>0</v>
      </c>
      <c r="O73" s="571">
        <f t="shared" si="17"/>
        <v>0.88495575221238942</v>
      </c>
      <c r="P73" s="447">
        <f t="shared" si="18"/>
        <v>0</v>
      </c>
      <c r="Q73" s="572">
        <f t="shared" si="19"/>
        <v>0</v>
      </c>
    </row>
    <row r="74" spans="1:17" s="360" customFormat="1" x14ac:dyDescent="0.15">
      <c r="A74" s="385">
        <v>59</v>
      </c>
      <c r="B74" s="560" t="s">
        <v>136</v>
      </c>
      <c r="C74" s="548">
        <f>'COEFIC 2023'!E66</f>
        <v>9027</v>
      </c>
      <c r="D74" s="549">
        <f>'COEFIC 2023'!I66</f>
        <v>0.19008828671218228</v>
      </c>
      <c r="E74" s="550">
        <f t="shared" si="11"/>
        <v>297461.35013665212</v>
      </c>
      <c r="F74" s="549">
        <f t="shared" si="12"/>
        <v>0.88495575221238942</v>
      </c>
      <c r="G74" s="551">
        <f t="shared" si="13"/>
        <v>593498.95646017708</v>
      </c>
      <c r="H74" s="552">
        <f t="shared" si="14"/>
        <v>890960.30659682921</v>
      </c>
      <c r="J74" s="558">
        <v>59</v>
      </c>
      <c r="K74" s="558" t="s">
        <v>136</v>
      </c>
      <c r="L74" s="443">
        <f t="shared" si="15"/>
        <v>9027</v>
      </c>
      <c r="M74" s="444">
        <f>'COEFIC 2023'!I66</f>
        <v>0.19008828671218228</v>
      </c>
      <c r="N74" s="445">
        <f t="shared" si="16"/>
        <v>0</v>
      </c>
      <c r="O74" s="571">
        <f t="shared" si="17"/>
        <v>0.88495575221238942</v>
      </c>
      <c r="P74" s="447">
        <f t="shared" si="18"/>
        <v>0</v>
      </c>
      <c r="Q74" s="572">
        <f t="shared" si="19"/>
        <v>0</v>
      </c>
    </row>
    <row r="75" spans="1:17" s="360" customFormat="1" x14ac:dyDescent="0.15">
      <c r="A75" s="385">
        <v>60</v>
      </c>
      <c r="B75" s="560" t="s">
        <v>137</v>
      </c>
      <c r="C75" s="548">
        <f>'COEFIC 2023'!E67</f>
        <v>9437</v>
      </c>
      <c r="D75" s="549">
        <f>'COEFIC 2023'!I67</f>
        <v>0.19872196318853044</v>
      </c>
      <c r="E75" s="550">
        <f t="shared" si="11"/>
        <v>310971.83574161812</v>
      </c>
      <c r="F75" s="549">
        <f t="shared" si="12"/>
        <v>0.88495575221238942</v>
      </c>
      <c r="G75" s="551">
        <f t="shared" si="13"/>
        <v>593498.95646017708</v>
      </c>
      <c r="H75" s="552">
        <f t="shared" si="14"/>
        <v>904470.79220179515</v>
      </c>
      <c r="J75" s="558">
        <v>60</v>
      </c>
      <c r="K75" s="558" t="s">
        <v>137</v>
      </c>
      <c r="L75" s="443">
        <f t="shared" si="15"/>
        <v>9437</v>
      </c>
      <c r="M75" s="444">
        <f>'COEFIC 2023'!I67</f>
        <v>0.19872196318853044</v>
      </c>
      <c r="N75" s="445">
        <f t="shared" si="16"/>
        <v>0</v>
      </c>
      <c r="O75" s="571">
        <f t="shared" si="17"/>
        <v>0.88495575221238942</v>
      </c>
      <c r="P75" s="447">
        <f t="shared" si="18"/>
        <v>0</v>
      </c>
      <c r="Q75" s="572">
        <f t="shared" si="19"/>
        <v>0</v>
      </c>
    </row>
    <row r="76" spans="1:17" s="360" customFormat="1" x14ac:dyDescent="0.15">
      <c r="A76" s="385">
        <v>61</v>
      </c>
      <c r="B76" s="560" t="s">
        <v>135</v>
      </c>
      <c r="C76" s="548">
        <f>'COEFIC 2023'!E68</f>
        <v>24774</v>
      </c>
      <c r="D76" s="549">
        <f>'COEFIC 2023'!I68</f>
        <v>0.52168463664646103</v>
      </c>
      <c r="E76" s="550">
        <f t="shared" si="11"/>
        <v>816362.85457908723</v>
      </c>
      <c r="F76" s="549">
        <f t="shared" si="12"/>
        <v>0.88495575221238942</v>
      </c>
      <c r="G76" s="551">
        <f t="shared" si="13"/>
        <v>593498.95646017708</v>
      </c>
      <c r="H76" s="552">
        <f t="shared" si="14"/>
        <v>1409861.8110392643</v>
      </c>
      <c r="J76" s="558">
        <v>61</v>
      </c>
      <c r="K76" s="558" t="s">
        <v>135</v>
      </c>
      <c r="L76" s="443">
        <f t="shared" si="15"/>
        <v>24774</v>
      </c>
      <c r="M76" s="444">
        <f>'COEFIC 2023'!I68</f>
        <v>0.52168463664646103</v>
      </c>
      <c r="N76" s="445">
        <f t="shared" si="16"/>
        <v>0</v>
      </c>
      <c r="O76" s="571">
        <f t="shared" si="17"/>
        <v>0.88495575221238942</v>
      </c>
      <c r="P76" s="447">
        <f t="shared" si="18"/>
        <v>0</v>
      </c>
      <c r="Q76" s="572">
        <f t="shared" si="19"/>
        <v>0</v>
      </c>
    </row>
    <row r="77" spans="1:17" s="360" customFormat="1" x14ac:dyDescent="0.15">
      <c r="A77" s="385">
        <v>62</v>
      </c>
      <c r="B77" s="560" t="s">
        <v>113</v>
      </c>
      <c r="C77" s="548">
        <f>'COEFIC 2023'!E69</f>
        <v>21028</v>
      </c>
      <c r="D77" s="549">
        <f>'COEFIC 2023'!I69</f>
        <v>0.44280231449914359</v>
      </c>
      <c r="E77" s="550">
        <f t="shared" si="11"/>
        <v>692923.1495151791</v>
      </c>
      <c r="F77" s="549">
        <f t="shared" si="12"/>
        <v>0.88495575221238942</v>
      </c>
      <c r="G77" s="551">
        <f t="shared" si="13"/>
        <v>593498.95646017708</v>
      </c>
      <c r="H77" s="552">
        <f t="shared" si="14"/>
        <v>1286422.1059753562</v>
      </c>
      <c r="J77" s="558">
        <v>62</v>
      </c>
      <c r="K77" s="558" t="s">
        <v>113</v>
      </c>
      <c r="L77" s="443">
        <f t="shared" si="15"/>
        <v>21028</v>
      </c>
      <c r="M77" s="444">
        <f>'COEFIC 2023'!I69</f>
        <v>0.44280231449914359</v>
      </c>
      <c r="N77" s="445">
        <f t="shared" si="16"/>
        <v>0</v>
      </c>
      <c r="O77" s="571">
        <f t="shared" si="17"/>
        <v>0.88495575221238942</v>
      </c>
      <c r="P77" s="447">
        <f t="shared" si="18"/>
        <v>0</v>
      </c>
      <c r="Q77" s="572">
        <f t="shared" si="19"/>
        <v>0</v>
      </c>
    </row>
    <row r="78" spans="1:17" s="360" customFormat="1" x14ac:dyDescent="0.15">
      <c r="A78" s="385">
        <v>63</v>
      </c>
      <c r="B78" s="560" t="s">
        <v>123</v>
      </c>
      <c r="C78" s="548">
        <f>'COEFIC 2023'!E70</f>
        <v>14889</v>
      </c>
      <c r="D78" s="549">
        <f>'COEFIC 2023'!I70</f>
        <v>0.31352880257645754</v>
      </c>
      <c r="E78" s="550">
        <f t="shared" si="11"/>
        <v>490628.34188375034</v>
      </c>
      <c r="F78" s="549">
        <f t="shared" si="12"/>
        <v>0.88495575221238942</v>
      </c>
      <c r="G78" s="551">
        <f t="shared" si="13"/>
        <v>593498.95646017708</v>
      </c>
      <c r="H78" s="552">
        <f t="shared" si="14"/>
        <v>1084127.2983439274</v>
      </c>
      <c r="J78" s="558">
        <v>63</v>
      </c>
      <c r="K78" s="558" t="s">
        <v>123</v>
      </c>
      <c r="L78" s="443">
        <f t="shared" si="15"/>
        <v>14889</v>
      </c>
      <c r="M78" s="444">
        <f>'COEFIC 2023'!I70</f>
        <v>0.31352880257645754</v>
      </c>
      <c r="N78" s="445">
        <f t="shared" si="16"/>
        <v>0</v>
      </c>
      <c r="O78" s="571">
        <f t="shared" si="17"/>
        <v>0.88495575221238942</v>
      </c>
      <c r="P78" s="447">
        <f t="shared" si="18"/>
        <v>0</v>
      </c>
      <c r="Q78" s="572">
        <f t="shared" si="19"/>
        <v>0</v>
      </c>
    </row>
    <row r="79" spans="1:17" s="360" customFormat="1" x14ac:dyDescent="0.15">
      <c r="A79" s="385">
        <v>64</v>
      </c>
      <c r="B79" s="560" t="s">
        <v>74</v>
      </c>
      <c r="C79" s="548">
        <f>'COEFIC 2023'!E71</f>
        <v>26832</v>
      </c>
      <c r="D79" s="549">
        <f>'COEFIC 2023'!I71</f>
        <v>0.56502148100822813</v>
      </c>
      <c r="E79" s="550">
        <f t="shared" si="11"/>
        <v>884178.90183523332</v>
      </c>
      <c r="F79" s="549">
        <f t="shared" si="12"/>
        <v>0.88495575221238942</v>
      </c>
      <c r="G79" s="551">
        <f t="shared" si="13"/>
        <v>593498.95646017708</v>
      </c>
      <c r="H79" s="552">
        <f t="shared" si="14"/>
        <v>1477677.8582954104</v>
      </c>
      <c r="J79" s="558">
        <v>64</v>
      </c>
      <c r="K79" s="558" t="s">
        <v>74</v>
      </c>
      <c r="L79" s="443">
        <f t="shared" si="15"/>
        <v>26832</v>
      </c>
      <c r="M79" s="444">
        <f>'COEFIC 2023'!I71</f>
        <v>0.56502148100822813</v>
      </c>
      <c r="N79" s="445">
        <f t="shared" si="16"/>
        <v>0</v>
      </c>
      <c r="O79" s="571">
        <f t="shared" si="17"/>
        <v>0.88495575221238942</v>
      </c>
      <c r="P79" s="447">
        <f t="shared" si="18"/>
        <v>0</v>
      </c>
      <c r="Q79" s="572">
        <f t="shared" si="19"/>
        <v>0</v>
      </c>
    </row>
    <row r="80" spans="1:17" s="360" customFormat="1" x14ac:dyDescent="0.15">
      <c r="A80" s="385">
        <v>65</v>
      </c>
      <c r="B80" s="560" t="s">
        <v>89</v>
      </c>
      <c r="C80" s="548">
        <f>'COEFIC 2023'!E72</f>
        <v>39657</v>
      </c>
      <c r="D80" s="549">
        <f>'COEFIC 2023'!I72</f>
        <v>0.83508709273789883</v>
      </c>
      <c r="E80" s="550">
        <f t="shared" ref="E80:E111" si="20">$E$6*D80%</f>
        <v>1306793.4820393501</v>
      </c>
      <c r="F80" s="549">
        <f t="shared" ref="F80:F111" si="21">100/113</f>
        <v>0.88495575221238942</v>
      </c>
      <c r="G80" s="551">
        <f t="shared" ref="G80:G111" si="22">$E$7*F80%</f>
        <v>593498.95646017708</v>
      </c>
      <c r="H80" s="552">
        <f t="shared" ref="H80:H111" si="23">E80+G80</f>
        <v>1900292.4384995271</v>
      </c>
      <c r="J80" s="558">
        <v>65</v>
      </c>
      <c r="K80" s="558" t="s">
        <v>89</v>
      </c>
      <c r="L80" s="443">
        <f t="shared" ref="L80:L111" si="24">C80</f>
        <v>39657</v>
      </c>
      <c r="M80" s="444">
        <f>'COEFIC 2023'!I72</f>
        <v>0.83508709273789883</v>
      </c>
      <c r="N80" s="445">
        <f t="shared" ref="N80:N111" si="25">$M$6*M80%</f>
        <v>0</v>
      </c>
      <c r="O80" s="571">
        <f t="shared" ref="O80:O111" si="26">100/113</f>
        <v>0.88495575221238942</v>
      </c>
      <c r="P80" s="447">
        <f t="shared" ref="P80:P111" si="27">$M$7*O80%</f>
        <v>0</v>
      </c>
      <c r="Q80" s="572">
        <f t="shared" ref="Q80:Q111" si="28">N80+P80</f>
        <v>0</v>
      </c>
    </row>
    <row r="81" spans="1:17" s="360" customFormat="1" x14ac:dyDescent="0.15">
      <c r="A81" s="385">
        <v>66</v>
      </c>
      <c r="B81" s="560" t="s">
        <v>118</v>
      </c>
      <c r="C81" s="548">
        <f>'COEFIC 2023'!E73</f>
        <v>98382</v>
      </c>
      <c r="D81" s="549">
        <f>'COEFIC 2023'!I73</f>
        <v>2.0717033148684965</v>
      </c>
      <c r="E81" s="550">
        <f t="shared" si="20"/>
        <v>3241923.4019213594</v>
      </c>
      <c r="F81" s="549">
        <f t="shared" si="21"/>
        <v>0.88495575221238942</v>
      </c>
      <c r="G81" s="551">
        <f t="shared" si="22"/>
        <v>593498.95646017708</v>
      </c>
      <c r="H81" s="552">
        <f t="shared" si="23"/>
        <v>3835422.3583815363</v>
      </c>
      <c r="J81" s="558">
        <v>66</v>
      </c>
      <c r="K81" s="558" t="s">
        <v>118</v>
      </c>
      <c r="L81" s="443">
        <f t="shared" si="24"/>
        <v>98382</v>
      </c>
      <c r="M81" s="444">
        <f>'COEFIC 2023'!I73</f>
        <v>2.0717033148684965</v>
      </c>
      <c r="N81" s="445">
        <f t="shared" si="25"/>
        <v>0</v>
      </c>
      <c r="O81" s="571">
        <f t="shared" si="26"/>
        <v>0.88495575221238942</v>
      </c>
      <c r="P81" s="447">
        <f t="shared" si="27"/>
        <v>0</v>
      </c>
      <c r="Q81" s="572">
        <f t="shared" si="28"/>
        <v>0</v>
      </c>
    </row>
    <row r="82" spans="1:17" s="360" customFormat="1" x14ac:dyDescent="0.15">
      <c r="A82" s="385">
        <v>67</v>
      </c>
      <c r="B82" s="560" t="s">
        <v>120</v>
      </c>
      <c r="C82" s="548">
        <f>'COEFIC 2023'!E74</f>
        <v>16621</v>
      </c>
      <c r="D82" s="549">
        <f>'COEFIC 2023'!I74</f>
        <v>0.35000082125215265</v>
      </c>
      <c r="E82" s="550">
        <f t="shared" si="20"/>
        <v>547701.9054637528</v>
      </c>
      <c r="F82" s="549">
        <f t="shared" si="21"/>
        <v>0.88495575221238942</v>
      </c>
      <c r="G82" s="551">
        <f t="shared" si="22"/>
        <v>593498.95646017708</v>
      </c>
      <c r="H82" s="552">
        <f t="shared" si="23"/>
        <v>1141200.8619239298</v>
      </c>
      <c r="J82" s="558">
        <v>67</v>
      </c>
      <c r="K82" s="558" t="s">
        <v>120</v>
      </c>
      <c r="L82" s="443">
        <f t="shared" si="24"/>
        <v>16621</v>
      </c>
      <c r="M82" s="444">
        <f>'COEFIC 2023'!I74</f>
        <v>0.35000082125215265</v>
      </c>
      <c r="N82" s="445">
        <f t="shared" si="25"/>
        <v>0</v>
      </c>
      <c r="O82" s="571">
        <f t="shared" si="26"/>
        <v>0.88495575221238942</v>
      </c>
      <c r="P82" s="447">
        <f t="shared" si="27"/>
        <v>0</v>
      </c>
      <c r="Q82" s="572">
        <f t="shared" si="28"/>
        <v>0</v>
      </c>
    </row>
    <row r="83" spans="1:17" s="360" customFormat="1" x14ac:dyDescent="0.15">
      <c r="A83" s="385">
        <v>68</v>
      </c>
      <c r="B83" s="560" t="s">
        <v>144</v>
      </c>
      <c r="C83" s="548">
        <f>'COEFIC 2023'!E75</f>
        <v>29389</v>
      </c>
      <c r="D83" s="549">
        <f>'COEFIC 2023'!I75</f>
        <v>0.61886614137413598</v>
      </c>
      <c r="E83" s="550">
        <f t="shared" si="20"/>
        <v>968438.19864474027</v>
      </c>
      <c r="F83" s="549">
        <f t="shared" si="21"/>
        <v>0.88495575221238942</v>
      </c>
      <c r="G83" s="551">
        <f t="shared" si="22"/>
        <v>593498.95646017708</v>
      </c>
      <c r="H83" s="552">
        <f t="shared" si="23"/>
        <v>1561937.1551049175</v>
      </c>
      <c r="J83" s="558">
        <v>68</v>
      </c>
      <c r="K83" s="558" t="s">
        <v>144</v>
      </c>
      <c r="L83" s="443">
        <f t="shared" si="24"/>
        <v>29389</v>
      </c>
      <c r="M83" s="444">
        <f>'COEFIC 2023'!I75</f>
        <v>0.61886614137413598</v>
      </c>
      <c r="N83" s="445">
        <f t="shared" si="25"/>
        <v>0</v>
      </c>
      <c r="O83" s="571">
        <f t="shared" si="26"/>
        <v>0.88495575221238942</v>
      </c>
      <c r="P83" s="447">
        <f t="shared" si="27"/>
        <v>0</v>
      </c>
      <c r="Q83" s="572">
        <f t="shared" si="28"/>
        <v>0</v>
      </c>
    </row>
    <row r="84" spans="1:17" s="360" customFormat="1" x14ac:dyDescent="0.15">
      <c r="A84" s="385">
        <v>69</v>
      </c>
      <c r="B84" s="560" t="s">
        <v>84</v>
      </c>
      <c r="C84" s="548">
        <f>'COEFIC 2023'!E76</f>
        <v>106490</v>
      </c>
      <c r="D84" s="549">
        <f>'COEFIC 2023'!I76</f>
        <v>2.2424395316251569</v>
      </c>
      <c r="E84" s="550">
        <f t="shared" si="20"/>
        <v>3509101.4928605394</v>
      </c>
      <c r="F84" s="549">
        <f t="shared" si="21"/>
        <v>0.88495575221238942</v>
      </c>
      <c r="G84" s="551">
        <f t="shared" si="22"/>
        <v>593498.95646017708</v>
      </c>
      <c r="H84" s="552">
        <f t="shared" si="23"/>
        <v>4102600.4493207163</v>
      </c>
      <c r="J84" s="558">
        <v>69</v>
      </c>
      <c r="K84" s="558" t="s">
        <v>84</v>
      </c>
      <c r="L84" s="443">
        <f t="shared" si="24"/>
        <v>106490</v>
      </c>
      <c r="M84" s="444">
        <f>'COEFIC 2023'!I76</f>
        <v>2.2424395316251569</v>
      </c>
      <c r="N84" s="445">
        <f t="shared" si="25"/>
        <v>0</v>
      </c>
      <c r="O84" s="571">
        <f t="shared" si="26"/>
        <v>0.88495575221238942</v>
      </c>
      <c r="P84" s="447">
        <f t="shared" si="27"/>
        <v>0</v>
      </c>
      <c r="Q84" s="572">
        <f t="shared" si="28"/>
        <v>0</v>
      </c>
    </row>
    <row r="85" spans="1:17" s="360" customFormat="1" x14ac:dyDescent="0.15">
      <c r="A85" s="385">
        <v>70</v>
      </c>
      <c r="B85" s="560" t="s">
        <v>53</v>
      </c>
      <c r="C85" s="548">
        <f>'COEFIC 2023'!E77</f>
        <v>15503</v>
      </c>
      <c r="D85" s="549">
        <f>'COEFIC 2023'!I77</f>
        <v>0.32645825954347646</v>
      </c>
      <c r="E85" s="550">
        <f t="shared" si="20"/>
        <v>510861.11788728466</v>
      </c>
      <c r="F85" s="549">
        <f t="shared" si="21"/>
        <v>0.88495575221238942</v>
      </c>
      <c r="G85" s="551">
        <f t="shared" si="22"/>
        <v>593498.95646017708</v>
      </c>
      <c r="H85" s="552">
        <f t="shared" si="23"/>
        <v>1104360.0743474618</v>
      </c>
      <c r="J85" s="558">
        <v>70</v>
      </c>
      <c r="K85" s="558" t="s">
        <v>53</v>
      </c>
      <c r="L85" s="443">
        <f t="shared" si="24"/>
        <v>15503</v>
      </c>
      <c r="M85" s="444">
        <f>'COEFIC 2023'!I77</f>
        <v>0.32645825954347646</v>
      </c>
      <c r="N85" s="445">
        <f t="shared" si="25"/>
        <v>0</v>
      </c>
      <c r="O85" s="571">
        <f t="shared" si="26"/>
        <v>0.88495575221238942</v>
      </c>
      <c r="P85" s="447">
        <f t="shared" si="27"/>
        <v>0</v>
      </c>
      <c r="Q85" s="572">
        <f t="shared" si="28"/>
        <v>0</v>
      </c>
    </row>
    <row r="86" spans="1:17" s="360" customFormat="1" x14ac:dyDescent="0.15">
      <c r="A86" s="385">
        <v>71</v>
      </c>
      <c r="B86" s="560" t="s">
        <v>143</v>
      </c>
      <c r="C86" s="548">
        <f>'COEFIC 2023'!E78</f>
        <v>69260</v>
      </c>
      <c r="D86" s="549">
        <f>'COEFIC 2023'!I78</f>
        <v>1.4584595920777386</v>
      </c>
      <c r="E86" s="550">
        <f t="shared" si="20"/>
        <v>2282283.4951218045</v>
      </c>
      <c r="F86" s="549">
        <f t="shared" si="21"/>
        <v>0.88495575221238942</v>
      </c>
      <c r="G86" s="551">
        <f t="shared" si="22"/>
        <v>593498.95646017708</v>
      </c>
      <c r="H86" s="552">
        <f t="shared" si="23"/>
        <v>2875782.4515819815</v>
      </c>
      <c r="J86" s="558">
        <v>71</v>
      </c>
      <c r="K86" s="558" t="s">
        <v>143</v>
      </c>
      <c r="L86" s="443">
        <f t="shared" si="24"/>
        <v>69260</v>
      </c>
      <c r="M86" s="444">
        <f>'COEFIC 2023'!I78</f>
        <v>1.4584595920777386</v>
      </c>
      <c r="N86" s="445">
        <f t="shared" si="25"/>
        <v>0</v>
      </c>
      <c r="O86" s="571">
        <f t="shared" si="26"/>
        <v>0.88495575221238942</v>
      </c>
      <c r="P86" s="447">
        <f t="shared" si="27"/>
        <v>0</v>
      </c>
      <c r="Q86" s="572">
        <f t="shared" si="28"/>
        <v>0</v>
      </c>
    </row>
    <row r="87" spans="1:17" s="360" customFormat="1" x14ac:dyDescent="0.15">
      <c r="A87" s="385">
        <v>72</v>
      </c>
      <c r="B87" s="560" t="s">
        <v>132</v>
      </c>
      <c r="C87" s="548">
        <f>'COEFIC 2023'!E79</f>
        <v>13961</v>
      </c>
      <c r="D87" s="549">
        <f>'COEFIC 2023'!I79</f>
        <v>0.29398721289340612</v>
      </c>
      <c r="E87" s="550">
        <f t="shared" si="20"/>
        <v>460048.51105104701</v>
      </c>
      <c r="F87" s="549">
        <f t="shared" si="21"/>
        <v>0.88495575221238942</v>
      </c>
      <c r="G87" s="551">
        <f t="shared" si="22"/>
        <v>593498.95646017708</v>
      </c>
      <c r="H87" s="552">
        <f t="shared" si="23"/>
        <v>1053547.4675112241</v>
      </c>
      <c r="J87" s="558">
        <v>72</v>
      </c>
      <c r="K87" s="558" t="s">
        <v>132</v>
      </c>
      <c r="L87" s="443">
        <f t="shared" si="24"/>
        <v>13961</v>
      </c>
      <c r="M87" s="444">
        <f>'COEFIC 2023'!I79</f>
        <v>0.29398721289340612</v>
      </c>
      <c r="N87" s="445">
        <f t="shared" si="25"/>
        <v>0</v>
      </c>
      <c r="O87" s="571">
        <f t="shared" si="26"/>
        <v>0.88495575221238942</v>
      </c>
      <c r="P87" s="447">
        <f t="shared" si="27"/>
        <v>0</v>
      </c>
      <c r="Q87" s="572">
        <f t="shared" si="28"/>
        <v>0</v>
      </c>
    </row>
    <row r="88" spans="1:17" s="360" customFormat="1" x14ac:dyDescent="0.15">
      <c r="A88" s="385">
        <v>73</v>
      </c>
      <c r="B88" s="560" t="s">
        <v>85</v>
      </c>
      <c r="C88" s="548">
        <f>'COEFIC 2023'!E80</f>
        <v>27176</v>
      </c>
      <c r="D88" s="549">
        <f>'COEFIC 2023'!I80</f>
        <v>0.5722653461493592</v>
      </c>
      <c r="E88" s="550">
        <f t="shared" si="20"/>
        <v>895514.52878183883</v>
      </c>
      <c r="F88" s="549">
        <f t="shared" si="21"/>
        <v>0.88495575221238942</v>
      </c>
      <c r="G88" s="551">
        <f t="shared" si="22"/>
        <v>593498.95646017708</v>
      </c>
      <c r="H88" s="552">
        <f t="shared" si="23"/>
        <v>1489013.4852420159</v>
      </c>
      <c r="J88" s="558">
        <v>73</v>
      </c>
      <c r="K88" s="558" t="s">
        <v>85</v>
      </c>
      <c r="L88" s="443">
        <f t="shared" si="24"/>
        <v>27176</v>
      </c>
      <c r="M88" s="444">
        <f>'COEFIC 2023'!I80</f>
        <v>0.5722653461493592</v>
      </c>
      <c r="N88" s="445">
        <f t="shared" si="25"/>
        <v>0</v>
      </c>
      <c r="O88" s="571">
        <f t="shared" si="26"/>
        <v>0.88495575221238942</v>
      </c>
      <c r="P88" s="447">
        <f t="shared" si="27"/>
        <v>0</v>
      </c>
      <c r="Q88" s="572">
        <f t="shared" si="28"/>
        <v>0</v>
      </c>
    </row>
    <row r="89" spans="1:17" s="360" customFormat="1" x14ac:dyDescent="0.15">
      <c r="A89" s="385">
        <v>74</v>
      </c>
      <c r="B89" s="561" t="s">
        <v>133</v>
      </c>
      <c r="C89" s="548">
        <f>'COEFIC 2023'!E81</f>
        <v>10553</v>
      </c>
      <c r="D89" s="549">
        <f>'COEFIC 2023'!I81</f>
        <v>0.22222240940220003</v>
      </c>
      <c r="E89" s="550">
        <f t="shared" si="20"/>
        <v>347746.71851025702</v>
      </c>
      <c r="F89" s="549">
        <f t="shared" si="21"/>
        <v>0.88495575221238942</v>
      </c>
      <c r="G89" s="551">
        <f t="shared" si="22"/>
        <v>593498.95646017708</v>
      </c>
      <c r="H89" s="552">
        <f t="shared" si="23"/>
        <v>941245.67497043405</v>
      </c>
      <c r="J89" s="558">
        <v>74</v>
      </c>
      <c r="K89" s="558" t="s">
        <v>133</v>
      </c>
      <c r="L89" s="443">
        <f t="shared" si="24"/>
        <v>10553</v>
      </c>
      <c r="M89" s="444">
        <f>'COEFIC 2023'!I81</f>
        <v>0.22222240940220003</v>
      </c>
      <c r="N89" s="445">
        <f t="shared" si="25"/>
        <v>0</v>
      </c>
      <c r="O89" s="571">
        <f t="shared" si="26"/>
        <v>0.88495575221238942</v>
      </c>
      <c r="P89" s="447">
        <f t="shared" si="27"/>
        <v>0</v>
      </c>
      <c r="Q89" s="572">
        <f t="shared" si="28"/>
        <v>0</v>
      </c>
    </row>
    <row r="90" spans="1:17" s="360" customFormat="1" x14ac:dyDescent="0.15">
      <c r="A90" s="385">
        <v>75</v>
      </c>
      <c r="B90" s="560" t="s">
        <v>146</v>
      </c>
      <c r="C90" s="548">
        <f>'COEFIC 2023'!E82</f>
        <v>78935</v>
      </c>
      <c r="D90" s="549">
        <f>'COEFIC 2023'!I82</f>
        <v>1.6621932991720516</v>
      </c>
      <c r="E90" s="550">
        <f t="shared" si="20"/>
        <v>2601098.0029950859</v>
      </c>
      <c r="F90" s="549">
        <f t="shared" si="21"/>
        <v>0.88495575221238942</v>
      </c>
      <c r="G90" s="551">
        <f t="shared" si="22"/>
        <v>593498.95646017708</v>
      </c>
      <c r="H90" s="552">
        <f t="shared" si="23"/>
        <v>3194596.9594552629</v>
      </c>
      <c r="J90" s="558">
        <v>75</v>
      </c>
      <c r="K90" s="558" t="s">
        <v>146</v>
      </c>
      <c r="L90" s="443">
        <f t="shared" si="24"/>
        <v>78935</v>
      </c>
      <c r="M90" s="444">
        <f>'COEFIC 2023'!I82</f>
        <v>1.6621932991720516</v>
      </c>
      <c r="N90" s="445">
        <f t="shared" si="25"/>
        <v>0</v>
      </c>
      <c r="O90" s="571">
        <f t="shared" si="26"/>
        <v>0.88495575221238942</v>
      </c>
      <c r="P90" s="447">
        <f t="shared" si="27"/>
        <v>0</v>
      </c>
      <c r="Q90" s="572">
        <f t="shared" si="28"/>
        <v>0</v>
      </c>
    </row>
    <row r="91" spans="1:17" s="360" customFormat="1" x14ac:dyDescent="0.15">
      <c r="A91" s="385">
        <v>76</v>
      </c>
      <c r="B91" s="560" t="s">
        <v>148</v>
      </c>
      <c r="C91" s="548">
        <f>'COEFIC 2023'!E83</f>
        <v>78477</v>
      </c>
      <c r="D91" s="549">
        <f>'COEFIC 2023'!I83</f>
        <v>1.6525488508155455</v>
      </c>
      <c r="E91" s="550">
        <f t="shared" si="20"/>
        <v>2586005.8020022209</v>
      </c>
      <c r="F91" s="549">
        <f t="shared" si="21"/>
        <v>0.88495575221238942</v>
      </c>
      <c r="G91" s="551">
        <f t="shared" si="22"/>
        <v>593498.95646017708</v>
      </c>
      <c r="H91" s="552">
        <f t="shared" si="23"/>
        <v>3179504.7584623978</v>
      </c>
      <c r="J91" s="558">
        <v>76</v>
      </c>
      <c r="K91" s="558" t="s">
        <v>148</v>
      </c>
      <c r="L91" s="443">
        <f t="shared" si="24"/>
        <v>78477</v>
      </c>
      <c r="M91" s="444">
        <f>'COEFIC 2023'!I83</f>
        <v>1.6525488508155455</v>
      </c>
      <c r="N91" s="445">
        <f t="shared" si="25"/>
        <v>0</v>
      </c>
      <c r="O91" s="571">
        <f t="shared" si="26"/>
        <v>0.88495575221238942</v>
      </c>
      <c r="P91" s="447">
        <f t="shared" si="27"/>
        <v>0</v>
      </c>
      <c r="Q91" s="572">
        <f t="shared" si="28"/>
        <v>0</v>
      </c>
    </row>
    <row r="92" spans="1:17" s="360" customFormat="1" x14ac:dyDescent="0.15">
      <c r="A92" s="385">
        <v>77</v>
      </c>
      <c r="B92" s="560" t="s">
        <v>45</v>
      </c>
      <c r="C92" s="548">
        <f>'COEFIC 2023'!E84</f>
        <v>17677</v>
      </c>
      <c r="D92" s="549">
        <f>'COEFIC 2023'!I84</f>
        <v>0.37223780261562495</v>
      </c>
      <c r="E92" s="550">
        <f t="shared" si="20"/>
        <v>582499.64399751869</v>
      </c>
      <c r="F92" s="549">
        <f t="shared" si="21"/>
        <v>0.88495575221238942</v>
      </c>
      <c r="G92" s="551">
        <f t="shared" si="22"/>
        <v>593498.95646017708</v>
      </c>
      <c r="H92" s="552">
        <f t="shared" si="23"/>
        <v>1175998.6004576958</v>
      </c>
      <c r="J92" s="558">
        <v>77</v>
      </c>
      <c r="K92" s="558" t="s">
        <v>45</v>
      </c>
      <c r="L92" s="443">
        <f t="shared" si="24"/>
        <v>17677</v>
      </c>
      <c r="M92" s="444">
        <f>'COEFIC 2023'!I84</f>
        <v>0.37223780261562495</v>
      </c>
      <c r="N92" s="445">
        <f t="shared" si="25"/>
        <v>0</v>
      </c>
      <c r="O92" s="571">
        <f t="shared" si="26"/>
        <v>0.88495575221238942</v>
      </c>
      <c r="P92" s="447">
        <f t="shared" si="27"/>
        <v>0</v>
      </c>
      <c r="Q92" s="572">
        <f t="shared" si="28"/>
        <v>0</v>
      </c>
    </row>
    <row r="93" spans="1:17" s="360" customFormat="1" x14ac:dyDescent="0.15">
      <c r="A93" s="385">
        <v>78</v>
      </c>
      <c r="B93" s="560" t="s">
        <v>349</v>
      </c>
      <c r="C93" s="548">
        <f>'COEFIC 2023'!E85</f>
        <v>12812</v>
      </c>
      <c r="D93" s="549">
        <f>'COEFIC 2023'!I85</f>
        <v>0.26979186101212799</v>
      </c>
      <c r="E93" s="550">
        <f t="shared" si="20"/>
        <v>422186.19895322784</v>
      </c>
      <c r="F93" s="549">
        <f t="shared" si="21"/>
        <v>0.88495575221238942</v>
      </c>
      <c r="G93" s="551">
        <f t="shared" si="22"/>
        <v>593498.95646017708</v>
      </c>
      <c r="H93" s="552">
        <f t="shared" si="23"/>
        <v>1015685.1554134049</v>
      </c>
      <c r="J93" s="558">
        <v>78</v>
      </c>
      <c r="K93" s="558" t="s">
        <v>349</v>
      </c>
      <c r="L93" s="443">
        <f t="shared" si="24"/>
        <v>12812</v>
      </c>
      <c r="M93" s="444">
        <f>'COEFIC 2023'!I85</f>
        <v>0.26979186101212799</v>
      </c>
      <c r="N93" s="445">
        <f t="shared" si="25"/>
        <v>0</v>
      </c>
      <c r="O93" s="571">
        <f t="shared" si="26"/>
        <v>0.88495575221238942</v>
      </c>
      <c r="P93" s="447">
        <f t="shared" si="27"/>
        <v>0</v>
      </c>
      <c r="Q93" s="572">
        <f t="shared" si="28"/>
        <v>0</v>
      </c>
    </row>
    <row r="94" spans="1:17" s="360" customFormat="1" x14ac:dyDescent="0.15">
      <c r="A94" s="385">
        <v>79</v>
      </c>
      <c r="B94" s="560" t="s">
        <v>138</v>
      </c>
      <c r="C94" s="548">
        <f>'COEFIC 2023'!E86</f>
        <v>49896</v>
      </c>
      <c r="D94" s="549">
        <f>'COEFIC 2023'!I86</f>
        <v>1.0506973694240664</v>
      </c>
      <c r="E94" s="550">
        <f t="shared" si="20"/>
        <v>1644193.1457204383</v>
      </c>
      <c r="F94" s="549">
        <f t="shared" si="21"/>
        <v>0.88495575221238942</v>
      </c>
      <c r="G94" s="551">
        <f t="shared" si="22"/>
        <v>593498.95646017708</v>
      </c>
      <c r="H94" s="552">
        <f t="shared" si="23"/>
        <v>2237692.1021806155</v>
      </c>
      <c r="J94" s="558">
        <v>79</v>
      </c>
      <c r="K94" s="558" t="s">
        <v>138</v>
      </c>
      <c r="L94" s="443">
        <f t="shared" si="24"/>
        <v>49896</v>
      </c>
      <c r="M94" s="444">
        <f>'COEFIC 2023'!I86</f>
        <v>1.0506973694240664</v>
      </c>
      <c r="N94" s="445">
        <f t="shared" si="25"/>
        <v>0</v>
      </c>
      <c r="O94" s="571">
        <f t="shared" si="26"/>
        <v>0.88495575221238942</v>
      </c>
      <c r="P94" s="447">
        <f t="shared" si="27"/>
        <v>0</v>
      </c>
      <c r="Q94" s="572">
        <f t="shared" si="28"/>
        <v>0</v>
      </c>
    </row>
    <row r="95" spans="1:17" s="360" customFormat="1" x14ac:dyDescent="0.15">
      <c r="A95" s="385">
        <v>80</v>
      </c>
      <c r="B95" s="560" t="s">
        <v>93</v>
      </c>
      <c r="C95" s="548">
        <f>'COEFIC 2023'!E87</f>
        <v>19833</v>
      </c>
      <c r="D95" s="549">
        <f>'COEFIC 2023'!I87</f>
        <v>0.41763830623271425</v>
      </c>
      <c r="E95" s="550">
        <f t="shared" si="20"/>
        <v>653545.02683729061</v>
      </c>
      <c r="F95" s="549">
        <f t="shared" si="21"/>
        <v>0.88495575221238942</v>
      </c>
      <c r="G95" s="551">
        <f t="shared" si="22"/>
        <v>593498.95646017708</v>
      </c>
      <c r="H95" s="552">
        <f t="shared" si="23"/>
        <v>1247043.9832974677</v>
      </c>
      <c r="J95" s="558">
        <v>80</v>
      </c>
      <c r="K95" s="558" t="s">
        <v>93</v>
      </c>
      <c r="L95" s="443">
        <f t="shared" si="24"/>
        <v>19833</v>
      </c>
      <c r="M95" s="444">
        <f>'COEFIC 2023'!I87</f>
        <v>0.41763830623271425</v>
      </c>
      <c r="N95" s="445">
        <f t="shared" si="25"/>
        <v>0</v>
      </c>
      <c r="O95" s="571">
        <f t="shared" si="26"/>
        <v>0.88495575221238942</v>
      </c>
      <c r="P95" s="447">
        <f t="shared" si="27"/>
        <v>0</v>
      </c>
      <c r="Q95" s="572">
        <f t="shared" si="28"/>
        <v>0</v>
      </c>
    </row>
    <row r="96" spans="1:17" s="360" customFormat="1" x14ac:dyDescent="0.15">
      <c r="A96" s="385">
        <v>81</v>
      </c>
      <c r="B96" s="560" t="s">
        <v>116</v>
      </c>
      <c r="C96" s="548">
        <f>'COEFIC 2023'!E88</f>
        <v>9076</v>
      </c>
      <c r="D96" s="549">
        <f>'COEFIC 2023'!I88</f>
        <v>0.19112011633984341</v>
      </c>
      <c r="E96" s="550">
        <f t="shared" si="20"/>
        <v>299076.01792846515</v>
      </c>
      <c r="F96" s="549">
        <f t="shared" si="21"/>
        <v>0.88495575221238942</v>
      </c>
      <c r="G96" s="551">
        <f t="shared" si="22"/>
        <v>593498.95646017708</v>
      </c>
      <c r="H96" s="552">
        <f t="shared" si="23"/>
        <v>892574.97438864224</v>
      </c>
      <c r="J96" s="558">
        <v>81</v>
      </c>
      <c r="K96" s="558" t="s">
        <v>116</v>
      </c>
      <c r="L96" s="443">
        <f t="shared" si="24"/>
        <v>9076</v>
      </c>
      <c r="M96" s="444">
        <f>'COEFIC 2023'!I88</f>
        <v>0.19112011633984341</v>
      </c>
      <c r="N96" s="445">
        <f t="shared" si="25"/>
        <v>0</v>
      </c>
      <c r="O96" s="571">
        <f t="shared" si="26"/>
        <v>0.88495575221238942</v>
      </c>
      <c r="P96" s="447">
        <f t="shared" si="27"/>
        <v>0</v>
      </c>
      <c r="Q96" s="572">
        <f t="shared" si="28"/>
        <v>0</v>
      </c>
    </row>
    <row r="97" spans="1:17" s="360" customFormat="1" x14ac:dyDescent="0.15">
      <c r="A97" s="385">
        <v>82</v>
      </c>
      <c r="B97" s="560" t="s">
        <v>152</v>
      </c>
      <c r="C97" s="548">
        <f>'COEFIC 2023'!E89</f>
        <v>79540</v>
      </c>
      <c r="D97" s="549">
        <f>'COEFIC 2023'!I89</f>
        <v>1.6749332364115408</v>
      </c>
      <c r="E97" s="550">
        <f t="shared" si="20"/>
        <v>2621034.207363389</v>
      </c>
      <c r="F97" s="549">
        <f t="shared" si="21"/>
        <v>0.88495575221238942</v>
      </c>
      <c r="G97" s="551">
        <f t="shared" si="22"/>
        <v>593498.95646017708</v>
      </c>
      <c r="H97" s="552">
        <f t="shared" si="23"/>
        <v>3214533.1638235659</v>
      </c>
      <c r="J97" s="558">
        <v>82</v>
      </c>
      <c r="K97" s="558" t="s">
        <v>152</v>
      </c>
      <c r="L97" s="443">
        <f t="shared" si="24"/>
        <v>79540</v>
      </c>
      <c r="M97" s="444">
        <f>'COEFIC 2023'!I89</f>
        <v>1.6749332364115408</v>
      </c>
      <c r="N97" s="445">
        <f t="shared" si="25"/>
        <v>0</v>
      </c>
      <c r="O97" s="571">
        <f t="shared" si="26"/>
        <v>0.88495575221238942</v>
      </c>
      <c r="P97" s="447">
        <f t="shared" si="27"/>
        <v>0</v>
      </c>
      <c r="Q97" s="572">
        <f t="shared" si="28"/>
        <v>0</v>
      </c>
    </row>
    <row r="98" spans="1:17" s="360" customFormat="1" x14ac:dyDescent="0.15">
      <c r="A98" s="385">
        <v>83</v>
      </c>
      <c r="B98" s="560" t="s">
        <v>153</v>
      </c>
      <c r="C98" s="548">
        <f>'COEFIC 2023'!E90</f>
        <v>33453</v>
      </c>
      <c r="D98" s="549">
        <f>'COEFIC 2023'!I90</f>
        <v>0.70444482722749913</v>
      </c>
      <c r="E98" s="550">
        <f t="shared" si="20"/>
        <v>1102356.7681534758</v>
      </c>
      <c r="F98" s="549">
        <f t="shared" si="21"/>
        <v>0.88495575221238942</v>
      </c>
      <c r="G98" s="551">
        <f t="shared" si="22"/>
        <v>593498.95646017708</v>
      </c>
      <c r="H98" s="552">
        <f t="shared" si="23"/>
        <v>1695855.724613653</v>
      </c>
      <c r="J98" s="558">
        <v>83</v>
      </c>
      <c r="K98" s="558" t="s">
        <v>153</v>
      </c>
      <c r="L98" s="443">
        <f t="shared" si="24"/>
        <v>33453</v>
      </c>
      <c r="M98" s="444">
        <f>'COEFIC 2023'!I90</f>
        <v>0.70444482722749913</v>
      </c>
      <c r="N98" s="445">
        <f t="shared" si="25"/>
        <v>0</v>
      </c>
      <c r="O98" s="571">
        <f t="shared" si="26"/>
        <v>0.88495575221238942</v>
      </c>
      <c r="P98" s="447">
        <f t="shared" si="27"/>
        <v>0</v>
      </c>
      <c r="Q98" s="572">
        <f t="shared" si="28"/>
        <v>0</v>
      </c>
    </row>
    <row r="99" spans="1:17" s="360" customFormat="1" x14ac:dyDescent="0.15">
      <c r="A99" s="385">
        <v>84</v>
      </c>
      <c r="B99" s="560" t="s">
        <v>107</v>
      </c>
      <c r="C99" s="548">
        <f>'COEFIC 2023'!E91</f>
        <v>31716</v>
      </c>
      <c r="D99" s="549">
        <f>'COEFIC 2023'!I91</f>
        <v>0.66786751981428749</v>
      </c>
      <c r="E99" s="550">
        <f t="shared" si="20"/>
        <v>1045118.4425539005</v>
      </c>
      <c r="F99" s="549">
        <f t="shared" si="21"/>
        <v>0.88495575221238942</v>
      </c>
      <c r="G99" s="551">
        <f t="shared" si="22"/>
        <v>593498.95646017708</v>
      </c>
      <c r="H99" s="552">
        <f t="shared" si="23"/>
        <v>1638617.3990140776</v>
      </c>
      <c r="J99" s="558">
        <v>84</v>
      </c>
      <c r="K99" s="558" t="s">
        <v>107</v>
      </c>
      <c r="L99" s="443">
        <f t="shared" si="24"/>
        <v>31716</v>
      </c>
      <c r="M99" s="444">
        <f>'COEFIC 2023'!I91</f>
        <v>0.66786751981428749</v>
      </c>
      <c r="N99" s="445">
        <f t="shared" si="25"/>
        <v>0</v>
      </c>
      <c r="O99" s="571">
        <f t="shared" si="26"/>
        <v>0.88495575221238942</v>
      </c>
      <c r="P99" s="447">
        <f t="shared" si="27"/>
        <v>0</v>
      </c>
      <c r="Q99" s="572">
        <f t="shared" si="28"/>
        <v>0</v>
      </c>
    </row>
    <row r="100" spans="1:17" s="360" customFormat="1" x14ac:dyDescent="0.15">
      <c r="A100" s="385">
        <v>85</v>
      </c>
      <c r="B100" s="560" t="s">
        <v>124</v>
      </c>
      <c r="C100" s="548">
        <f>'COEFIC 2023'!E92</f>
        <v>35256</v>
      </c>
      <c r="D100" s="549">
        <f>'COEFIC 2023'!I92</f>
        <v>0.74241194597592763</v>
      </c>
      <c r="E100" s="550">
        <f t="shared" si="20"/>
        <v>1161769.9524114113</v>
      </c>
      <c r="F100" s="549">
        <f t="shared" si="21"/>
        <v>0.88495575221238942</v>
      </c>
      <c r="G100" s="551">
        <f t="shared" si="22"/>
        <v>593498.95646017708</v>
      </c>
      <c r="H100" s="552">
        <f t="shared" si="23"/>
        <v>1755268.9088715883</v>
      </c>
      <c r="J100" s="558">
        <v>85</v>
      </c>
      <c r="K100" s="558" t="s">
        <v>124</v>
      </c>
      <c r="L100" s="443">
        <f t="shared" si="24"/>
        <v>35256</v>
      </c>
      <c r="M100" s="444">
        <f>'COEFIC 2023'!I92</f>
        <v>0.74241194597592763</v>
      </c>
      <c r="N100" s="445">
        <f t="shared" si="25"/>
        <v>0</v>
      </c>
      <c r="O100" s="571">
        <f t="shared" si="26"/>
        <v>0.88495575221238942</v>
      </c>
      <c r="P100" s="447">
        <f t="shared" si="27"/>
        <v>0</v>
      </c>
      <c r="Q100" s="572">
        <f t="shared" si="28"/>
        <v>0</v>
      </c>
    </row>
    <row r="101" spans="1:17" s="360" customFormat="1" x14ac:dyDescent="0.15">
      <c r="A101" s="385">
        <v>86</v>
      </c>
      <c r="B101" s="560" t="s">
        <v>129</v>
      </c>
      <c r="C101" s="548">
        <f>'COEFIC 2023'!E93</f>
        <v>15534</v>
      </c>
      <c r="D101" s="549">
        <f>'COEFIC 2023'!I93</f>
        <v>0.32711104971607841</v>
      </c>
      <c r="E101" s="550">
        <f t="shared" si="20"/>
        <v>511882.64240863576</v>
      </c>
      <c r="F101" s="549">
        <f t="shared" si="21"/>
        <v>0.88495575221238942</v>
      </c>
      <c r="G101" s="551">
        <f t="shared" si="22"/>
        <v>593498.95646017708</v>
      </c>
      <c r="H101" s="552">
        <f t="shared" si="23"/>
        <v>1105381.5988688129</v>
      </c>
      <c r="J101" s="558">
        <v>86</v>
      </c>
      <c r="K101" s="558" t="s">
        <v>129</v>
      </c>
      <c r="L101" s="443">
        <f t="shared" si="24"/>
        <v>15534</v>
      </c>
      <c r="M101" s="444">
        <f>'COEFIC 2023'!I93</f>
        <v>0.32711104971607841</v>
      </c>
      <c r="N101" s="445">
        <f t="shared" si="25"/>
        <v>0</v>
      </c>
      <c r="O101" s="571">
        <f t="shared" si="26"/>
        <v>0.88495575221238942</v>
      </c>
      <c r="P101" s="447">
        <f t="shared" si="27"/>
        <v>0</v>
      </c>
      <c r="Q101" s="572">
        <f t="shared" si="28"/>
        <v>0</v>
      </c>
    </row>
    <row r="102" spans="1:17" s="360" customFormat="1" x14ac:dyDescent="0.15">
      <c r="A102" s="385">
        <v>87</v>
      </c>
      <c r="B102" s="560" t="s">
        <v>350</v>
      </c>
      <c r="C102" s="548">
        <f>'COEFIC 2023'!E94</f>
        <v>15589</v>
      </c>
      <c r="D102" s="549">
        <f>'COEFIC 2023'!I94</f>
        <v>0.32826922582875923</v>
      </c>
      <c r="E102" s="550">
        <f t="shared" si="20"/>
        <v>513695.02462393598</v>
      </c>
      <c r="F102" s="549">
        <f t="shared" si="21"/>
        <v>0.88495575221238942</v>
      </c>
      <c r="G102" s="551">
        <f t="shared" si="22"/>
        <v>593498.95646017708</v>
      </c>
      <c r="H102" s="552">
        <f t="shared" si="23"/>
        <v>1107193.981084113</v>
      </c>
      <c r="J102" s="558">
        <v>87</v>
      </c>
      <c r="K102" s="558" t="s">
        <v>350</v>
      </c>
      <c r="L102" s="443">
        <f t="shared" si="24"/>
        <v>15589</v>
      </c>
      <c r="M102" s="444">
        <f>'COEFIC 2023'!I94</f>
        <v>0.32826922582875923</v>
      </c>
      <c r="N102" s="445">
        <f t="shared" si="25"/>
        <v>0</v>
      </c>
      <c r="O102" s="571">
        <f t="shared" si="26"/>
        <v>0.88495575221238942</v>
      </c>
      <c r="P102" s="447">
        <f t="shared" si="27"/>
        <v>0</v>
      </c>
      <c r="Q102" s="572">
        <f t="shared" si="28"/>
        <v>0</v>
      </c>
    </row>
    <row r="103" spans="1:17" s="360" customFormat="1" x14ac:dyDescent="0.15">
      <c r="A103" s="385">
        <v>88</v>
      </c>
      <c r="B103" s="560" t="s">
        <v>99</v>
      </c>
      <c r="C103" s="548">
        <f>'COEFIC 2023'!E95</f>
        <v>114513</v>
      </c>
      <c r="D103" s="549">
        <f>'COEFIC 2023'!I95</f>
        <v>2.411385839844038</v>
      </c>
      <c r="E103" s="550">
        <f t="shared" si="20"/>
        <v>3773478.6294669826</v>
      </c>
      <c r="F103" s="549">
        <f t="shared" si="21"/>
        <v>0.88495575221238942</v>
      </c>
      <c r="G103" s="551">
        <f t="shared" si="22"/>
        <v>593498.95646017708</v>
      </c>
      <c r="H103" s="552">
        <f t="shared" si="23"/>
        <v>4366977.5859271595</v>
      </c>
      <c r="J103" s="558">
        <v>88</v>
      </c>
      <c r="K103" s="558" t="s">
        <v>99</v>
      </c>
      <c r="L103" s="443">
        <f t="shared" si="24"/>
        <v>114513</v>
      </c>
      <c r="M103" s="444">
        <f>'COEFIC 2023'!I95</f>
        <v>2.411385839844038</v>
      </c>
      <c r="N103" s="445">
        <f t="shared" si="25"/>
        <v>0</v>
      </c>
      <c r="O103" s="571">
        <f t="shared" si="26"/>
        <v>0.88495575221238942</v>
      </c>
      <c r="P103" s="447">
        <f t="shared" si="27"/>
        <v>0</v>
      </c>
      <c r="Q103" s="572">
        <f t="shared" si="28"/>
        <v>0</v>
      </c>
    </row>
    <row r="104" spans="1:17" s="360" customFormat="1" x14ac:dyDescent="0.15">
      <c r="A104" s="385">
        <v>89</v>
      </c>
      <c r="B104" s="560" t="s">
        <v>55</v>
      </c>
      <c r="C104" s="548">
        <f>'COEFIC 2023'!E96</f>
        <v>24074</v>
      </c>
      <c r="D104" s="549">
        <f>'COEFIC 2023'!I96</f>
        <v>0.50694421339415929</v>
      </c>
      <c r="E104" s="550">
        <f t="shared" si="20"/>
        <v>793296.17183890147</v>
      </c>
      <c r="F104" s="549">
        <f t="shared" si="21"/>
        <v>0.88495575221238942</v>
      </c>
      <c r="G104" s="551">
        <f t="shared" si="22"/>
        <v>593498.95646017708</v>
      </c>
      <c r="H104" s="552">
        <f t="shared" si="23"/>
        <v>1386795.1282990784</v>
      </c>
      <c r="J104" s="558">
        <v>89</v>
      </c>
      <c r="K104" s="558" t="s">
        <v>55</v>
      </c>
      <c r="L104" s="443">
        <f t="shared" si="24"/>
        <v>24074</v>
      </c>
      <c r="M104" s="444">
        <f>'COEFIC 2023'!I96</f>
        <v>0.50694421339415929</v>
      </c>
      <c r="N104" s="445">
        <f t="shared" si="25"/>
        <v>0</v>
      </c>
      <c r="O104" s="571">
        <f t="shared" si="26"/>
        <v>0.88495575221238942</v>
      </c>
      <c r="P104" s="447">
        <f t="shared" si="27"/>
        <v>0</v>
      </c>
      <c r="Q104" s="572">
        <f t="shared" si="28"/>
        <v>0</v>
      </c>
    </row>
    <row r="105" spans="1:17" s="360" customFormat="1" x14ac:dyDescent="0.15">
      <c r="A105" s="385">
        <v>90</v>
      </c>
      <c r="B105" s="560" t="s">
        <v>147</v>
      </c>
      <c r="C105" s="548">
        <f>'COEFIC 2023'!E97</f>
        <v>16325</v>
      </c>
      <c r="D105" s="549">
        <f>'COEFIC 2023'!I97</f>
        <v>0.34376772799117933</v>
      </c>
      <c r="E105" s="550">
        <f t="shared" si="20"/>
        <v>537947.99390504567</v>
      </c>
      <c r="F105" s="549">
        <f t="shared" si="21"/>
        <v>0.88495575221238942</v>
      </c>
      <c r="G105" s="551">
        <f t="shared" si="22"/>
        <v>593498.95646017708</v>
      </c>
      <c r="H105" s="552">
        <f t="shared" si="23"/>
        <v>1131446.9503652228</v>
      </c>
      <c r="J105" s="558">
        <v>90</v>
      </c>
      <c r="K105" s="558" t="s">
        <v>147</v>
      </c>
      <c r="L105" s="443">
        <f t="shared" si="24"/>
        <v>16325</v>
      </c>
      <c r="M105" s="444">
        <f>'COEFIC 2023'!I97</f>
        <v>0.34376772799117933</v>
      </c>
      <c r="N105" s="445">
        <f t="shared" si="25"/>
        <v>0</v>
      </c>
      <c r="O105" s="571">
        <f t="shared" si="26"/>
        <v>0.88495575221238942</v>
      </c>
      <c r="P105" s="447">
        <f t="shared" si="27"/>
        <v>0</v>
      </c>
      <c r="Q105" s="572">
        <f t="shared" si="28"/>
        <v>0</v>
      </c>
    </row>
    <row r="106" spans="1:17" s="360" customFormat="1" x14ac:dyDescent="0.15">
      <c r="A106" s="385">
        <v>91</v>
      </c>
      <c r="B106" s="560" t="s">
        <v>351</v>
      </c>
      <c r="C106" s="548">
        <f>'COEFIC 2023'!E98</f>
        <v>14934</v>
      </c>
      <c r="D106" s="549">
        <f>'COEFIC 2023'!I98</f>
        <v>0.31447640121410547</v>
      </c>
      <c r="E106" s="550">
        <f t="shared" si="20"/>
        <v>492111.20005990507</v>
      </c>
      <c r="F106" s="549">
        <f t="shared" si="21"/>
        <v>0.88495575221238942</v>
      </c>
      <c r="G106" s="551">
        <f t="shared" si="22"/>
        <v>593498.95646017708</v>
      </c>
      <c r="H106" s="552">
        <f t="shared" si="23"/>
        <v>1085610.1565200821</v>
      </c>
      <c r="J106" s="558">
        <v>91</v>
      </c>
      <c r="K106" s="558" t="s">
        <v>351</v>
      </c>
      <c r="L106" s="443">
        <f t="shared" si="24"/>
        <v>14934</v>
      </c>
      <c r="M106" s="444">
        <f>'COEFIC 2023'!I98</f>
        <v>0.31447640121410547</v>
      </c>
      <c r="N106" s="445">
        <f t="shared" si="25"/>
        <v>0</v>
      </c>
      <c r="O106" s="571">
        <f t="shared" si="26"/>
        <v>0.88495575221238942</v>
      </c>
      <c r="P106" s="447">
        <f t="shared" si="27"/>
        <v>0</v>
      </c>
      <c r="Q106" s="572">
        <f t="shared" si="28"/>
        <v>0</v>
      </c>
    </row>
    <row r="107" spans="1:17" s="360" customFormat="1" x14ac:dyDescent="0.15">
      <c r="A107" s="385">
        <v>92</v>
      </c>
      <c r="B107" s="560" t="s">
        <v>352</v>
      </c>
      <c r="C107" s="548">
        <f>'COEFIC 2023'!E99</f>
        <v>12836</v>
      </c>
      <c r="D107" s="549">
        <f>'COEFIC 2023'!I99</f>
        <v>0.27029724695220692</v>
      </c>
      <c r="E107" s="550">
        <f t="shared" si="20"/>
        <v>422977.05664717709</v>
      </c>
      <c r="F107" s="549">
        <f t="shared" si="21"/>
        <v>0.88495575221238942</v>
      </c>
      <c r="G107" s="551">
        <f t="shared" si="22"/>
        <v>593498.95646017708</v>
      </c>
      <c r="H107" s="552">
        <f t="shared" si="23"/>
        <v>1016476.0131073542</v>
      </c>
      <c r="J107" s="558">
        <v>92</v>
      </c>
      <c r="K107" s="558" t="s">
        <v>352</v>
      </c>
      <c r="L107" s="443">
        <f t="shared" si="24"/>
        <v>12836</v>
      </c>
      <c r="M107" s="444">
        <f>'COEFIC 2023'!I99</f>
        <v>0.27029724695220692</v>
      </c>
      <c r="N107" s="445">
        <f t="shared" si="25"/>
        <v>0</v>
      </c>
      <c r="O107" s="571">
        <f t="shared" si="26"/>
        <v>0.88495575221238942</v>
      </c>
      <c r="P107" s="447">
        <f t="shared" si="27"/>
        <v>0</v>
      </c>
      <c r="Q107" s="572">
        <f t="shared" si="28"/>
        <v>0</v>
      </c>
    </row>
    <row r="108" spans="1:17" s="360" customFormat="1" x14ac:dyDescent="0.15">
      <c r="A108" s="385">
        <v>93</v>
      </c>
      <c r="B108" s="560" t="s">
        <v>353</v>
      </c>
      <c r="C108" s="548">
        <f>'COEFIC 2023'!E100</f>
        <v>28556</v>
      </c>
      <c r="D108" s="549">
        <f>'COEFIC 2023'!I100</f>
        <v>0.60132503770389689</v>
      </c>
      <c r="E108" s="550">
        <f t="shared" si="20"/>
        <v>940988.84618391923</v>
      </c>
      <c r="F108" s="549">
        <f t="shared" si="21"/>
        <v>0.88495575221238942</v>
      </c>
      <c r="G108" s="551">
        <f t="shared" si="22"/>
        <v>593498.95646017708</v>
      </c>
      <c r="H108" s="552">
        <f t="shared" si="23"/>
        <v>1534487.8026440963</v>
      </c>
      <c r="J108" s="558">
        <v>93</v>
      </c>
      <c r="K108" s="558" t="s">
        <v>353</v>
      </c>
      <c r="L108" s="443">
        <f t="shared" si="24"/>
        <v>28556</v>
      </c>
      <c r="M108" s="444">
        <f>'COEFIC 2023'!I100</f>
        <v>0.60132503770389689</v>
      </c>
      <c r="N108" s="445">
        <f t="shared" si="25"/>
        <v>0</v>
      </c>
      <c r="O108" s="571">
        <f t="shared" si="26"/>
        <v>0.88495575221238942</v>
      </c>
      <c r="P108" s="447">
        <f t="shared" si="27"/>
        <v>0</v>
      </c>
      <c r="Q108" s="572">
        <f t="shared" si="28"/>
        <v>0</v>
      </c>
    </row>
    <row r="109" spans="1:17" s="360" customFormat="1" x14ac:dyDescent="0.15">
      <c r="A109" s="385">
        <v>94</v>
      </c>
      <c r="B109" s="560" t="s">
        <v>354</v>
      </c>
      <c r="C109" s="548">
        <f>'COEFIC 2023'!E101</f>
        <v>6420</v>
      </c>
      <c r="D109" s="549">
        <f>'COEFIC 2023'!I101</f>
        <v>0.13519073897111003</v>
      </c>
      <c r="E109" s="550">
        <f t="shared" si="20"/>
        <v>211554.43313141761</v>
      </c>
      <c r="F109" s="549">
        <f t="shared" si="21"/>
        <v>0.88495575221238942</v>
      </c>
      <c r="G109" s="551">
        <f t="shared" si="22"/>
        <v>593498.95646017708</v>
      </c>
      <c r="H109" s="552">
        <f t="shared" si="23"/>
        <v>805053.38959159469</v>
      </c>
      <c r="J109" s="558">
        <v>94</v>
      </c>
      <c r="K109" s="558" t="s">
        <v>354</v>
      </c>
      <c r="L109" s="443">
        <f t="shared" si="24"/>
        <v>6420</v>
      </c>
      <c r="M109" s="444">
        <f>'COEFIC 2023'!I101</f>
        <v>0.13519073897111003</v>
      </c>
      <c r="N109" s="445">
        <f t="shared" si="25"/>
        <v>0</v>
      </c>
      <c r="O109" s="571">
        <f t="shared" si="26"/>
        <v>0.88495575221238942</v>
      </c>
      <c r="P109" s="447">
        <f t="shared" si="27"/>
        <v>0</v>
      </c>
      <c r="Q109" s="572">
        <f t="shared" si="28"/>
        <v>0</v>
      </c>
    </row>
    <row r="110" spans="1:17" s="360" customFormat="1" x14ac:dyDescent="0.15">
      <c r="A110" s="385">
        <v>95</v>
      </c>
      <c r="B110" s="560" t="s">
        <v>100</v>
      </c>
      <c r="C110" s="548">
        <f>'COEFIC 2023'!E102</f>
        <v>12325</v>
      </c>
      <c r="D110" s="549">
        <f>'COEFIC 2023'!I102</f>
        <v>0.25953673797802668</v>
      </c>
      <c r="E110" s="550">
        <f t="shared" si="20"/>
        <v>406138.37824684149</v>
      </c>
      <c r="F110" s="549">
        <f t="shared" si="21"/>
        <v>0.88495575221238942</v>
      </c>
      <c r="G110" s="551">
        <f t="shared" si="22"/>
        <v>593498.95646017708</v>
      </c>
      <c r="H110" s="552">
        <f t="shared" si="23"/>
        <v>999637.33470701857</v>
      </c>
      <c r="J110" s="558">
        <v>95</v>
      </c>
      <c r="K110" s="558" t="s">
        <v>100</v>
      </c>
      <c r="L110" s="443">
        <f t="shared" si="24"/>
        <v>12325</v>
      </c>
      <c r="M110" s="444">
        <f>'COEFIC 2023'!I102</f>
        <v>0.25953673797802668</v>
      </c>
      <c r="N110" s="445">
        <f t="shared" si="25"/>
        <v>0</v>
      </c>
      <c r="O110" s="571">
        <f t="shared" si="26"/>
        <v>0.88495575221238942</v>
      </c>
      <c r="P110" s="447">
        <f t="shared" si="27"/>
        <v>0</v>
      </c>
      <c r="Q110" s="572">
        <f t="shared" si="28"/>
        <v>0</v>
      </c>
    </row>
    <row r="111" spans="1:17" s="360" customFormat="1" x14ac:dyDescent="0.15">
      <c r="A111" s="385">
        <v>96</v>
      </c>
      <c r="B111" s="560" t="s">
        <v>78</v>
      </c>
      <c r="C111" s="548">
        <f>'COEFIC 2023'!E103</f>
        <v>5971</v>
      </c>
      <c r="D111" s="549">
        <f>'COEFIC 2023'!I103</f>
        <v>0.12573581034213366</v>
      </c>
      <c r="E111" s="550">
        <f t="shared" si="20"/>
        <v>196758.80377378425</v>
      </c>
      <c r="F111" s="549">
        <f t="shared" si="21"/>
        <v>0.88495575221238942</v>
      </c>
      <c r="G111" s="551">
        <f t="shared" si="22"/>
        <v>593498.95646017708</v>
      </c>
      <c r="H111" s="552">
        <f t="shared" si="23"/>
        <v>790257.76023396128</v>
      </c>
      <c r="J111" s="558">
        <v>96</v>
      </c>
      <c r="K111" s="558" t="s">
        <v>78</v>
      </c>
      <c r="L111" s="443">
        <f t="shared" si="24"/>
        <v>5971</v>
      </c>
      <c r="M111" s="444">
        <f>'COEFIC 2023'!I103</f>
        <v>0.12573581034213366</v>
      </c>
      <c r="N111" s="445">
        <f t="shared" si="25"/>
        <v>0</v>
      </c>
      <c r="O111" s="571">
        <f t="shared" si="26"/>
        <v>0.88495575221238942</v>
      </c>
      <c r="P111" s="447">
        <f t="shared" si="27"/>
        <v>0</v>
      </c>
      <c r="Q111" s="572">
        <f t="shared" si="28"/>
        <v>0</v>
      </c>
    </row>
    <row r="112" spans="1:17" s="360" customFormat="1" x14ac:dyDescent="0.15">
      <c r="A112" s="385">
        <v>97</v>
      </c>
      <c r="B112" s="560" t="s">
        <v>130</v>
      </c>
      <c r="C112" s="548">
        <f>'COEFIC 2023'!E104</f>
        <v>29056</v>
      </c>
      <c r="D112" s="549">
        <f>'COEFIC 2023'!I104</f>
        <v>0.61185391145554102</v>
      </c>
      <c r="E112" s="550">
        <f t="shared" ref="E112:E128" si="29">$E$6*D112%</f>
        <v>957465.04814119486</v>
      </c>
      <c r="F112" s="549">
        <f t="shared" ref="F112:F128" si="30">100/113</f>
        <v>0.88495575221238942</v>
      </c>
      <c r="G112" s="551">
        <f t="shared" ref="G112:G128" si="31">$E$7*F112%</f>
        <v>593498.95646017708</v>
      </c>
      <c r="H112" s="552">
        <f t="shared" ref="H112:H128" si="32">E112+G112</f>
        <v>1550964.0046013719</v>
      </c>
      <c r="J112" s="558">
        <v>97</v>
      </c>
      <c r="K112" s="558" t="s">
        <v>130</v>
      </c>
      <c r="L112" s="443">
        <f t="shared" ref="L112:L128" si="33">C112</f>
        <v>29056</v>
      </c>
      <c r="M112" s="444">
        <f>'COEFIC 2023'!I104</f>
        <v>0.61185391145554102</v>
      </c>
      <c r="N112" s="445">
        <f t="shared" ref="N112:N128" si="34">$M$6*M112%</f>
        <v>0</v>
      </c>
      <c r="O112" s="571">
        <f t="shared" ref="O112:O128" si="35">100/113</f>
        <v>0.88495575221238942</v>
      </c>
      <c r="P112" s="447">
        <f t="shared" ref="P112:P128" si="36">$M$7*O112%</f>
        <v>0</v>
      </c>
      <c r="Q112" s="572">
        <f t="shared" ref="Q112:Q128" si="37">N112+P112</f>
        <v>0</v>
      </c>
    </row>
    <row r="113" spans="1:17" s="360" customFormat="1" x14ac:dyDescent="0.15">
      <c r="A113" s="385">
        <v>98</v>
      </c>
      <c r="B113" s="560" t="s">
        <v>355</v>
      </c>
      <c r="C113" s="548">
        <f>'COEFIC 2023'!E105</f>
        <v>25757</v>
      </c>
      <c r="D113" s="549">
        <f>'COEFIC 2023'!I105</f>
        <v>0.54238440244219333</v>
      </c>
      <c r="E113" s="550">
        <f t="shared" si="29"/>
        <v>848755.06762709084</v>
      </c>
      <c r="F113" s="549">
        <f t="shared" si="30"/>
        <v>0.88495575221238942</v>
      </c>
      <c r="G113" s="551">
        <f t="shared" si="31"/>
        <v>593498.95646017708</v>
      </c>
      <c r="H113" s="552">
        <f t="shared" si="32"/>
        <v>1442254.0240872679</v>
      </c>
      <c r="J113" s="558">
        <v>98</v>
      </c>
      <c r="K113" s="558" t="s">
        <v>355</v>
      </c>
      <c r="L113" s="443">
        <f t="shared" si="33"/>
        <v>25757</v>
      </c>
      <c r="M113" s="444">
        <f>'COEFIC 2023'!I105</f>
        <v>0.54238440244219333</v>
      </c>
      <c r="N113" s="445">
        <f t="shared" si="34"/>
        <v>0</v>
      </c>
      <c r="O113" s="571">
        <f t="shared" si="35"/>
        <v>0.88495575221238942</v>
      </c>
      <c r="P113" s="447">
        <f t="shared" si="36"/>
        <v>0</v>
      </c>
      <c r="Q113" s="572">
        <f t="shared" si="37"/>
        <v>0</v>
      </c>
    </row>
    <row r="114" spans="1:17" s="360" customFormat="1" x14ac:dyDescent="0.15">
      <c r="A114" s="385">
        <v>99</v>
      </c>
      <c r="B114" s="560" t="s">
        <v>139</v>
      </c>
      <c r="C114" s="548">
        <f>'COEFIC 2023'!E106</f>
        <v>14329</v>
      </c>
      <c r="D114" s="549">
        <f>'COEFIC 2023'!I106</f>
        <v>0.30173646397461618</v>
      </c>
      <c r="E114" s="550">
        <f t="shared" si="29"/>
        <v>472174.99569160177</v>
      </c>
      <c r="F114" s="549">
        <f t="shared" si="30"/>
        <v>0.88495575221238942</v>
      </c>
      <c r="G114" s="551">
        <f t="shared" si="31"/>
        <v>593498.95646017708</v>
      </c>
      <c r="H114" s="552">
        <f t="shared" si="32"/>
        <v>1065673.9521517789</v>
      </c>
      <c r="J114" s="558">
        <v>99</v>
      </c>
      <c r="K114" s="558" t="s">
        <v>139</v>
      </c>
      <c r="L114" s="443">
        <f t="shared" si="33"/>
        <v>14329</v>
      </c>
      <c r="M114" s="444">
        <f>'COEFIC 2023'!I106</f>
        <v>0.30173646397461618</v>
      </c>
      <c r="N114" s="445">
        <f t="shared" si="34"/>
        <v>0</v>
      </c>
      <c r="O114" s="571">
        <f t="shared" si="35"/>
        <v>0.88495575221238942</v>
      </c>
      <c r="P114" s="447">
        <f t="shared" si="36"/>
        <v>0</v>
      </c>
      <c r="Q114" s="572">
        <f t="shared" si="37"/>
        <v>0</v>
      </c>
    </row>
    <row r="115" spans="1:17" s="360" customFormat="1" x14ac:dyDescent="0.15">
      <c r="A115" s="385">
        <v>100</v>
      </c>
      <c r="B115" s="560" t="s">
        <v>125</v>
      </c>
      <c r="C115" s="548">
        <f>'COEFIC 2023'!E107</f>
        <v>14911</v>
      </c>
      <c r="D115" s="549">
        <f>'COEFIC 2023'!I107</f>
        <v>0.31399207302152987</v>
      </c>
      <c r="E115" s="550">
        <f t="shared" si="29"/>
        <v>491353.29476987047</v>
      </c>
      <c r="F115" s="549">
        <f t="shared" si="30"/>
        <v>0.88495575221238942</v>
      </c>
      <c r="G115" s="551">
        <f t="shared" si="31"/>
        <v>593498.95646017708</v>
      </c>
      <c r="H115" s="552">
        <f t="shared" si="32"/>
        <v>1084852.2512300476</v>
      </c>
      <c r="J115" s="558">
        <v>100</v>
      </c>
      <c r="K115" s="558" t="s">
        <v>125</v>
      </c>
      <c r="L115" s="443">
        <f t="shared" si="33"/>
        <v>14911</v>
      </c>
      <c r="M115" s="444">
        <f>'COEFIC 2023'!I107</f>
        <v>0.31399207302152987</v>
      </c>
      <c r="N115" s="445">
        <f t="shared" si="34"/>
        <v>0</v>
      </c>
      <c r="O115" s="571">
        <f t="shared" si="35"/>
        <v>0.88495575221238942</v>
      </c>
      <c r="P115" s="447">
        <f t="shared" si="36"/>
        <v>0</v>
      </c>
      <c r="Q115" s="572">
        <f t="shared" si="37"/>
        <v>0</v>
      </c>
    </row>
    <row r="116" spans="1:17" s="360" customFormat="1" x14ac:dyDescent="0.15">
      <c r="A116" s="385">
        <v>101</v>
      </c>
      <c r="B116" s="560" t="s">
        <v>66</v>
      </c>
      <c r="C116" s="548">
        <f>'COEFIC 2023'!E108</f>
        <v>8855</v>
      </c>
      <c r="D116" s="549">
        <f>'COEFIC 2023'!I108</f>
        <v>0.18646635414161672</v>
      </c>
      <c r="E116" s="550">
        <f t="shared" si="29"/>
        <v>291793.53666334937</v>
      </c>
      <c r="F116" s="549">
        <f t="shared" si="30"/>
        <v>0.88495575221238942</v>
      </c>
      <c r="G116" s="551">
        <f t="shared" si="31"/>
        <v>593498.95646017708</v>
      </c>
      <c r="H116" s="552">
        <f t="shared" si="32"/>
        <v>885292.49312352645</v>
      </c>
      <c r="J116" s="558">
        <v>101</v>
      </c>
      <c r="K116" s="558" t="s">
        <v>66</v>
      </c>
      <c r="L116" s="443">
        <f t="shared" si="33"/>
        <v>8855</v>
      </c>
      <c r="M116" s="444">
        <f>'COEFIC 2023'!I108</f>
        <v>0.18646635414161672</v>
      </c>
      <c r="N116" s="445">
        <f t="shared" si="34"/>
        <v>0</v>
      </c>
      <c r="O116" s="571">
        <f t="shared" si="35"/>
        <v>0.88495575221238942</v>
      </c>
      <c r="P116" s="447">
        <f t="shared" si="36"/>
        <v>0</v>
      </c>
      <c r="Q116" s="572">
        <f t="shared" si="37"/>
        <v>0</v>
      </c>
    </row>
    <row r="117" spans="1:17" s="360" customFormat="1" x14ac:dyDescent="0.15">
      <c r="A117" s="385">
        <v>102</v>
      </c>
      <c r="B117" s="560" t="s">
        <v>117</v>
      </c>
      <c r="C117" s="548">
        <f>'COEFIC 2023'!E109</f>
        <v>356786</v>
      </c>
      <c r="D117" s="549">
        <f>'COEFIC 2023'!I109</f>
        <v>7.5131095007081719</v>
      </c>
      <c r="E117" s="550">
        <f t="shared" si="29"/>
        <v>11756956.383057004</v>
      </c>
      <c r="F117" s="549">
        <f t="shared" si="30"/>
        <v>0.88495575221238942</v>
      </c>
      <c r="G117" s="551">
        <f t="shared" si="31"/>
        <v>593498.95646017708</v>
      </c>
      <c r="H117" s="552">
        <f t="shared" si="32"/>
        <v>12350455.339517182</v>
      </c>
      <c r="J117" s="558">
        <v>102</v>
      </c>
      <c r="K117" s="558" t="s">
        <v>117</v>
      </c>
      <c r="L117" s="443">
        <f t="shared" si="33"/>
        <v>356786</v>
      </c>
      <c r="M117" s="444">
        <f>'COEFIC 2023'!I109</f>
        <v>7.5131095007081719</v>
      </c>
      <c r="N117" s="445">
        <f t="shared" si="34"/>
        <v>0</v>
      </c>
      <c r="O117" s="571">
        <f t="shared" si="35"/>
        <v>0.88495575221238942</v>
      </c>
      <c r="P117" s="447">
        <f t="shared" si="36"/>
        <v>0</v>
      </c>
      <c r="Q117" s="572">
        <f t="shared" si="37"/>
        <v>0</v>
      </c>
    </row>
    <row r="118" spans="1:17" s="360" customFormat="1" x14ac:dyDescent="0.15">
      <c r="A118" s="385">
        <v>103</v>
      </c>
      <c r="B118" s="560" t="s">
        <v>356</v>
      </c>
      <c r="C118" s="548">
        <f>'COEFIC 2023'!E110</f>
        <v>23469</v>
      </c>
      <c r="D118" s="549">
        <f>'COEFIC 2023'!I110</f>
        <v>0.49420427615467</v>
      </c>
      <c r="E118" s="550">
        <f t="shared" si="29"/>
        <v>773359.96747059817</v>
      </c>
      <c r="F118" s="549">
        <f t="shared" si="30"/>
        <v>0.88495575221238942</v>
      </c>
      <c r="G118" s="551">
        <f t="shared" si="31"/>
        <v>593498.95646017708</v>
      </c>
      <c r="H118" s="552">
        <f t="shared" si="32"/>
        <v>1366858.9239307754</v>
      </c>
      <c r="J118" s="558">
        <v>103</v>
      </c>
      <c r="K118" s="558" t="s">
        <v>356</v>
      </c>
      <c r="L118" s="443">
        <f t="shared" si="33"/>
        <v>23469</v>
      </c>
      <c r="M118" s="444">
        <f>'COEFIC 2023'!I110</f>
        <v>0.49420427615467</v>
      </c>
      <c r="N118" s="445">
        <f t="shared" si="34"/>
        <v>0</v>
      </c>
      <c r="O118" s="571">
        <f t="shared" si="35"/>
        <v>0.88495575221238942</v>
      </c>
      <c r="P118" s="447">
        <f t="shared" si="36"/>
        <v>0</v>
      </c>
      <c r="Q118" s="572">
        <f t="shared" si="37"/>
        <v>0</v>
      </c>
    </row>
    <row r="119" spans="1:17" s="360" customFormat="1" x14ac:dyDescent="0.15">
      <c r="A119" s="385">
        <v>104</v>
      </c>
      <c r="B119" s="560" t="s">
        <v>109</v>
      </c>
      <c r="C119" s="548">
        <f>'COEFIC 2023'!E111</f>
        <v>15864</v>
      </c>
      <c r="D119" s="549">
        <f>'COEFIC 2023'!I111</f>
        <v>0.33406010639216349</v>
      </c>
      <c r="E119" s="550">
        <f t="shared" si="29"/>
        <v>522756.93570043758</v>
      </c>
      <c r="F119" s="549">
        <f t="shared" si="30"/>
        <v>0.88495575221238942</v>
      </c>
      <c r="G119" s="551">
        <f t="shared" si="31"/>
        <v>593498.95646017708</v>
      </c>
      <c r="H119" s="552">
        <f t="shared" si="32"/>
        <v>1116255.8921606147</v>
      </c>
      <c r="J119" s="558">
        <v>104</v>
      </c>
      <c r="K119" s="558" t="s">
        <v>109</v>
      </c>
      <c r="L119" s="443">
        <f t="shared" si="33"/>
        <v>15864</v>
      </c>
      <c r="M119" s="444">
        <f>'COEFIC 2023'!I111</f>
        <v>0.33406010639216349</v>
      </c>
      <c r="N119" s="445">
        <f t="shared" si="34"/>
        <v>0</v>
      </c>
      <c r="O119" s="571">
        <f t="shared" si="35"/>
        <v>0.88495575221238942</v>
      </c>
      <c r="P119" s="447">
        <f t="shared" si="36"/>
        <v>0</v>
      </c>
      <c r="Q119" s="572">
        <f t="shared" si="37"/>
        <v>0</v>
      </c>
    </row>
    <row r="120" spans="1:17" s="360" customFormat="1" x14ac:dyDescent="0.15">
      <c r="A120" s="385">
        <v>105</v>
      </c>
      <c r="B120" s="560" t="s">
        <v>150</v>
      </c>
      <c r="C120" s="548">
        <f>'COEFIC 2023'!E112</f>
        <v>20982</v>
      </c>
      <c r="D120" s="549">
        <f>'COEFIC 2023'!I112</f>
        <v>0.44183365811399233</v>
      </c>
      <c r="E120" s="550">
        <f t="shared" si="29"/>
        <v>691407.33893510979</v>
      </c>
      <c r="F120" s="549">
        <f t="shared" si="30"/>
        <v>0.88495575221238942</v>
      </c>
      <c r="G120" s="551">
        <f t="shared" si="31"/>
        <v>593498.95646017708</v>
      </c>
      <c r="H120" s="552">
        <f t="shared" si="32"/>
        <v>1284906.2953952868</v>
      </c>
      <c r="J120" s="558">
        <v>105</v>
      </c>
      <c r="K120" s="558" t="s">
        <v>150</v>
      </c>
      <c r="L120" s="443">
        <f t="shared" si="33"/>
        <v>20982</v>
      </c>
      <c r="M120" s="444">
        <f>'COEFIC 2023'!I112</f>
        <v>0.44183365811399233</v>
      </c>
      <c r="N120" s="445">
        <f t="shared" si="34"/>
        <v>0</v>
      </c>
      <c r="O120" s="571">
        <f t="shared" si="35"/>
        <v>0.88495575221238942</v>
      </c>
      <c r="P120" s="447">
        <f t="shared" si="36"/>
        <v>0</v>
      </c>
      <c r="Q120" s="572">
        <f t="shared" si="37"/>
        <v>0</v>
      </c>
    </row>
    <row r="121" spans="1:17" s="360" customFormat="1" x14ac:dyDescent="0.15">
      <c r="A121" s="385">
        <v>106</v>
      </c>
      <c r="B121" s="560" t="s">
        <v>357</v>
      </c>
      <c r="C121" s="548">
        <f>'COEFIC 2023'!E113</f>
        <v>32303</v>
      </c>
      <c r="D121" s="549">
        <f>'COEFIC 2023'!I113</f>
        <v>0.68022841759871766</v>
      </c>
      <c r="E121" s="550">
        <f t="shared" si="29"/>
        <v>1064461.5036517419</v>
      </c>
      <c r="F121" s="549">
        <f t="shared" si="30"/>
        <v>0.88495575221238942</v>
      </c>
      <c r="G121" s="551">
        <f t="shared" si="31"/>
        <v>593498.95646017708</v>
      </c>
      <c r="H121" s="552">
        <f t="shared" si="32"/>
        <v>1657960.4601119189</v>
      </c>
      <c r="J121" s="558">
        <v>106</v>
      </c>
      <c r="K121" s="558" t="s">
        <v>357</v>
      </c>
      <c r="L121" s="443">
        <f t="shared" si="33"/>
        <v>32303</v>
      </c>
      <c r="M121" s="444">
        <f>'COEFIC 2023'!I113</f>
        <v>0.68022841759871766</v>
      </c>
      <c r="N121" s="445">
        <f t="shared" si="34"/>
        <v>0</v>
      </c>
      <c r="O121" s="571">
        <f t="shared" si="35"/>
        <v>0.88495575221238942</v>
      </c>
      <c r="P121" s="447">
        <f t="shared" si="36"/>
        <v>0</v>
      </c>
      <c r="Q121" s="572">
        <f t="shared" si="37"/>
        <v>0</v>
      </c>
    </row>
    <row r="122" spans="1:17" s="360" customFormat="1" x14ac:dyDescent="0.15">
      <c r="A122" s="385">
        <v>107</v>
      </c>
      <c r="B122" s="560" t="s">
        <v>358</v>
      </c>
      <c r="C122" s="548">
        <f>'COEFIC 2023'!E114</f>
        <v>76829</v>
      </c>
      <c r="D122" s="549">
        <f>'COEFIC 2023'!I114</f>
        <v>1.6178456829301266</v>
      </c>
      <c r="E122" s="550">
        <f t="shared" si="29"/>
        <v>2531700.2403510413</v>
      </c>
      <c r="F122" s="549">
        <f t="shared" si="30"/>
        <v>0.88495575221238942</v>
      </c>
      <c r="G122" s="551">
        <f t="shared" si="31"/>
        <v>593498.95646017708</v>
      </c>
      <c r="H122" s="552">
        <f t="shared" si="32"/>
        <v>3125199.1968112183</v>
      </c>
      <c r="J122" s="558">
        <v>107</v>
      </c>
      <c r="K122" s="558" t="s">
        <v>358</v>
      </c>
      <c r="L122" s="443">
        <f t="shared" si="33"/>
        <v>76829</v>
      </c>
      <c r="M122" s="444">
        <f>'COEFIC 2023'!I114</f>
        <v>1.6178456829301266</v>
      </c>
      <c r="N122" s="445">
        <f t="shared" si="34"/>
        <v>0</v>
      </c>
      <c r="O122" s="571">
        <f t="shared" si="35"/>
        <v>0.88495575221238942</v>
      </c>
      <c r="P122" s="447">
        <f t="shared" si="36"/>
        <v>0</v>
      </c>
      <c r="Q122" s="572">
        <f t="shared" si="37"/>
        <v>0</v>
      </c>
    </row>
    <row r="123" spans="1:17" s="360" customFormat="1" x14ac:dyDescent="0.15">
      <c r="A123" s="385">
        <v>108</v>
      </c>
      <c r="B123" s="560" t="s">
        <v>149</v>
      </c>
      <c r="C123" s="548">
        <f>'COEFIC 2023'!E115</f>
        <v>204860</v>
      </c>
      <c r="D123" s="549">
        <f>'COEFIC 2023'!I115</f>
        <v>4.313890153523614</v>
      </c>
      <c r="E123" s="550">
        <f t="shared" si="29"/>
        <v>6750629.4659349248</v>
      </c>
      <c r="F123" s="549">
        <f t="shared" si="30"/>
        <v>0.88495575221238942</v>
      </c>
      <c r="G123" s="551">
        <f t="shared" si="31"/>
        <v>593498.95646017708</v>
      </c>
      <c r="H123" s="552">
        <f t="shared" si="32"/>
        <v>7344128.4223951017</v>
      </c>
      <c r="J123" s="558">
        <v>108</v>
      </c>
      <c r="K123" s="558" t="s">
        <v>149</v>
      </c>
      <c r="L123" s="443">
        <f t="shared" si="33"/>
        <v>204860</v>
      </c>
      <c r="M123" s="444">
        <f>'COEFIC 2023'!I115</f>
        <v>4.313890153523614</v>
      </c>
      <c r="N123" s="445">
        <f t="shared" si="34"/>
        <v>0</v>
      </c>
      <c r="O123" s="571">
        <f t="shared" si="35"/>
        <v>0.88495575221238942</v>
      </c>
      <c r="P123" s="447">
        <f t="shared" si="36"/>
        <v>0</v>
      </c>
      <c r="Q123" s="572">
        <f t="shared" si="37"/>
        <v>0</v>
      </c>
    </row>
    <row r="124" spans="1:17" s="360" customFormat="1" x14ac:dyDescent="0.15">
      <c r="A124" s="385">
        <v>109</v>
      </c>
      <c r="B124" s="560" t="s">
        <v>50</v>
      </c>
      <c r="C124" s="548">
        <f>'COEFIC 2023'!E116</f>
        <v>3232</v>
      </c>
      <c r="D124" s="549">
        <f>'COEFIC 2023'!I116</f>
        <v>6.8058639930627357E-2</v>
      </c>
      <c r="E124" s="550">
        <f t="shared" si="29"/>
        <v>106502.16945182893</v>
      </c>
      <c r="F124" s="549">
        <f t="shared" si="30"/>
        <v>0.88495575221238942</v>
      </c>
      <c r="G124" s="551">
        <f t="shared" si="31"/>
        <v>593498.95646017708</v>
      </c>
      <c r="H124" s="552">
        <f t="shared" si="32"/>
        <v>700001.12591200601</v>
      </c>
      <c r="J124" s="558">
        <v>109</v>
      </c>
      <c r="K124" s="558" t="s">
        <v>50</v>
      </c>
      <c r="L124" s="443">
        <f t="shared" si="33"/>
        <v>3232</v>
      </c>
      <c r="M124" s="444">
        <f>'COEFIC 2023'!I116</f>
        <v>6.8058639930627357E-2</v>
      </c>
      <c r="N124" s="445">
        <f t="shared" si="34"/>
        <v>0</v>
      </c>
      <c r="O124" s="571">
        <f t="shared" si="35"/>
        <v>0.88495575221238942</v>
      </c>
      <c r="P124" s="447">
        <f t="shared" si="36"/>
        <v>0</v>
      </c>
      <c r="Q124" s="572">
        <f t="shared" si="37"/>
        <v>0</v>
      </c>
    </row>
    <row r="125" spans="1:17" s="360" customFormat="1" x14ac:dyDescent="0.15">
      <c r="A125" s="385">
        <v>110</v>
      </c>
      <c r="B125" s="560" t="s">
        <v>111</v>
      </c>
      <c r="C125" s="548">
        <f>'COEFIC 2023'!E117</f>
        <v>49005</v>
      </c>
      <c r="D125" s="549">
        <f>'COEFIC 2023'!I117</f>
        <v>1.0319349163986367</v>
      </c>
      <c r="E125" s="550">
        <f t="shared" si="29"/>
        <v>1614832.5538325734</v>
      </c>
      <c r="F125" s="549">
        <f t="shared" si="30"/>
        <v>0.88495575221238942</v>
      </c>
      <c r="G125" s="551">
        <f t="shared" si="31"/>
        <v>593498.95646017708</v>
      </c>
      <c r="H125" s="552">
        <f t="shared" si="32"/>
        <v>2208331.5102927503</v>
      </c>
      <c r="J125" s="558">
        <v>110</v>
      </c>
      <c r="K125" s="558" t="s">
        <v>111</v>
      </c>
      <c r="L125" s="443">
        <f t="shared" si="33"/>
        <v>49005</v>
      </c>
      <c r="M125" s="444">
        <f>'COEFIC 2023'!I117</f>
        <v>1.0319349163986367</v>
      </c>
      <c r="N125" s="445">
        <f t="shared" si="34"/>
        <v>0</v>
      </c>
      <c r="O125" s="571">
        <f t="shared" si="35"/>
        <v>0.88495575221238942</v>
      </c>
      <c r="P125" s="447">
        <f t="shared" si="36"/>
        <v>0</v>
      </c>
      <c r="Q125" s="572">
        <f t="shared" si="37"/>
        <v>0</v>
      </c>
    </row>
    <row r="126" spans="1:17" s="360" customFormat="1" x14ac:dyDescent="0.15">
      <c r="A126" s="385">
        <v>111</v>
      </c>
      <c r="B126" s="560" t="s">
        <v>140</v>
      </c>
      <c r="C126" s="548">
        <f>'COEFIC 2023'!E118</f>
        <v>18402</v>
      </c>
      <c r="D126" s="549">
        <f>'COEFIC 2023'!I118</f>
        <v>0.38750466955550888</v>
      </c>
      <c r="E126" s="550">
        <f t="shared" si="29"/>
        <v>606390.13683556812</v>
      </c>
      <c r="F126" s="549">
        <f t="shared" si="30"/>
        <v>0.88495575221238942</v>
      </c>
      <c r="G126" s="551">
        <f t="shared" si="31"/>
        <v>593498.95646017708</v>
      </c>
      <c r="H126" s="552">
        <f t="shared" si="32"/>
        <v>1199889.0932957451</v>
      </c>
      <c r="J126" s="558">
        <v>111</v>
      </c>
      <c r="K126" s="558" t="s">
        <v>140</v>
      </c>
      <c r="L126" s="443">
        <f t="shared" si="33"/>
        <v>18402</v>
      </c>
      <c r="M126" s="444">
        <f>'COEFIC 2023'!I118</f>
        <v>0.38750466955550888</v>
      </c>
      <c r="N126" s="445">
        <f t="shared" si="34"/>
        <v>0</v>
      </c>
      <c r="O126" s="571">
        <f t="shared" si="35"/>
        <v>0.88495575221238942</v>
      </c>
      <c r="P126" s="447">
        <f t="shared" si="36"/>
        <v>0</v>
      </c>
      <c r="Q126" s="572">
        <f t="shared" si="37"/>
        <v>0</v>
      </c>
    </row>
    <row r="127" spans="1:17" s="360" customFormat="1" x14ac:dyDescent="0.15">
      <c r="A127" s="385">
        <v>112</v>
      </c>
      <c r="B127" s="560" t="s">
        <v>142</v>
      </c>
      <c r="C127" s="548">
        <f>'COEFIC 2023'!E119</f>
        <v>157056</v>
      </c>
      <c r="D127" s="549">
        <f>'COEFIC 2023'!I119</f>
        <v>3.3072455918764265</v>
      </c>
      <c r="E127" s="550">
        <f t="shared" si="29"/>
        <v>5175372.7492037276</v>
      </c>
      <c r="F127" s="549">
        <f t="shared" si="30"/>
        <v>0.88495575221238942</v>
      </c>
      <c r="G127" s="551">
        <f t="shared" si="31"/>
        <v>593498.95646017708</v>
      </c>
      <c r="H127" s="552">
        <f t="shared" si="32"/>
        <v>5768871.7056639045</v>
      </c>
      <c r="J127" s="558">
        <v>112</v>
      </c>
      <c r="K127" s="558" t="s">
        <v>142</v>
      </c>
      <c r="L127" s="443">
        <f t="shared" si="33"/>
        <v>157056</v>
      </c>
      <c r="M127" s="444">
        <f>'COEFIC 2023'!I119</f>
        <v>3.3072455918764265</v>
      </c>
      <c r="N127" s="445">
        <f t="shared" si="34"/>
        <v>0</v>
      </c>
      <c r="O127" s="571">
        <f t="shared" si="35"/>
        <v>0.88495575221238942</v>
      </c>
      <c r="P127" s="447">
        <f t="shared" si="36"/>
        <v>0</v>
      </c>
      <c r="Q127" s="572">
        <f t="shared" si="37"/>
        <v>0</v>
      </c>
    </row>
    <row r="128" spans="1:17" s="360" customFormat="1" x14ac:dyDescent="0.15">
      <c r="A128" s="385">
        <v>113</v>
      </c>
      <c r="B128" s="560" t="s">
        <v>101</v>
      </c>
      <c r="C128" s="548">
        <f>'COEFIC 2023'!E120</f>
        <v>26213</v>
      </c>
      <c r="D128" s="549">
        <f>'COEFIC 2023'!I120</f>
        <v>0.55198673530369269</v>
      </c>
      <c r="E128" s="550">
        <f t="shared" si="29"/>
        <v>863781.36381212622</v>
      </c>
      <c r="F128" s="549">
        <f t="shared" si="30"/>
        <v>0.88495575221238942</v>
      </c>
      <c r="G128" s="551">
        <f t="shared" si="31"/>
        <v>593498.95646017708</v>
      </c>
      <c r="H128" s="552">
        <f t="shared" si="32"/>
        <v>1457280.3202723032</v>
      </c>
      <c r="J128" s="558">
        <v>113</v>
      </c>
      <c r="K128" s="558" t="s">
        <v>101</v>
      </c>
      <c r="L128" s="443">
        <f t="shared" si="33"/>
        <v>26213</v>
      </c>
      <c r="M128" s="444">
        <f>'COEFIC 2023'!I120</f>
        <v>0.55198673530369269</v>
      </c>
      <c r="N128" s="445">
        <f t="shared" si="34"/>
        <v>0</v>
      </c>
      <c r="O128" s="571">
        <f t="shared" si="35"/>
        <v>0.88495575221238942</v>
      </c>
      <c r="P128" s="447">
        <f t="shared" si="36"/>
        <v>0</v>
      </c>
      <c r="Q128" s="572">
        <f t="shared" si="37"/>
        <v>0</v>
      </c>
    </row>
    <row r="129" spans="2:17" s="390" customFormat="1" ht="12" thickBot="1" x14ac:dyDescent="0.2">
      <c r="B129" s="562" t="s">
        <v>156</v>
      </c>
      <c r="C129" s="553">
        <f t="shared" ref="C129:H129" si="38">SUM(C16:C128)</f>
        <v>4748846</v>
      </c>
      <c r="D129" s="554">
        <f t="shared" si="38"/>
        <v>100.00000000000004</v>
      </c>
      <c r="E129" s="555">
        <f t="shared" si="38"/>
        <v>156485891.52000004</v>
      </c>
      <c r="F129" s="556">
        <f t="shared" si="38"/>
        <v>100.00000000000016</v>
      </c>
      <c r="G129" s="557">
        <f t="shared" si="38"/>
        <v>67065382.080000088</v>
      </c>
      <c r="H129" s="555">
        <f t="shared" si="38"/>
        <v>223551273.60000011</v>
      </c>
      <c r="J129" s="573"/>
      <c r="K129" s="573"/>
      <c r="L129" s="574"/>
      <c r="M129" s="575"/>
      <c r="N129" s="574"/>
      <c r="O129" s="575"/>
      <c r="P129" s="574"/>
      <c r="Q129" s="574"/>
    </row>
    <row r="130" spans="2:17" ht="12" thickTop="1" x14ac:dyDescent="0.15">
      <c r="G130" s="365">
        <f>G129-33767876</f>
        <v>33297506.080000088</v>
      </c>
    </row>
    <row r="131" spans="2:17" x14ac:dyDescent="0.15">
      <c r="G131" s="365"/>
    </row>
    <row r="702" spans="2:2" x14ac:dyDescent="0.15">
      <c r="B702" s="385"/>
    </row>
    <row r="703" spans="2:2" x14ac:dyDescent="0.15">
      <c r="B703" s="385"/>
    </row>
    <row r="716" spans="2:2" x14ac:dyDescent="0.15">
      <c r="B716" s="385"/>
    </row>
    <row r="1414" spans="2:2" x14ac:dyDescent="0.15">
      <c r="B1414" s="390"/>
    </row>
  </sheetData>
  <mergeCells count="8">
    <mergeCell ref="A4:H4"/>
    <mergeCell ref="J4:P4"/>
    <mergeCell ref="C12:D12"/>
    <mergeCell ref="L12:M12"/>
    <mergeCell ref="B12:B14"/>
    <mergeCell ref="A12:A14"/>
    <mergeCell ref="J12:J14"/>
    <mergeCell ref="K12:K14"/>
  </mergeCells>
  <pageMargins left="0.78740157480314954" right="0" top="1.3775590551181103" bottom="0.59015748031496074" header="0.98385826771653528" footer="0.19645669291338586"/>
  <pageSetup paperSize="9" scale="70" fitToWidth="0" fitToHeight="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81"/>
  <sheetViews>
    <sheetView showGridLines="0" workbookViewId="0">
      <selection activeCell="F24" sqref="F24"/>
    </sheetView>
  </sheetViews>
  <sheetFormatPr baseColWidth="10" defaultRowHeight="14.25" x14ac:dyDescent="0.2"/>
  <cols>
    <col min="1" max="1" width="5.25" style="235" customWidth="1"/>
    <col min="2" max="2" width="18.375" style="235" customWidth="1"/>
    <col min="3" max="3" width="11.375" style="236" customWidth="1"/>
    <col min="4" max="4" width="8.75" style="236" customWidth="1"/>
    <col min="5" max="5" width="12.875" style="235" customWidth="1"/>
    <col min="6" max="6" width="14.125" style="235" customWidth="1"/>
    <col min="7" max="1024" width="12.875" style="235" customWidth="1"/>
  </cols>
  <sheetData>
    <row r="1" spans="1:10" x14ac:dyDescent="0.2">
      <c r="A1" s="233"/>
      <c r="B1" s="233"/>
      <c r="C1" s="234"/>
      <c r="D1" s="234"/>
    </row>
    <row r="2" spans="1:10" x14ac:dyDescent="0.2">
      <c r="A2" s="233"/>
      <c r="B2" s="233"/>
      <c r="C2" s="234"/>
      <c r="D2" s="234"/>
    </row>
    <row r="3" spans="1:10" x14ac:dyDescent="0.2">
      <c r="A3" s="233"/>
      <c r="B3" s="233"/>
      <c r="C3" s="234"/>
      <c r="D3" s="234"/>
    </row>
    <row r="4" spans="1:10" x14ac:dyDescent="0.2">
      <c r="A4" s="233"/>
      <c r="B4" s="233"/>
      <c r="C4" s="234"/>
      <c r="D4" s="234"/>
    </row>
    <row r="6" spans="1:10" ht="18" customHeight="1" x14ac:dyDescent="0.2">
      <c r="A6" s="237" t="s">
        <v>21</v>
      </c>
      <c r="B6" s="237" t="s">
        <v>171</v>
      </c>
      <c r="C6" s="238" t="s">
        <v>400</v>
      </c>
      <c r="D6" s="239" t="s">
        <v>32</v>
      </c>
      <c r="F6" s="240"/>
    </row>
    <row r="7" spans="1:10" x14ac:dyDescent="0.2">
      <c r="A7" s="241"/>
      <c r="B7" s="241" t="s">
        <v>15</v>
      </c>
      <c r="C7" s="242">
        <f>SUM(C8:C120)</f>
        <v>9419705157.4366913</v>
      </c>
      <c r="D7" s="242">
        <f>SUM(D8:D120)</f>
        <v>100.00000000000001</v>
      </c>
    </row>
    <row r="8" spans="1:10" x14ac:dyDescent="0.2">
      <c r="A8" s="243">
        <v>1</v>
      </c>
      <c r="B8" s="241" t="s">
        <v>43</v>
      </c>
      <c r="C8" s="242">
        <f>'FG1'!I16+FFM!J16+IEPS!I15+FOFIR!I15+FCISAN!I15+ISR!C6+ISAN!I15+LOT!I15+'ENAJENAC DE INMUE'!I15+'IMP BEBIDAS AL'!I15+'FOND GASO Y D'!H16+'FOND GASO Y D'!Q16</f>
        <v>34588645.127120614</v>
      </c>
      <c r="D8" s="738">
        <f t="shared" ref="D8:D39" si="0">C8/$C$7%</f>
        <v>0.36719456234586589</v>
      </c>
      <c r="F8" s="359"/>
      <c r="G8" s="359"/>
      <c r="H8" s="359"/>
      <c r="I8" s="359"/>
      <c r="J8" s="358"/>
    </row>
    <row r="9" spans="1:10" x14ac:dyDescent="0.2">
      <c r="A9" s="243">
        <v>2</v>
      </c>
      <c r="B9" s="241" t="s">
        <v>46</v>
      </c>
      <c r="C9" s="242">
        <f>'FG1'!I17+FFM!J17+IEPS!I16+FOFIR!I16+FCISAN!I16+ISR!C7+ISAN!I16+LOT!I16+'ENAJENAC DE INMUE'!I16+'IMP BEBIDAS AL'!I16+'FOND GASO Y D'!H17+'FOND GASO Y D'!Q17</f>
        <v>70251097.274166524</v>
      </c>
      <c r="D9" s="738">
        <f t="shared" si="0"/>
        <v>0.74578870675909126</v>
      </c>
      <c r="F9" s="359"/>
      <c r="G9" s="359"/>
      <c r="H9" s="359"/>
      <c r="I9" s="359"/>
      <c r="J9" s="358"/>
    </row>
    <row r="10" spans="1:10" x14ac:dyDescent="0.2">
      <c r="A10" s="243">
        <v>3</v>
      </c>
      <c r="B10" s="241" t="s">
        <v>49</v>
      </c>
      <c r="C10" s="242">
        <f>'FG1'!I18+FFM!J18+IEPS!I17+FOFIR!I17+FCISAN!I17+ISR!C8+ISAN!I17+LOT!I17+'ENAJENAC DE INMUE'!I17+'IMP BEBIDAS AL'!I17+'FOND GASO Y D'!H18+'FOND GASO Y D'!Q18</f>
        <v>54986162.491295852</v>
      </c>
      <c r="D10" s="738">
        <f t="shared" si="0"/>
        <v>0.58373549460712415</v>
      </c>
      <c r="F10" s="359"/>
      <c r="G10" s="359"/>
      <c r="H10" s="359"/>
      <c r="I10" s="359"/>
      <c r="J10" s="358"/>
    </row>
    <row r="11" spans="1:10" x14ac:dyDescent="0.2">
      <c r="A11" s="243">
        <v>4</v>
      </c>
      <c r="B11" s="241" t="s">
        <v>52</v>
      </c>
      <c r="C11" s="242">
        <f>'FG1'!I19+FFM!J19+IEPS!I18+FOFIR!I18+FCISAN!I18+ISR!C9+ISAN!I18+LOT!I18+'ENAJENAC DE INMUE'!I18+'IMP BEBIDAS AL'!I18+'FOND GASO Y D'!H19+'FOND GASO Y D'!Q19</f>
        <v>36828971.186989658</v>
      </c>
      <c r="D11" s="738">
        <f t="shared" si="0"/>
        <v>0.39097796132094254</v>
      </c>
      <c r="F11" s="359"/>
      <c r="G11" s="359"/>
      <c r="H11" s="359"/>
      <c r="I11" s="359"/>
      <c r="J11" s="358"/>
    </row>
    <row r="12" spans="1:10" x14ac:dyDescent="0.2">
      <c r="A12" s="243">
        <v>5</v>
      </c>
      <c r="B12" s="241" t="s">
        <v>54</v>
      </c>
      <c r="C12" s="242">
        <f>'FG1'!I20+FFM!J20+IEPS!I19+FOFIR!I19+FCISAN!I19+ISR!C10+ISAN!I19+LOT!I19+'ENAJENAC DE INMUE'!I19+'IMP BEBIDAS AL'!I19+'FOND GASO Y D'!H20+'FOND GASO Y D'!Q20</f>
        <v>33827787.235052101</v>
      </c>
      <c r="D12" s="738">
        <f t="shared" si="0"/>
        <v>0.35911726184280468</v>
      </c>
      <c r="F12" s="359"/>
      <c r="G12" s="359"/>
      <c r="H12" s="359"/>
      <c r="I12" s="359"/>
      <c r="J12" s="358"/>
    </row>
    <row r="13" spans="1:10" x14ac:dyDescent="0.2">
      <c r="A13" s="243">
        <v>6</v>
      </c>
      <c r="B13" s="241" t="s">
        <v>57</v>
      </c>
      <c r="C13" s="242">
        <f>'FG1'!I21+FFM!J21+IEPS!I20+FOFIR!I20+FCISAN!I20+ISR!C11+ISAN!I20+LOT!I20+'ENAJENAC DE INMUE'!I20+'IMP BEBIDAS AL'!I20+'FOND GASO Y D'!H21+'FOND GASO Y D'!Q21</f>
        <v>211622209.68546742</v>
      </c>
      <c r="D13" s="738">
        <f t="shared" si="0"/>
        <v>2.2465905901353547</v>
      </c>
      <c r="F13" s="359"/>
      <c r="G13" s="359"/>
      <c r="H13" s="359"/>
      <c r="I13" s="359"/>
      <c r="J13" s="358"/>
    </row>
    <row r="14" spans="1:10" x14ac:dyDescent="0.2">
      <c r="A14" s="243">
        <v>7</v>
      </c>
      <c r="B14" s="241" t="s">
        <v>44</v>
      </c>
      <c r="C14" s="242">
        <f>'FG1'!I22+FFM!J22+IEPS!I21+FOFIR!I21+FCISAN!I21+ISR!C12+ISAN!I21+LOT!I21+'ENAJENAC DE INMUE'!I21+'IMP BEBIDAS AL'!I21+'FOND GASO Y D'!H22+'FOND GASO Y D'!Q22</f>
        <v>22270945.993665099</v>
      </c>
      <c r="D14" s="738">
        <f t="shared" si="0"/>
        <v>0.23642933214403827</v>
      </c>
      <c r="F14" s="359"/>
      <c r="G14" s="359"/>
      <c r="H14" s="359"/>
      <c r="I14" s="359"/>
      <c r="J14" s="358"/>
    </row>
    <row r="15" spans="1:10" x14ac:dyDescent="0.2">
      <c r="A15" s="243">
        <v>8</v>
      </c>
      <c r="B15" s="244" t="s">
        <v>59</v>
      </c>
      <c r="C15" s="242">
        <f>'FG1'!I23+FFM!J23+IEPS!I22+FOFIR!I22+FCISAN!I22+ISR!C13+ISAN!I22+LOT!I22+'ENAJENAC DE INMUE'!I22+'IMP BEBIDAS AL'!I22+'FOND GASO Y D'!H23+'FOND GASO Y D'!Q23</f>
        <v>117753457.35341644</v>
      </c>
      <c r="D15" s="738">
        <f t="shared" si="0"/>
        <v>1.2500758291829566</v>
      </c>
      <c r="F15" s="359"/>
      <c r="G15" s="359"/>
      <c r="H15" s="359"/>
      <c r="I15" s="359"/>
      <c r="J15" s="358"/>
    </row>
    <row r="16" spans="1:10" x14ac:dyDescent="0.2">
      <c r="A16" s="243">
        <v>9</v>
      </c>
      <c r="B16" s="241" t="s">
        <v>342</v>
      </c>
      <c r="C16" s="242">
        <f>'FG1'!I24+FFM!J24+IEPS!I23+FOFIR!I23+FCISAN!I23+ISR!C14+ISAN!I23+LOT!I23+'ENAJENAC DE INMUE'!I23+'IMP BEBIDAS AL'!I23+'FOND GASO Y D'!H24+'FOND GASO Y D'!Q24</f>
        <v>81762193.821118653</v>
      </c>
      <c r="D16" s="738">
        <f t="shared" si="0"/>
        <v>0.86799100879042734</v>
      </c>
      <c r="F16" s="359"/>
      <c r="G16" s="359"/>
      <c r="H16" s="359"/>
      <c r="I16" s="359"/>
      <c r="J16" s="358"/>
    </row>
    <row r="17" spans="1:10" x14ac:dyDescent="0.2">
      <c r="A17" s="243">
        <v>10</v>
      </c>
      <c r="B17" s="241" t="s">
        <v>64</v>
      </c>
      <c r="C17" s="242">
        <f>'FG1'!I25+FFM!J25+IEPS!I24+FOFIR!I24+FCISAN!I24+ISR!C15+ISAN!I24+LOT!I24+'ENAJENAC DE INMUE'!I24+'IMP BEBIDAS AL'!I24+'FOND GASO Y D'!H25+'FOND GASO Y D'!Q25</f>
        <v>124702973.51405799</v>
      </c>
      <c r="D17" s="738">
        <f t="shared" si="0"/>
        <v>1.323852195263322</v>
      </c>
      <c r="F17" s="359"/>
      <c r="G17" s="359"/>
      <c r="H17" s="359"/>
      <c r="I17" s="359"/>
      <c r="J17" s="358"/>
    </row>
    <row r="18" spans="1:10" x14ac:dyDescent="0.2">
      <c r="A18" s="243">
        <v>11</v>
      </c>
      <c r="B18" s="241" t="s">
        <v>343</v>
      </c>
      <c r="C18" s="242">
        <f>'FG1'!I26+FFM!J26+IEPS!I25+FOFIR!I25+FCISAN!I25+ISR!C16+ISAN!I25+LOT!I25+'ENAJENAC DE INMUE'!I25+'IMP BEBIDAS AL'!I25+'FOND GASO Y D'!H26+'FOND GASO Y D'!Q26</f>
        <v>36718101.530955665</v>
      </c>
      <c r="D18" s="738">
        <f t="shared" si="0"/>
        <v>0.38980096422622496</v>
      </c>
      <c r="F18" s="359"/>
      <c r="G18" s="359"/>
      <c r="H18" s="359"/>
      <c r="I18" s="359"/>
      <c r="J18" s="358"/>
    </row>
    <row r="19" spans="1:10" x14ac:dyDescent="0.2">
      <c r="A19" s="243">
        <v>12</v>
      </c>
      <c r="B19" s="241" t="s">
        <v>70</v>
      </c>
      <c r="C19" s="242">
        <f>'FG1'!I27+FFM!J27+IEPS!I26+FOFIR!I26+FCISAN!I26+ISR!C17+ISAN!I26+LOT!I26+'ENAJENAC DE INMUE'!I26+'IMP BEBIDAS AL'!I26+'FOND GASO Y D'!H27+'FOND GASO Y D'!Q27</f>
        <v>88646195.034657583</v>
      </c>
      <c r="D19" s="738">
        <f t="shared" si="0"/>
        <v>0.94107186534042386</v>
      </c>
      <c r="F19" s="359"/>
      <c r="G19" s="359"/>
      <c r="H19" s="359"/>
      <c r="I19" s="359"/>
      <c r="J19" s="358"/>
    </row>
    <row r="20" spans="1:10" x14ac:dyDescent="0.2">
      <c r="A20" s="243">
        <v>13</v>
      </c>
      <c r="B20" s="241" t="s">
        <v>73</v>
      </c>
      <c r="C20" s="242">
        <f>'FG1'!I28+FFM!J28+IEPS!I27+FOFIR!I27+FCISAN!I27+ISR!C18+ISAN!I27+LOT!I27+'ENAJENAC DE INMUE'!I27+'IMP BEBIDAS AL'!I27+'FOND GASO Y D'!H28+'FOND GASO Y D'!Q28</f>
        <v>49372820.101939298</v>
      </c>
      <c r="D20" s="738">
        <f t="shared" si="0"/>
        <v>0.52414400744762513</v>
      </c>
      <c r="F20" s="359"/>
      <c r="G20" s="359"/>
      <c r="H20" s="359"/>
      <c r="I20" s="359"/>
      <c r="J20" s="358"/>
    </row>
    <row r="21" spans="1:10" x14ac:dyDescent="0.2">
      <c r="A21" s="243">
        <v>14</v>
      </c>
      <c r="B21" s="241" t="s">
        <v>75</v>
      </c>
      <c r="C21" s="242">
        <f>'FG1'!I29+FFM!J29+IEPS!I28+FOFIR!I28+FCISAN!I28+ISR!C19+ISAN!I28+LOT!I28+'ENAJENAC DE INMUE'!I28+'IMP BEBIDAS AL'!I28+'FOND GASO Y D'!H29+'FOND GASO Y D'!Q29</f>
        <v>47168533.40465685</v>
      </c>
      <c r="D21" s="738">
        <f t="shared" si="0"/>
        <v>0.50074320391459515</v>
      </c>
      <c r="F21" s="359"/>
      <c r="G21" s="359"/>
      <c r="H21" s="359"/>
      <c r="I21" s="359"/>
      <c r="J21" s="358"/>
    </row>
    <row r="22" spans="1:10" x14ac:dyDescent="0.2">
      <c r="A22" s="243">
        <v>15</v>
      </c>
      <c r="B22" s="241" t="s">
        <v>77</v>
      </c>
      <c r="C22" s="242">
        <f>'FG1'!I30+FFM!J30+IEPS!I29+FOFIR!I29+FCISAN!I29+ISR!C20+ISAN!I29+LOT!I29+'ENAJENAC DE INMUE'!I29+'IMP BEBIDAS AL'!I29+'FOND GASO Y D'!H30+'FOND GASO Y D'!Q30</f>
        <v>116344786.00148401</v>
      </c>
      <c r="D22" s="738">
        <f t="shared" si="0"/>
        <v>1.2351213127900489</v>
      </c>
      <c r="F22" s="359"/>
      <c r="G22" s="359"/>
      <c r="H22" s="359"/>
      <c r="I22" s="359"/>
      <c r="J22" s="358"/>
    </row>
    <row r="23" spans="1:10" x14ac:dyDescent="0.2">
      <c r="A23" s="243">
        <v>16</v>
      </c>
      <c r="B23" s="241" t="s">
        <v>79</v>
      </c>
      <c r="C23" s="242">
        <f>'FG1'!I31+FFM!J31+IEPS!I30+FOFIR!I30+FCISAN!I30+ISR!C21+ISAN!I30+LOT!I30+'ENAJENAC DE INMUE'!I30+'IMP BEBIDAS AL'!I30+'FOND GASO Y D'!H31+'FOND GASO Y D'!Q31</f>
        <v>48529816.139414988</v>
      </c>
      <c r="D23" s="738">
        <f t="shared" si="0"/>
        <v>0.51519464068470922</v>
      </c>
      <c r="F23" s="359"/>
      <c r="G23" s="359"/>
      <c r="H23" s="359"/>
      <c r="I23" s="359"/>
      <c r="J23" s="358"/>
    </row>
    <row r="24" spans="1:10" x14ac:dyDescent="0.2">
      <c r="A24" s="243">
        <v>17</v>
      </c>
      <c r="B24" s="241" t="s">
        <v>81</v>
      </c>
      <c r="C24" s="242">
        <f>'FG1'!I32+FFM!J32+IEPS!I31+FOFIR!I31+FCISAN!I31+ISR!C22+ISAN!I31+LOT!I31+'ENAJENAC DE INMUE'!I31+'IMP BEBIDAS AL'!I31+'FOND GASO Y D'!H32+'FOND GASO Y D'!Q32</f>
        <v>69652284.349155352</v>
      </c>
      <c r="D24" s="738">
        <f t="shared" si="0"/>
        <v>0.73943168268028114</v>
      </c>
      <c r="F24" s="359"/>
      <c r="G24" s="359"/>
      <c r="H24" s="359"/>
      <c r="I24" s="359"/>
      <c r="J24" s="358"/>
    </row>
    <row r="25" spans="1:10" x14ac:dyDescent="0.2">
      <c r="A25" s="243">
        <v>18</v>
      </c>
      <c r="B25" s="241" t="s">
        <v>82</v>
      </c>
      <c r="C25" s="242">
        <f>'FG1'!I33+FFM!J33+IEPS!I32+FOFIR!I32+FCISAN!I32+ISR!C23+ISAN!I32+LOT!I32+'ENAJENAC DE INMUE'!I32+'IMP BEBIDAS AL'!I32+'FOND GASO Y D'!H33+'FOND GASO Y D'!Q33</f>
        <v>29282801.091804117</v>
      </c>
      <c r="D25" s="738">
        <f t="shared" si="0"/>
        <v>0.31086749109854955</v>
      </c>
      <c r="F25" s="359"/>
      <c r="G25" s="359"/>
      <c r="H25" s="359"/>
      <c r="I25" s="359"/>
      <c r="J25" s="358"/>
    </row>
    <row r="26" spans="1:10" x14ac:dyDescent="0.2">
      <c r="A26" s="243">
        <v>19</v>
      </c>
      <c r="B26" s="241" t="s">
        <v>344</v>
      </c>
      <c r="C26" s="242">
        <f>'FG1'!I34+FFM!J34+IEPS!I33+FOFIR!I33+FCISAN!I33+ISR!C24+ISAN!I33+LOT!I33+'ENAJENAC DE INMUE'!I33+'IMP BEBIDAS AL'!I33+'FOND GASO Y D'!H34+'FOND GASO Y D'!Q34</f>
        <v>52043564.656463385</v>
      </c>
      <c r="D26" s="738">
        <f t="shared" si="0"/>
        <v>0.55249674789848291</v>
      </c>
      <c r="F26" s="359"/>
      <c r="G26" s="359"/>
      <c r="H26" s="359"/>
      <c r="I26" s="359"/>
      <c r="J26" s="358"/>
    </row>
    <row r="27" spans="1:10" x14ac:dyDescent="0.2">
      <c r="A27" s="243">
        <v>20</v>
      </c>
      <c r="B27" s="241" t="s">
        <v>87</v>
      </c>
      <c r="C27" s="242">
        <f>'FG1'!I35+FFM!J35+IEPS!I34+FOFIR!I34+FCISAN!I34+ISR!C25+ISAN!I34+LOT!I34+'ENAJENAC DE INMUE'!I34+'IMP BEBIDAS AL'!I34+'FOND GASO Y D'!H35+'FOND GASO Y D'!Q35</f>
        <v>59099902.662139513</v>
      </c>
      <c r="D27" s="738">
        <f t="shared" si="0"/>
        <v>0.62740713933579095</v>
      </c>
      <c r="F27" s="359"/>
      <c r="G27" s="359"/>
      <c r="H27" s="359"/>
      <c r="I27" s="359"/>
      <c r="J27" s="358"/>
    </row>
    <row r="28" spans="1:10" x14ac:dyDescent="0.2">
      <c r="A28" s="243">
        <v>21</v>
      </c>
      <c r="B28" s="241" t="s">
        <v>88</v>
      </c>
      <c r="C28" s="242">
        <f>'FG1'!I36+FFM!J36+IEPS!I35+FOFIR!I35+FCISAN!I35+ISR!C26+ISAN!I35+LOT!I35+'ENAJENAC DE INMUE'!I35+'IMP BEBIDAS AL'!I35+'FOND GASO Y D'!H36+'FOND GASO Y D'!Q36</f>
        <v>35047652.789934427</v>
      </c>
      <c r="D28" s="738">
        <f t="shared" si="0"/>
        <v>0.37206740767533392</v>
      </c>
      <c r="F28" s="359"/>
      <c r="G28" s="359"/>
      <c r="H28" s="359"/>
      <c r="I28" s="359"/>
      <c r="J28" s="358"/>
    </row>
    <row r="29" spans="1:10" x14ac:dyDescent="0.2">
      <c r="A29" s="243">
        <v>22</v>
      </c>
      <c r="B29" s="241" t="s">
        <v>91</v>
      </c>
      <c r="C29" s="242">
        <f>'FG1'!I37+FFM!J37+IEPS!I36+FOFIR!I36+FCISAN!I36+ISR!C27+ISAN!I36+LOT!I36+'ENAJENAC DE INMUE'!I36+'IMP BEBIDAS AL'!I36+'FOND GASO Y D'!H37+'FOND GASO Y D'!Q37</f>
        <v>57042221.604775369</v>
      </c>
      <c r="D29" s="738">
        <f t="shared" si="0"/>
        <v>0.60556270765801556</v>
      </c>
      <c r="F29" s="359"/>
      <c r="G29" s="359"/>
      <c r="H29" s="359"/>
      <c r="I29" s="359"/>
      <c r="J29" s="358"/>
    </row>
    <row r="30" spans="1:10" x14ac:dyDescent="0.2">
      <c r="A30" s="243">
        <v>23</v>
      </c>
      <c r="B30" s="241" t="s">
        <v>60</v>
      </c>
      <c r="C30" s="242">
        <f>'FG1'!I38+FFM!J38+IEPS!I37+FOFIR!I37+FCISAN!I37+ISR!C28+ISAN!I37+LOT!I37+'ENAJENAC DE INMUE'!I37+'IMP BEBIDAS AL'!I37+'FOND GASO Y D'!H38+'FOND GASO Y D'!Q38</f>
        <v>32871342.486558668</v>
      </c>
      <c r="D30" s="738">
        <f t="shared" si="0"/>
        <v>0.34896360275785621</v>
      </c>
      <c r="F30" s="359"/>
      <c r="G30" s="359"/>
      <c r="H30" s="359"/>
      <c r="I30" s="359"/>
      <c r="J30" s="358"/>
    </row>
    <row r="31" spans="1:10" x14ac:dyDescent="0.2">
      <c r="A31" s="243">
        <v>24</v>
      </c>
      <c r="B31" s="241" t="s">
        <v>95</v>
      </c>
      <c r="C31" s="242">
        <f>'FG1'!I39+FFM!J39+IEPS!I38+FOFIR!I38+FCISAN!I38+ISR!C29+ISAN!I38+LOT!I38+'ENAJENAC DE INMUE'!I38+'IMP BEBIDAS AL'!I38+'FOND GASO Y D'!H39+'FOND GASO Y D'!Q39</f>
        <v>43769369.767799929</v>
      </c>
      <c r="D31" s="738">
        <f t="shared" si="0"/>
        <v>0.46465753477692223</v>
      </c>
      <c r="F31" s="359"/>
      <c r="G31" s="359"/>
      <c r="H31" s="359"/>
      <c r="I31" s="359"/>
      <c r="J31" s="358"/>
    </row>
    <row r="32" spans="1:10" x14ac:dyDescent="0.2">
      <c r="A32" s="243">
        <v>25</v>
      </c>
      <c r="B32" s="241" t="s">
        <v>97</v>
      </c>
      <c r="C32" s="242">
        <f>'FG1'!I40+FFM!J40+IEPS!I39+FOFIR!I39+FCISAN!I39+ISR!C30+ISAN!I39+LOT!I39+'ENAJENAC DE INMUE'!I39+'IMP BEBIDAS AL'!I39+'FOND GASO Y D'!H40+'FOND GASO Y D'!Q40</f>
        <v>72634296.417394802</v>
      </c>
      <c r="D32" s="738">
        <f t="shared" si="0"/>
        <v>0.77108885260650972</v>
      </c>
      <c r="F32" s="359"/>
      <c r="G32" s="359"/>
      <c r="H32" s="359"/>
      <c r="I32" s="359"/>
      <c r="J32" s="358"/>
    </row>
    <row r="33" spans="1:10" x14ac:dyDescent="0.2">
      <c r="A33" s="243">
        <v>26</v>
      </c>
      <c r="B33" s="241" t="s">
        <v>345</v>
      </c>
      <c r="C33" s="242">
        <f>'FG1'!I41+FFM!J41+IEPS!I40+FOFIR!I40+FCISAN!I40+ISR!C31+ISAN!I40+LOT!I40+'ENAJENAC DE INMUE'!I40+'IMP BEBIDAS AL'!I40+'FOND GASO Y D'!H41+'FOND GASO Y D'!Q41</f>
        <v>44439551.583355509</v>
      </c>
      <c r="D33" s="738">
        <f t="shared" si="0"/>
        <v>0.47177221410450693</v>
      </c>
      <c r="F33" s="359"/>
      <c r="G33" s="359"/>
      <c r="H33" s="359"/>
      <c r="I33" s="359"/>
      <c r="J33" s="358"/>
    </row>
    <row r="34" spans="1:10" x14ac:dyDescent="0.2">
      <c r="A34" s="243">
        <v>27</v>
      </c>
      <c r="B34" s="241" t="s">
        <v>71</v>
      </c>
      <c r="C34" s="242">
        <f>'FG1'!I42+FFM!J42+IEPS!I41+FOFIR!I41+FCISAN!I41+ISR!C32+ISAN!I41+LOT!I41+'ENAJENAC DE INMUE'!I41+'IMP BEBIDAS AL'!I41+'FOND GASO Y D'!H42+'FOND GASO Y D'!Q42</f>
        <v>20239390.419320654</v>
      </c>
      <c r="D34" s="738">
        <f t="shared" si="0"/>
        <v>0.21486224973126694</v>
      </c>
      <c r="F34" s="359"/>
      <c r="G34" s="359"/>
      <c r="H34" s="359"/>
      <c r="I34" s="359"/>
      <c r="J34" s="358"/>
    </row>
    <row r="35" spans="1:10" x14ac:dyDescent="0.2">
      <c r="A35" s="243">
        <v>28</v>
      </c>
      <c r="B35" s="241" t="s">
        <v>72</v>
      </c>
      <c r="C35" s="242">
        <f>'FG1'!I43+FFM!J43+IEPS!I42+FOFIR!I42+FCISAN!I42+ISR!C33+ISAN!I42+LOT!I42+'ENAJENAC DE INMUE'!I42+'IMP BEBIDAS AL'!I42+'FOND GASO Y D'!H43+'FOND GASO Y D'!Q43</f>
        <v>21590886.338028856</v>
      </c>
      <c r="D35" s="738">
        <f t="shared" si="0"/>
        <v>0.22920978923616556</v>
      </c>
      <c r="F35" s="359"/>
      <c r="G35" s="359"/>
      <c r="H35" s="359"/>
      <c r="I35" s="359"/>
      <c r="J35" s="358"/>
    </row>
    <row r="36" spans="1:10" x14ac:dyDescent="0.2">
      <c r="A36" s="243">
        <v>29</v>
      </c>
      <c r="B36" s="241" t="s">
        <v>61</v>
      </c>
      <c r="C36" s="242">
        <f>'FG1'!I44+FFM!J44+IEPS!I43+FOFIR!I43+FCISAN!I43+ISR!C34+ISAN!I43+LOT!I43+'ENAJENAC DE INMUE'!I43+'IMP BEBIDAS AL'!I43+'FOND GASO Y D'!H44+'FOND GASO Y D'!Q44</f>
        <v>47723158.550885811</v>
      </c>
      <c r="D36" s="738">
        <f t="shared" si="0"/>
        <v>0.50663112861031767</v>
      </c>
      <c r="F36" s="359"/>
      <c r="G36" s="359"/>
      <c r="H36" s="359"/>
      <c r="I36" s="359"/>
      <c r="J36" s="358"/>
    </row>
    <row r="37" spans="1:10" x14ac:dyDescent="0.2">
      <c r="A37" s="243">
        <v>30</v>
      </c>
      <c r="B37" s="241" t="s">
        <v>104</v>
      </c>
      <c r="C37" s="242">
        <f>'FG1'!I45+FFM!J45+IEPS!I44+FOFIR!I44+FCISAN!I44+ISR!C35+ISAN!I44+LOT!I44+'ENAJENAC DE INMUE'!I44+'IMP BEBIDAS AL'!I44+'FOND GASO Y D'!H45+'FOND GASO Y D'!Q45</f>
        <v>33768421.68404419</v>
      </c>
      <c r="D37" s="738">
        <f t="shared" si="0"/>
        <v>0.35848703456906628</v>
      </c>
      <c r="F37" s="359"/>
      <c r="G37" s="359"/>
      <c r="H37" s="359"/>
      <c r="I37" s="359"/>
      <c r="J37" s="358"/>
    </row>
    <row r="38" spans="1:10" x14ac:dyDescent="0.2">
      <c r="A38" s="243">
        <v>31</v>
      </c>
      <c r="B38" s="241" t="s">
        <v>48</v>
      </c>
      <c r="C38" s="242">
        <f>'FG1'!I46+FFM!J46+IEPS!I45+FOFIR!I45+FCISAN!I45+ISR!C36+ISAN!I45+LOT!I45+'ENAJENAC DE INMUE'!I45+'IMP BEBIDAS AL'!I45+'FOND GASO Y D'!H46+'FOND GASO Y D'!Q46</f>
        <v>46181740.324405745</v>
      </c>
      <c r="D38" s="738">
        <f t="shared" si="0"/>
        <v>0.49026736561861572</v>
      </c>
      <c r="F38" s="359"/>
      <c r="G38" s="359"/>
      <c r="H38" s="359"/>
      <c r="I38" s="359"/>
      <c r="J38" s="358"/>
    </row>
    <row r="39" spans="1:10" x14ac:dyDescent="0.2">
      <c r="A39" s="243">
        <v>32</v>
      </c>
      <c r="B39" s="241" t="s">
        <v>83</v>
      </c>
      <c r="C39" s="242">
        <f>'FG1'!I47+FFM!J47+IEPS!I46+FOFIR!I46+FCISAN!I46+ISR!C37+ISAN!I46+LOT!I46+'ENAJENAC DE INMUE'!I46+'IMP BEBIDAS AL'!I46+'FOND GASO Y D'!H47+'FOND GASO Y D'!Q47</f>
        <v>37239671.555151843</v>
      </c>
      <c r="D39" s="738">
        <f t="shared" si="0"/>
        <v>0.39533797430752682</v>
      </c>
      <c r="F39" s="359"/>
      <c r="G39" s="359"/>
      <c r="H39" s="359"/>
      <c r="I39" s="359"/>
      <c r="J39" s="358"/>
    </row>
    <row r="40" spans="1:10" x14ac:dyDescent="0.2">
      <c r="A40" s="243">
        <v>33</v>
      </c>
      <c r="B40" s="241" t="s">
        <v>108</v>
      </c>
      <c r="C40" s="242">
        <f>'FG1'!I48+FFM!J48+IEPS!I47+FOFIR!I47+FCISAN!I47+ISR!C38+ISAN!I47+LOT!I47+'ENAJENAC DE INMUE'!I47+'IMP BEBIDAS AL'!I47+'FOND GASO Y D'!H48+'FOND GASO Y D'!Q48</f>
        <v>50023025.650663354</v>
      </c>
      <c r="D40" s="738">
        <f t="shared" ref="D40:D71" si="1">C40/$C$7%</f>
        <v>0.53104661785694063</v>
      </c>
      <c r="F40" s="359"/>
      <c r="G40" s="359"/>
      <c r="H40" s="359"/>
      <c r="I40" s="359"/>
      <c r="J40" s="358"/>
    </row>
    <row r="41" spans="1:10" x14ac:dyDescent="0.2">
      <c r="A41" s="243">
        <v>34</v>
      </c>
      <c r="B41" s="241" t="s">
        <v>110</v>
      </c>
      <c r="C41" s="242">
        <f>'FG1'!I49+FFM!J49+IEPS!I48+FOFIR!I48+FCISAN!I48+ISR!C39+ISAN!I48+LOT!I48+'ENAJENAC DE INMUE'!I48+'IMP BEBIDAS AL'!I48+'FOND GASO Y D'!H49+'FOND GASO Y D'!Q49</f>
        <v>213981414.7813133</v>
      </c>
      <c r="D41" s="738">
        <f t="shared" si="1"/>
        <v>2.2716360141312784</v>
      </c>
      <c r="F41" s="359"/>
      <c r="G41" s="359"/>
      <c r="H41" s="359"/>
      <c r="I41" s="359"/>
      <c r="J41" s="358"/>
    </row>
    <row r="42" spans="1:10" x14ac:dyDescent="0.2">
      <c r="A42" s="243">
        <v>35</v>
      </c>
      <c r="B42" s="241" t="s">
        <v>112</v>
      </c>
      <c r="C42" s="242">
        <f>'FG1'!I50+FFM!J50+IEPS!I49+FOFIR!I49+FCISAN!I49+ISR!C40+ISAN!I49+LOT!I49+'ENAJENAC DE INMUE'!I49+'IMP BEBIDAS AL'!I49+'FOND GASO Y D'!H50+'FOND GASO Y D'!Q50</f>
        <v>90467434.466915503</v>
      </c>
      <c r="D42" s="738">
        <f t="shared" si="1"/>
        <v>0.96040622243354457</v>
      </c>
      <c r="F42" s="359"/>
      <c r="G42" s="359"/>
      <c r="H42" s="359"/>
      <c r="I42" s="359"/>
      <c r="J42" s="358"/>
    </row>
    <row r="43" spans="1:10" x14ac:dyDescent="0.2">
      <c r="A43" s="243">
        <v>36</v>
      </c>
      <c r="B43" s="241" t="s">
        <v>114</v>
      </c>
      <c r="C43" s="242">
        <f>'FG1'!I51+FFM!J51+IEPS!I50+FOFIR!I50+FCISAN!I50+ISR!C41+ISAN!I50+LOT!I50+'ENAJENAC DE INMUE'!I50+'IMP BEBIDAS AL'!I50+'FOND GASO Y D'!H51+'FOND GASO Y D'!Q51</f>
        <v>33813723.228362188</v>
      </c>
      <c r="D43" s="738">
        <f t="shared" si="1"/>
        <v>0.35896795773556511</v>
      </c>
      <c r="F43" s="359"/>
      <c r="G43" s="359"/>
      <c r="H43" s="359"/>
      <c r="I43" s="359"/>
      <c r="J43" s="358"/>
    </row>
    <row r="44" spans="1:10" x14ac:dyDescent="0.2">
      <c r="A44" s="243">
        <v>37</v>
      </c>
      <c r="B44" s="241" t="s">
        <v>92</v>
      </c>
      <c r="C44" s="242">
        <f>'FG1'!I52+FFM!J52+IEPS!I51+FOFIR!I51+FCISAN!I51+ISR!C42+ISAN!I51+LOT!I51+'ENAJENAC DE INMUE'!I51+'IMP BEBIDAS AL'!I51+'FOND GASO Y D'!H52+'FOND GASO Y D'!Q52</f>
        <v>26594523.932343703</v>
      </c>
      <c r="D44" s="738">
        <f t="shared" si="1"/>
        <v>0.2823286237504769</v>
      </c>
      <c r="F44" s="359"/>
      <c r="G44" s="359"/>
      <c r="H44" s="359"/>
      <c r="I44" s="359"/>
      <c r="J44" s="358"/>
    </row>
    <row r="45" spans="1:10" x14ac:dyDescent="0.2">
      <c r="A45" s="243">
        <v>38</v>
      </c>
      <c r="B45" s="241" t="s">
        <v>51</v>
      </c>
      <c r="C45" s="242">
        <f>'FG1'!I53+FFM!J53+IEPS!I52+FOFIR!I52+FCISAN!I52+ISR!C43+ISAN!I52+LOT!I52+'ENAJENAC DE INMUE'!I52+'IMP BEBIDAS AL'!I52+'FOND GASO Y D'!H53+'FOND GASO Y D'!Q53</f>
        <v>123341950.9173269</v>
      </c>
      <c r="D45" s="738">
        <f t="shared" si="1"/>
        <v>1.3094035201298271</v>
      </c>
      <c r="F45" s="359"/>
      <c r="G45" s="359"/>
      <c r="H45" s="359"/>
      <c r="I45" s="359"/>
      <c r="J45" s="358"/>
    </row>
    <row r="46" spans="1:10" x14ac:dyDescent="0.2">
      <c r="A46" s="243">
        <v>39</v>
      </c>
      <c r="B46" s="241" t="s">
        <v>105</v>
      </c>
      <c r="C46" s="242">
        <f>'FG1'!I54+FFM!J54+IEPS!I53+FOFIR!I53+FCISAN!I53+ISR!C44+ISAN!I53+LOT!I53+'ENAJENAC DE INMUE'!I53+'IMP BEBIDAS AL'!I53+'FOND GASO Y D'!H54+'FOND GASO Y D'!Q54</f>
        <v>27673214.186234102</v>
      </c>
      <c r="D46" s="738">
        <f t="shared" si="1"/>
        <v>0.29378004644218175</v>
      </c>
      <c r="F46" s="359"/>
      <c r="G46" s="359"/>
      <c r="H46" s="359"/>
      <c r="I46" s="359"/>
      <c r="J46" s="358"/>
    </row>
    <row r="47" spans="1:10" x14ac:dyDescent="0.2">
      <c r="A47" s="243">
        <v>40</v>
      </c>
      <c r="B47" s="241" t="s">
        <v>96</v>
      </c>
      <c r="C47" s="242">
        <f>'FG1'!I55+FFM!J55+IEPS!I54+FOFIR!I54+FCISAN!I54+ISR!C45+ISAN!I54+LOT!I54+'ENAJENAC DE INMUE'!I54+'IMP BEBIDAS AL'!I54+'FOND GASO Y D'!H55+'FOND GASO Y D'!Q55</f>
        <v>45637966.581923611</v>
      </c>
      <c r="D47" s="738">
        <f t="shared" si="1"/>
        <v>0.4844946398974414</v>
      </c>
      <c r="F47" s="359"/>
      <c r="G47" s="359"/>
      <c r="H47" s="359"/>
      <c r="I47" s="359"/>
      <c r="J47" s="358"/>
    </row>
    <row r="48" spans="1:10" x14ac:dyDescent="0.2">
      <c r="A48" s="243">
        <v>41</v>
      </c>
      <c r="B48" s="241" t="s">
        <v>98</v>
      </c>
      <c r="C48" s="242">
        <f>'FG1'!I56+FFM!J56+IEPS!I55+FOFIR!I55+FCISAN!I55+ISR!C46+ISAN!I55+LOT!I55+'ENAJENAC DE INMUE'!I55+'IMP BEBIDAS AL'!I55+'FOND GASO Y D'!H56+'FOND GASO Y D'!Q56</f>
        <v>41712741.633768402</v>
      </c>
      <c r="D48" s="738">
        <f t="shared" si="1"/>
        <v>0.44282428097908061</v>
      </c>
      <c r="F48" s="359"/>
      <c r="G48" s="359"/>
      <c r="H48" s="359"/>
      <c r="I48" s="359"/>
      <c r="J48" s="358"/>
    </row>
    <row r="49" spans="1:10" x14ac:dyDescent="0.2">
      <c r="A49" s="243">
        <v>42</v>
      </c>
      <c r="B49" s="241" t="s">
        <v>122</v>
      </c>
      <c r="C49" s="242">
        <f>'FG1'!I57+FFM!J57+IEPS!I56+FOFIR!I56+FCISAN!I56+ISR!C47+ISAN!I56+LOT!I56+'ENAJENAC DE INMUE'!I56+'IMP BEBIDAS AL'!I56+'FOND GASO Y D'!H57+'FOND GASO Y D'!Q57</f>
        <v>38882214.908823267</v>
      </c>
      <c r="D49" s="738">
        <f t="shared" si="1"/>
        <v>0.41277528605156438</v>
      </c>
      <c r="F49" s="359"/>
      <c r="G49" s="359"/>
      <c r="H49" s="359"/>
      <c r="I49" s="359"/>
      <c r="J49" s="358"/>
    </row>
    <row r="50" spans="1:10" x14ac:dyDescent="0.2">
      <c r="A50" s="243">
        <v>43</v>
      </c>
      <c r="B50" s="241" t="s">
        <v>346</v>
      </c>
      <c r="C50" s="242">
        <f>'FG1'!I58+FFM!J58+IEPS!I57+FOFIR!I57+FCISAN!I57+ISR!C48+ISAN!I57+LOT!I57+'ENAJENAC DE INMUE'!I57+'IMP BEBIDAS AL'!I57+'FOND GASO Y D'!H58+'FOND GASO Y D'!Q58</f>
        <v>143383178.81930861</v>
      </c>
      <c r="D50" s="738">
        <f t="shared" si="1"/>
        <v>1.5221620679508223</v>
      </c>
      <c r="F50" s="359"/>
      <c r="G50" s="359"/>
      <c r="H50" s="359"/>
      <c r="I50" s="359"/>
      <c r="J50" s="358"/>
    </row>
    <row r="51" spans="1:10" x14ac:dyDescent="0.2">
      <c r="A51" s="243">
        <v>44</v>
      </c>
      <c r="B51" s="241" t="s">
        <v>102</v>
      </c>
      <c r="C51" s="242">
        <f>'FG1'!I59+FFM!J59+IEPS!I58+FOFIR!I58+FCISAN!I58+ISR!C49+ISAN!I58+LOT!I58+'ENAJENAC DE INMUE'!I58+'IMP BEBIDAS AL'!I58+'FOND GASO Y D'!H59+'FOND GASO Y D'!Q59</f>
        <v>35012275.163546018</v>
      </c>
      <c r="D51" s="738">
        <f t="shared" si="1"/>
        <v>0.37169183725357308</v>
      </c>
      <c r="F51" s="359"/>
      <c r="G51" s="359"/>
      <c r="H51" s="359"/>
      <c r="I51" s="359"/>
      <c r="J51" s="358"/>
    </row>
    <row r="52" spans="1:10" x14ac:dyDescent="0.2">
      <c r="A52" s="243">
        <v>45</v>
      </c>
      <c r="B52" s="241" t="s">
        <v>127</v>
      </c>
      <c r="C52" s="242">
        <f>'FG1'!I60+FFM!J60+IEPS!I59+FOFIR!I59+FCISAN!I59+ISR!C50+ISAN!I59+LOT!I59+'ENAJENAC DE INMUE'!I59+'IMP BEBIDAS AL'!I59+'FOND GASO Y D'!H60+'FOND GASO Y D'!Q60</f>
        <v>75753058.769253895</v>
      </c>
      <c r="D52" s="738">
        <f t="shared" si="1"/>
        <v>0.80419776949651323</v>
      </c>
      <c r="F52" s="359"/>
      <c r="G52" s="359"/>
      <c r="H52" s="359"/>
      <c r="I52" s="359"/>
      <c r="J52" s="358"/>
    </row>
    <row r="53" spans="1:10" x14ac:dyDescent="0.2">
      <c r="A53" s="243">
        <v>46</v>
      </c>
      <c r="B53" s="241" t="s">
        <v>119</v>
      </c>
      <c r="C53" s="242">
        <f>'FG1'!I61+FFM!J61+IEPS!I60+FOFIR!I60+FCISAN!I60+ISR!C51+ISAN!I60+LOT!I60+'ENAJENAC DE INMUE'!I60+'IMP BEBIDAS AL'!I60+'FOND GASO Y D'!H61+'FOND GASO Y D'!Q61</f>
        <v>39712955.333175205</v>
      </c>
      <c r="D53" s="738">
        <f t="shared" si="1"/>
        <v>0.42159446255939897</v>
      </c>
      <c r="F53" s="359"/>
      <c r="G53" s="359"/>
      <c r="H53" s="359"/>
      <c r="I53" s="359"/>
      <c r="J53" s="358"/>
    </row>
    <row r="54" spans="1:10" x14ac:dyDescent="0.2">
      <c r="A54" s="243">
        <v>47</v>
      </c>
      <c r="B54" s="241" t="s">
        <v>121</v>
      </c>
      <c r="C54" s="242">
        <f>'FG1'!I62+FFM!J62+IEPS!I61+FOFIR!I61+FCISAN!I61+ISR!C52+ISAN!I61+LOT!I61+'ENAJENAC DE INMUE'!I61+'IMP BEBIDAS AL'!I61+'FOND GASO Y D'!H62+'FOND GASO Y D'!Q62</f>
        <v>49202770.683499709</v>
      </c>
      <c r="D54" s="738">
        <f t="shared" si="1"/>
        <v>0.52233875541905883</v>
      </c>
      <c r="F54" s="359"/>
      <c r="G54" s="359"/>
      <c r="H54" s="359"/>
      <c r="I54" s="359"/>
      <c r="J54" s="358"/>
    </row>
    <row r="55" spans="1:10" x14ac:dyDescent="0.2">
      <c r="A55" s="243">
        <v>48</v>
      </c>
      <c r="B55" s="241" t="s">
        <v>47</v>
      </c>
      <c r="C55" s="242">
        <f>'FG1'!I63+FFM!J63+IEPS!I62+FOFIR!I62+FCISAN!I62+ISR!C53+ISAN!I62+LOT!I62+'ENAJENAC DE INMUE'!I62+'IMP BEBIDAS AL'!I62+'FOND GASO Y D'!H63+'FOND GASO Y D'!Q63</f>
        <v>24173116.651785459</v>
      </c>
      <c r="D55" s="738">
        <f t="shared" si="1"/>
        <v>0.25662285865392731</v>
      </c>
      <c r="F55" s="359"/>
      <c r="G55" s="359"/>
      <c r="H55" s="359"/>
      <c r="I55" s="359"/>
      <c r="J55" s="358"/>
    </row>
    <row r="56" spans="1:10" x14ac:dyDescent="0.2">
      <c r="A56" s="243">
        <v>49</v>
      </c>
      <c r="B56" s="241" t="s">
        <v>115</v>
      </c>
      <c r="C56" s="242">
        <f>'FG1'!I64+FFM!J64+IEPS!I63+FOFIR!I63+FCISAN!I63+ISR!C54+ISAN!I63+LOT!I63+'ENAJENAC DE INMUE'!I63+'IMP BEBIDAS AL'!I63+'FOND GASO Y D'!H64+'FOND GASO Y D'!Q64</f>
        <v>77258910.109683678</v>
      </c>
      <c r="D56" s="738">
        <f t="shared" si="1"/>
        <v>0.82018395287764534</v>
      </c>
      <c r="F56" s="359"/>
      <c r="G56" s="359"/>
      <c r="H56" s="359"/>
      <c r="I56" s="359"/>
      <c r="J56" s="358"/>
    </row>
    <row r="57" spans="1:10" x14ac:dyDescent="0.2">
      <c r="A57" s="243">
        <v>50</v>
      </c>
      <c r="B57" s="241" t="s">
        <v>69</v>
      </c>
      <c r="C57" s="242">
        <f>'FG1'!I65+FFM!J65+IEPS!I64+FOFIR!I64+FCISAN!I64+ISR!C55+ISAN!I64+LOT!I64+'ENAJENAC DE INMUE'!I64+'IMP BEBIDAS AL'!I64+'FOND GASO Y D'!H65+'FOND GASO Y D'!Q65</f>
        <v>147819382.34308344</v>
      </c>
      <c r="D57" s="738">
        <f t="shared" si="1"/>
        <v>1.5692569976713406</v>
      </c>
      <c r="F57" s="359"/>
      <c r="G57" s="359"/>
      <c r="H57" s="359"/>
      <c r="I57" s="359"/>
      <c r="J57" s="358"/>
    </row>
    <row r="58" spans="1:10" x14ac:dyDescent="0.2">
      <c r="A58" s="243">
        <v>51</v>
      </c>
      <c r="B58" s="241" t="s">
        <v>126</v>
      </c>
      <c r="C58" s="242">
        <f>'FG1'!I66+FFM!J66+IEPS!I65+FOFIR!I65+FCISAN!I65+ISR!C56+ISAN!I65+LOT!I65+'ENAJENAC DE INMUE'!I65+'IMP BEBIDAS AL'!I65+'FOND GASO Y D'!H66+'FOND GASO Y D'!Q66</f>
        <v>37421653.928828225</v>
      </c>
      <c r="D58" s="738">
        <f t="shared" si="1"/>
        <v>0.39726990710833965</v>
      </c>
      <c r="F58" s="359"/>
      <c r="G58" s="359"/>
      <c r="H58" s="359"/>
      <c r="I58" s="359"/>
      <c r="J58" s="358"/>
    </row>
    <row r="59" spans="1:10" x14ac:dyDescent="0.2">
      <c r="A59" s="243">
        <v>52</v>
      </c>
      <c r="B59" s="241" t="s">
        <v>58</v>
      </c>
      <c r="C59" s="242">
        <f>'FG1'!I67+FFM!J67+IEPS!I66+FOFIR!I66+FCISAN!I66+ISR!C57+ISAN!I66+LOT!I66+'ENAJENAC DE INMUE'!I66+'IMP BEBIDAS AL'!I66+'FOND GASO Y D'!H67+'FOND GASO Y D'!Q67</f>
        <v>366677991.67992628</v>
      </c>
      <c r="D59" s="738">
        <f t="shared" si="1"/>
        <v>3.8926695215130005</v>
      </c>
      <c r="F59" s="359"/>
      <c r="G59" s="359"/>
      <c r="H59" s="359"/>
      <c r="I59" s="359"/>
      <c r="J59" s="358"/>
    </row>
    <row r="60" spans="1:10" x14ac:dyDescent="0.2">
      <c r="A60" s="243">
        <v>53</v>
      </c>
      <c r="B60" s="241" t="s">
        <v>103</v>
      </c>
      <c r="C60" s="242">
        <f>'FG1'!I68+FFM!J68+IEPS!I67+FOFIR!I67+FCISAN!I67+ISR!C58+ISAN!I67+LOT!I67+'ENAJENAC DE INMUE'!I67+'IMP BEBIDAS AL'!I67+'FOND GASO Y D'!H68+'FOND GASO Y D'!Q68</f>
        <v>1128923480.5394826</v>
      </c>
      <c r="D60" s="738">
        <f t="shared" si="1"/>
        <v>11.984700812511285</v>
      </c>
      <c r="F60" s="359"/>
      <c r="G60" s="359"/>
      <c r="H60" s="359"/>
      <c r="I60" s="359"/>
      <c r="J60" s="358"/>
    </row>
    <row r="61" spans="1:10" x14ac:dyDescent="0.2">
      <c r="A61" s="243">
        <v>54</v>
      </c>
      <c r="B61" s="241" t="s">
        <v>94</v>
      </c>
      <c r="C61" s="242">
        <f>'FG1'!I69+FFM!J69+IEPS!I68+FOFIR!I68+FCISAN!I68+ISR!C59+ISAN!I68+LOT!I68+'ENAJENAC DE INMUE'!I68+'IMP BEBIDAS AL'!I68+'FOND GASO Y D'!H69+'FOND GASO Y D'!Q69</f>
        <v>26934147.606106814</v>
      </c>
      <c r="D61" s="738">
        <f t="shared" si="1"/>
        <v>0.28593408345528498</v>
      </c>
      <c r="F61" s="359"/>
      <c r="G61" s="359"/>
      <c r="H61" s="359"/>
      <c r="I61" s="359"/>
      <c r="J61" s="358"/>
    </row>
    <row r="62" spans="1:10" x14ac:dyDescent="0.2">
      <c r="A62" s="243">
        <v>55</v>
      </c>
      <c r="B62" s="241" t="s">
        <v>347</v>
      </c>
      <c r="C62" s="242">
        <f>'FG1'!I70+FFM!J70+IEPS!I69+FOFIR!I69+FCISAN!I69+ISR!C60+ISAN!I69+LOT!I69+'ENAJENAC DE INMUE'!I69+'IMP BEBIDAS AL'!I69+'FOND GASO Y D'!H70+'FOND GASO Y D'!Q70</f>
        <v>81182841.689841896</v>
      </c>
      <c r="D62" s="738">
        <f t="shared" si="1"/>
        <v>0.86184058134504848</v>
      </c>
      <c r="F62" s="359"/>
      <c r="G62" s="359"/>
      <c r="H62" s="359"/>
      <c r="I62" s="359"/>
      <c r="J62" s="358"/>
    </row>
    <row r="63" spans="1:10" x14ac:dyDescent="0.2">
      <c r="A63" s="243">
        <v>56</v>
      </c>
      <c r="B63" s="241" t="s">
        <v>348</v>
      </c>
      <c r="C63" s="242">
        <f>'FG1'!I71+FFM!J71+IEPS!I70+FOFIR!I70+FCISAN!I70+ISR!C61+ISAN!I70+LOT!I70+'ENAJENAC DE INMUE'!I70+'IMP BEBIDAS AL'!I70+'FOND GASO Y D'!H71+'FOND GASO Y D'!Q71</f>
        <v>61686048.083816811</v>
      </c>
      <c r="D63" s="738">
        <f t="shared" si="1"/>
        <v>0.6548617717096672</v>
      </c>
      <c r="F63" s="359"/>
      <c r="G63" s="359"/>
      <c r="H63" s="359"/>
      <c r="I63" s="359"/>
      <c r="J63" s="358"/>
    </row>
    <row r="64" spans="1:10" x14ac:dyDescent="0.2">
      <c r="A64" s="243">
        <v>57</v>
      </c>
      <c r="B64" s="241" t="s">
        <v>65</v>
      </c>
      <c r="C64" s="242">
        <f>'FG1'!I72+FFM!J72+IEPS!I71+FOFIR!I71+FCISAN!I71+ISR!C62+ISAN!I71+LOT!I71+'ENAJENAC DE INMUE'!I71+'IMP BEBIDAS AL'!I71+'FOND GASO Y D'!H72+'FOND GASO Y D'!Q72</f>
        <v>42304377.298792064</v>
      </c>
      <c r="D64" s="738">
        <f t="shared" si="1"/>
        <v>0.44910511095343048</v>
      </c>
      <c r="F64" s="359"/>
      <c r="G64" s="359"/>
      <c r="H64" s="359"/>
      <c r="I64" s="359"/>
      <c r="J64" s="358"/>
    </row>
    <row r="65" spans="1:10" x14ac:dyDescent="0.2">
      <c r="A65" s="243">
        <v>58</v>
      </c>
      <c r="B65" s="241" t="s">
        <v>134</v>
      </c>
      <c r="C65" s="242">
        <f>'FG1'!I73+FFM!J73+IEPS!I72+FOFIR!I72+FCISAN!I72+ISR!C63+ISAN!I72+LOT!I72+'ENAJENAC DE INMUE'!I72+'IMP BEBIDAS AL'!I72+'FOND GASO Y D'!H73+'FOND GASO Y D'!Q73</f>
        <v>49283430.624422483</v>
      </c>
      <c r="D65" s="738">
        <f t="shared" si="1"/>
        <v>0.52319504486309831</v>
      </c>
      <c r="F65" s="359"/>
      <c r="G65" s="359"/>
      <c r="H65" s="359"/>
      <c r="I65" s="359"/>
      <c r="J65" s="358"/>
    </row>
    <row r="66" spans="1:10" x14ac:dyDescent="0.2">
      <c r="A66" s="243">
        <v>59</v>
      </c>
      <c r="B66" s="241" t="s">
        <v>136</v>
      </c>
      <c r="C66" s="242">
        <f>'FG1'!I74+FFM!J74+IEPS!I73+FOFIR!I73+FCISAN!I73+ISR!C64+ISAN!I73+LOT!I73+'ENAJENAC DE INMUE'!I73+'IMP BEBIDAS AL'!I73+'FOND GASO Y D'!H74+'FOND GASO Y D'!Q74</f>
        <v>29911718.939045902</v>
      </c>
      <c r="D66" s="738">
        <f t="shared" si="1"/>
        <v>0.31754411034225555</v>
      </c>
      <c r="F66" s="359"/>
      <c r="G66" s="359"/>
      <c r="H66" s="359"/>
      <c r="I66" s="359"/>
      <c r="J66" s="358"/>
    </row>
    <row r="67" spans="1:10" x14ac:dyDescent="0.2">
      <c r="A67" s="243">
        <v>60</v>
      </c>
      <c r="B67" s="241" t="s">
        <v>137</v>
      </c>
      <c r="C67" s="242">
        <f>'FG1'!I75+FFM!J75+IEPS!I74+FOFIR!I74+FCISAN!I74+ISR!C65+ISAN!I74+LOT!I74+'ENAJENAC DE INMUE'!I74+'IMP BEBIDAS AL'!I74+'FOND GASO Y D'!H75+'FOND GASO Y D'!Q75</f>
        <v>32190127.37040402</v>
      </c>
      <c r="D67" s="738">
        <f t="shared" si="1"/>
        <v>0.34173179343082177</v>
      </c>
      <c r="F67" s="359"/>
      <c r="G67" s="359"/>
      <c r="H67" s="359"/>
      <c r="I67" s="359"/>
      <c r="J67" s="358"/>
    </row>
    <row r="68" spans="1:10" x14ac:dyDescent="0.2">
      <c r="A68" s="243">
        <v>61</v>
      </c>
      <c r="B68" s="241" t="s">
        <v>135</v>
      </c>
      <c r="C68" s="242">
        <f>'FG1'!I76+FFM!J76+IEPS!I75+FOFIR!I75+FCISAN!I75+ISR!C66+ISAN!I75+LOT!I75+'ENAJENAC DE INMUE'!I75+'IMP BEBIDAS AL'!I75+'FOND GASO Y D'!H76+'FOND GASO Y D'!Q76</f>
        <v>54122376.704139441</v>
      </c>
      <c r="D68" s="738">
        <f t="shared" si="1"/>
        <v>0.57456550708926146</v>
      </c>
      <c r="F68" s="359"/>
      <c r="G68" s="359"/>
      <c r="H68" s="359"/>
      <c r="I68" s="359"/>
      <c r="J68" s="358"/>
    </row>
    <row r="69" spans="1:10" x14ac:dyDescent="0.2">
      <c r="A69" s="243">
        <v>62</v>
      </c>
      <c r="B69" s="241" t="s">
        <v>113</v>
      </c>
      <c r="C69" s="242">
        <f>'FG1'!I77+FFM!J77+IEPS!I76+FOFIR!I76+FCISAN!I76+ISR!C67+ISAN!I76+LOT!I76+'ENAJENAC DE INMUE'!I76+'IMP BEBIDAS AL'!I76+'FOND GASO Y D'!H77+'FOND GASO Y D'!Q77</f>
        <v>47564653.963776425</v>
      </c>
      <c r="D69" s="738">
        <f t="shared" si="1"/>
        <v>0.50494843701371017</v>
      </c>
      <c r="F69" s="359"/>
      <c r="G69" s="359"/>
      <c r="H69" s="359"/>
      <c r="I69" s="359"/>
      <c r="J69" s="358"/>
    </row>
    <row r="70" spans="1:10" x14ac:dyDescent="0.2">
      <c r="A70" s="243">
        <v>63</v>
      </c>
      <c r="B70" s="241" t="s">
        <v>123</v>
      </c>
      <c r="C70" s="242">
        <f>'FG1'!I78+FFM!J78+IEPS!I77+FOFIR!I77+FCISAN!I77+ISR!C68+ISAN!I77+LOT!I77+'ENAJENAC DE INMUE'!I77+'IMP BEBIDAS AL'!I77+'FOND GASO Y D'!H78+'FOND GASO Y D'!Q78</f>
        <v>39661543.13810166</v>
      </c>
      <c r="D70" s="738">
        <f t="shared" si="1"/>
        <v>0.42104866845847688</v>
      </c>
      <c r="F70" s="359"/>
      <c r="G70" s="359"/>
      <c r="H70" s="359"/>
      <c r="I70" s="359"/>
      <c r="J70" s="358"/>
    </row>
    <row r="71" spans="1:10" x14ac:dyDescent="0.2">
      <c r="A71" s="243">
        <v>64</v>
      </c>
      <c r="B71" s="241" t="s">
        <v>74</v>
      </c>
      <c r="C71" s="242">
        <f>'FG1'!I79+FFM!J79+IEPS!I78+FOFIR!I78+FCISAN!I78+ISR!C69+ISAN!I78+LOT!I78+'ENAJENAC DE INMUE'!I78+'IMP BEBIDAS AL'!I78+'FOND GASO Y D'!H79+'FOND GASO Y D'!Q79</f>
        <v>60683748.731242999</v>
      </c>
      <c r="D71" s="738">
        <f t="shared" si="1"/>
        <v>0.64422131815170725</v>
      </c>
      <c r="F71" s="359"/>
      <c r="G71" s="359"/>
      <c r="H71" s="359"/>
      <c r="I71" s="359"/>
      <c r="J71" s="358"/>
    </row>
    <row r="72" spans="1:10" x14ac:dyDescent="0.2">
      <c r="A72" s="243">
        <v>65</v>
      </c>
      <c r="B72" s="241" t="s">
        <v>89</v>
      </c>
      <c r="C72" s="242">
        <f>'FG1'!I80+FFM!J80+IEPS!I79+FOFIR!I79+FCISAN!I79+ISR!C70+ISAN!I79+LOT!I79+'ENAJENAC DE INMUE'!I79+'IMP BEBIDAS AL'!I79+'FOND GASO Y D'!H80+'FOND GASO Y D'!Q80</f>
        <v>69182642.975676417</v>
      </c>
      <c r="D72" s="738">
        <f t="shared" ref="D72:D103" si="2">C72/$C$7%</f>
        <v>0.73444594941549668</v>
      </c>
      <c r="F72" s="359"/>
      <c r="G72" s="359"/>
      <c r="H72" s="359"/>
      <c r="I72" s="359"/>
      <c r="J72" s="358"/>
    </row>
    <row r="73" spans="1:10" x14ac:dyDescent="0.2">
      <c r="A73" s="243">
        <v>66</v>
      </c>
      <c r="B73" s="241" t="s">
        <v>118</v>
      </c>
      <c r="C73" s="242">
        <f>'FG1'!I81+FFM!J81+IEPS!I80+FOFIR!I80+FCISAN!I80+ISR!C71+ISAN!I80+LOT!I80+'ENAJENAC DE INMUE'!I80+'IMP BEBIDAS AL'!I80+'FOND GASO Y D'!H81+'FOND GASO Y D'!Q81</f>
        <v>157480760.77612349</v>
      </c>
      <c r="D73" s="738">
        <f t="shared" si="2"/>
        <v>1.6718226116854116</v>
      </c>
      <c r="F73" s="359"/>
      <c r="G73" s="359"/>
      <c r="H73" s="359"/>
      <c r="I73" s="359"/>
      <c r="J73" s="358"/>
    </row>
    <row r="74" spans="1:10" x14ac:dyDescent="0.2">
      <c r="A74" s="243">
        <v>67</v>
      </c>
      <c r="B74" s="241" t="s">
        <v>120</v>
      </c>
      <c r="C74" s="242">
        <f>'FG1'!I82+FFM!J82+IEPS!I81+FOFIR!I81+FCISAN!I81+ISR!C72+ISAN!I81+LOT!I81+'ENAJENAC DE INMUE'!I81+'IMP BEBIDAS AL'!I81+'FOND GASO Y D'!H82+'FOND GASO Y D'!Q82</f>
        <v>43607385.774729073</v>
      </c>
      <c r="D74" s="738">
        <f t="shared" si="2"/>
        <v>0.46293790565516596</v>
      </c>
      <c r="F74" s="359"/>
      <c r="G74" s="359"/>
      <c r="H74" s="359"/>
      <c r="I74" s="359"/>
      <c r="J74" s="358"/>
    </row>
    <row r="75" spans="1:10" x14ac:dyDescent="0.2">
      <c r="A75" s="243">
        <v>68</v>
      </c>
      <c r="B75" s="241" t="s">
        <v>144</v>
      </c>
      <c r="C75" s="242">
        <f>'FG1'!I83+FFM!J83+IEPS!I82+FOFIR!I82+FCISAN!I82+ISR!C73+ISAN!I82+LOT!I82+'ENAJENAC DE INMUE'!I82+'IMP BEBIDAS AL'!I82+'FOND GASO Y D'!H83+'FOND GASO Y D'!Q83</f>
        <v>66288957.474156789</v>
      </c>
      <c r="D75" s="738">
        <f t="shared" si="2"/>
        <v>0.70372645816650459</v>
      </c>
      <c r="F75" s="359"/>
      <c r="G75" s="359"/>
      <c r="H75" s="359"/>
      <c r="I75" s="359"/>
      <c r="J75" s="358"/>
    </row>
    <row r="76" spans="1:10" x14ac:dyDescent="0.2">
      <c r="A76" s="243">
        <v>69</v>
      </c>
      <c r="B76" s="241" t="s">
        <v>84</v>
      </c>
      <c r="C76" s="242">
        <f>'FG1'!I84+FFM!J84+IEPS!I83+FOFIR!I83+FCISAN!I83+ISR!C74+ISAN!I83+LOT!I83+'ENAJENAC DE INMUE'!I83+'IMP BEBIDAS AL'!I83+'FOND GASO Y D'!H84+'FOND GASO Y D'!Q84</f>
        <v>186786064.90881673</v>
      </c>
      <c r="D76" s="738">
        <f t="shared" si="2"/>
        <v>1.9829289960456185</v>
      </c>
      <c r="F76" s="359"/>
      <c r="G76" s="359"/>
      <c r="H76" s="359"/>
      <c r="I76" s="359"/>
      <c r="J76" s="358"/>
    </row>
    <row r="77" spans="1:10" x14ac:dyDescent="0.2">
      <c r="A77" s="243">
        <v>70</v>
      </c>
      <c r="B77" s="241" t="s">
        <v>53</v>
      </c>
      <c r="C77" s="242">
        <f>'FG1'!I85+FFM!J85+IEPS!I84+FOFIR!I84+FCISAN!I84+ISR!C75+ISAN!I84+LOT!I84+'ENAJENAC DE INMUE'!I84+'IMP BEBIDAS AL'!I84+'FOND GASO Y D'!H85+'FOND GASO Y D'!Q85</f>
        <v>42981685.572281078</v>
      </c>
      <c r="D77" s="738">
        <f t="shared" si="2"/>
        <v>0.45629544506865793</v>
      </c>
      <c r="F77" s="359"/>
      <c r="G77" s="359"/>
      <c r="H77" s="359"/>
      <c r="I77" s="359"/>
      <c r="J77" s="358"/>
    </row>
    <row r="78" spans="1:10" x14ac:dyDescent="0.2">
      <c r="A78" s="243">
        <v>71</v>
      </c>
      <c r="B78" s="241" t="s">
        <v>143</v>
      </c>
      <c r="C78" s="242">
        <f>'FG1'!I86+FFM!J86+IEPS!I85+FOFIR!I85+FCISAN!I85+ISR!C76+ISAN!I85+LOT!I85+'ENAJENAC DE INMUE'!I85+'IMP BEBIDAS AL'!I85+'FOND GASO Y D'!H86+'FOND GASO Y D'!Q86</f>
        <v>115455775.66808371</v>
      </c>
      <c r="D78" s="738">
        <f t="shared" si="2"/>
        <v>1.225683540391213</v>
      </c>
      <c r="F78" s="359"/>
      <c r="G78" s="359"/>
      <c r="H78" s="359"/>
      <c r="I78" s="359"/>
      <c r="J78" s="358"/>
    </row>
    <row r="79" spans="1:10" x14ac:dyDescent="0.2">
      <c r="A79" s="243">
        <v>72</v>
      </c>
      <c r="B79" s="241" t="s">
        <v>132</v>
      </c>
      <c r="C79" s="242">
        <f>'FG1'!I87+FFM!J87+IEPS!I86+FOFIR!I86+FCISAN!I86+ISR!C77+ISAN!I86+LOT!I86+'ENAJENAC DE INMUE'!I86+'IMP BEBIDAS AL'!I86+'FOND GASO Y D'!H87+'FOND GASO Y D'!Q87</f>
        <v>37097925.946326591</v>
      </c>
      <c r="D79" s="738">
        <f t="shared" si="2"/>
        <v>0.39383319675391787</v>
      </c>
      <c r="F79" s="359"/>
      <c r="G79" s="359"/>
      <c r="H79" s="359"/>
      <c r="I79" s="359"/>
      <c r="J79" s="358"/>
    </row>
    <row r="80" spans="1:10" x14ac:dyDescent="0.2">
      <c r="A80" s="243">
        <v>73</v>
      </c>
      <c r="B80" s="241" t="s">
        <v>85</v>
      </c>
      <c r="C80" s="242">
        <f>'FG1'!I88+FFM!J88+IEPS!I87+FOFIR!I87+FCISAN!I87+ISR!C78+ISAN!I87+LOT!I87+'ENAJENAC DE INMUE'!I87+'IMP BEBIDAS AL'!I87+'FOND GASO Y D'!H88+'FOND GASO Y D'!Q88</f>
        <v>57010413.027573675</v>
      </c>
      <c r="D80" s="738">
        <f t="shared" si="2"/>
        <v>0.60522502641778508</v>
      </c>
      <c r="F80" s="359"/>
      <c r="G80" s="359"/>
      <c r="H80" s="359"/>
      <c r="I80" s="359"/>
      <c r="J80" s="358"/>
    </row>
    <row r="81" spans="1:10" x14ac:dyDescent="0.2">
      <c r="A81" s="243">
        <v>74</v>
      </c>
      <c r="B81" s="241" t="s">
        <v>133</v>
      </c>
      <c r="C81" s="242">
        <f>'FG1'!I89+FFM!J89+IEPS!I88+FOFIR!I88+FCISAN!I88+ISR!C79+ISAN!I88+LOT!I88+'ENAJENAC DE INMUE'!I88+'IMP BEBIDAS AL'!I88+'FOND GASO Y D'!H89+'FOND GASO Y D'!Q89</f>
        <v>30627833.120254628</v>
      </c>
      <c r="D81" s="738">
        <f t="shared" si="2"/>
        <v>0.32514640966309327</v>
      </c>
      <c r="F81" s="359"/>
      <c r="G81" s="359"/>
      <c r="H81" s="359"/>
      <c r="I81" s="359"/>
      <c r="J81" s="358"/>
    </row>
    <row r="82" spans="1:10" x14ac:dyDescent="0.2">
      <c r="A82" s="243">
        <v>75</v>
      </c>
      <c r="B82" s="241" t="s">
        <v>146</v>
      </c>
      <c r="C82" s="242">
        <f>'FG1'!I90+FFM!J90+IEPS!I89+FOFIR!I89+FCISAN!I89+ISR!C80+ISAN!I89+LOT!I89+'ENAJENAC DE INMUE'!I89+'IMP BEBIDAS AL'!I89+'FOND GASO Y D'!H90+'FOND GASO Y D'!Q90</f>
        <v>122829159.12210998</v>
      </c>
      <c r="D82" s="738">
        <f t="shared" si="2"/>
        <v>1.3039597001094936</v>
      </c>
      <c r="F82" s="359"/>
      <c r="G82" s="359"/>
      <c r="H82" s="359"/>
      <c r="I82" s="359"/>
      <c r="J82" s="358"/>
    </row>
    <row r="83" spans="1:10" x14ac:dyDescent="0.2">
      <c r="A83" s="243">
        <v>76</v>
      </c>
      <c r="B83" s="241" t="s">
        <v>148</v>
      </c>
      <c r="C83" s="242">
        <f>'FG1'!I91+FFM!J91+IEPS!I90+FOFIR!I90+FCISAN!I90+ISR!C81+ISAN!I90+LOT!I90+'ENAJENAC DE INMUE'!I90+'IMP BEBIDAS AL'!I90+'FOND GASO Y D'!H91+'FOND GASO Y D'!Q91</f>
        <v>156816840.35544276</v>
      </c>
      <c r="D83" s="738">
        <f t="shared" si="2"/>
        <v>1.6647744035983827</v>
      </c>
      <c r="F83" s="359"/>
      <c r="G83" s="359"/>
      <c r="H83" s="359"/>
      <c r="I83" s="359"/>
      <c r="J83" s="358"/>
    </row>
    <row r="84" spans="1:10" x14ac:dyDescent="0.2">
      <c r="A84" s="243">
        <v>77</v>
      </c>
      <c r="B84" s="241" t="s">
        <v>45</v>
      </c>
      <c r="C84" s="242">
        <f>'FG1'!I92+FFM!J92+IEPS!I91+FOFIR!I91+FCISAN!I91+ISR!C82+ISAN!I91+LOT!I91+'ENAJENAC DE INMUE'!I91+'IMP BEBIDAS AL'!I91+'FOND GASO Y D'!H92+'FOND GASO Y D'!Q92</f>
        <v>47075046.87646924</v>
      </c>
      <c r="D84" s="738">
        <f t="shared" si="2"/>
        <v>0.49975074686179877</v>
      </c>
      <c r="F84" s="359"/>
      <c r="G84" s="359"/>
      <c r="H84" s="359"/>
      <c r="I84" s="359"/>
      <c r="J84" s="358"/>
    </row>
    <row r="85" spans="1:10" x14ac:dyDescent="0.2">
      <c r="A85" s="243">
        <v>78</v>
      </c>
      <c r="B85" s="241" t="s">
        <v>349</v>
      </c>
      <c r="C85" s="242">
        <f>'FG1'!I93+FFM!J93+IEPS!I92+FOFIR!I92+FCISAN!I92+ISR!C83+ISAN!I92+LOT!I92+'ENAJENAC DE INMUE'!I92+'IMP BEBIDAS AL'!I92+'FOND GASO Y D'!H93+'FOND GASO Y D'!Q93</f>
        <v>37196955.944227181</v>
      </c>
      <c r="D85" s="738">
        <f t="shared" si="2"/>
        <v>0.39488450352249976</v>
      </c>
      <c r="F85" s="359"/>
      <c r="G85" s="359"/>
      <c r="H85" s="359"/>
      <c r="I85" s="359"/>
      <c r="J85" s="358"/>
    </row>
    <row r="86" spans="1:10" x14ac:dyDescent="0.2">
      <c r="A86" s="243">
        <v>79</v>
      </c>
      <c r="B86" s="241" t="s">
        <v>138</v>
      </c>
      <c r="C86" s="242">
        <f>'FG1'!I94+FFM!J94+IEPS!I93+FOFIR!I93+FCISAN!I93+ISR!C84+ISAN!I93+LOT!I93+'ENAJENAC DE INMUE'!I93+'IMP BEBIDAS AL'!I93+'FOND GASO Y D'!H94+'FOND GASO Y D'!Q94</f>
        <v>89375228.866934627</v>
      </c>
      <c r="D86" s="738">
        <f t="shared" si="2"/>
        <v>0.94881132023940751</v>
      </c>
      <c r="F86" s="359"/>
      <c r="G86" s="359"/>
      <c r="H86" s="359"/>
      <c r="I86" s="359"/>
      <c r="J86" s="358"/>
    </row>
    <row r="87" spans="1:10" x14ac:dyDescent="0.2">
      <c r="A87" s="243">
        <v>80</v>
      </c>
      <c r="B87" s="241" t="s">
        <v>93</v>
      </c>
      <c r="C87" s="242">
        <f>'FG1'!I95+FFM!J95+IEPS!I94+FOFIR!I94+FCISAN!I94+ISR!C85+ISAN!I94+LOT!I94+'ENAJENAC DE INMUE'!I94+'IMP BEBIDAS AL'!I94+'FOND GASO Y D'!H95+'FOND GASO Y D'!Q95</f>
        <v>46008144.338237941</v>
      </c>
      <c r="D87" s="738">
        <f t="shared" si="2"/>
        <v>0.4884244630726613</v>
      </c>
      <c r="F87" s="359"/>
      <c r="G87" s="359"/>
      <c r="H87" s="359"/>
      <c r="I87" s="359"/>
      <c r="J87" s="358"/>
    </row>
    <row r="88" spans="1:10" x14ac:dyDescent="0.2">
      <c r="A88" s="243">
        <v>81</v>
      </c>
      <c r="B88" s="241" t="s">
        <v>116</v>
      </c>
      <c r="C88" s="242">
        <f>'FG1'!I96+FFM!J96+IEPS!I95+FOFIR!I95+FCISAN!I95+ISR!C86+ISAN!I95+LOT!I95+'ENAJENAC DE INMUE'!I95+'IMP BEBIDAS AL'!I95+'FOND GASO Y D'!H96+'FOND GASO Y D'!Q96</f>
        <v>32589308.853377871</v>
      </c>
      <c r="D88" s="738">
        <f t="shared" si="2"/>
        <v>0.34596952143081872</v>
      </c>
      <c r="F88" s="359"/>
      <c r="G88" s="359"/>
      <c r="H88" s="359"/>
      <c r="I88" s="359"/>
      <c r="J88" s="358"/>
    </row>
    <row r="89" spans="1:10" x14ac:dyDescent="0.2">
      <c r="A89" s="243">
        <v>82</v>
      </c>
      <c r="B89" s="241" t="s">
        <v>152</v>
      </c>
      <c r="C89" s="242">
        <f>'FG1'!I97+FFM!J97+IEPS!I96+FOFIR!I96+FCISAN!I96+ISR!C87+ISAN!I96+LOT!I96+'ENAJENAC DE INMUE'!I96+'IMP BEBIDAS AL'!I96+'FOND GASO Y D'!H97+'FOND GASO Y D'!Q97</f>
        <v>137126026.86152989</v>
      </c>
      <c r="D89" s="738">
        <f t="shared" si="2"/>
        <v>1.4557358703873158</v>
      </c>
      <c r="F89" s="359"/>
      <c r="G89" s="359"/>
      <c r="H89" s="359"/>
      <c r="I89" s="359"/>
      <c r="J89" s="358"/>
    </row>
    <row r="90" spans="1:10" x14ac:dyDescent="0.2">
      <c r="A90" s="243">
        <v>83</v>
      </c>
      <c r="B90" s="241" t="s">
        <v>153</v>
      </c>
      <c r="C90" s="242">
        <f>'FG1'!I98+FFM!J98+IEPS!I97+FOFIR!I97+FCISAN!I97+ISR!C88+ISAN!I97+LOT!I97+'ENAJENAC DE INMUE'!I97+'IMP BEBIDAS AL'!I97+'FOND GASO Y D'!H98+'FOND GASO Y D'!Q98</f>
        <v>74650565.722416535</v>
      </c>
      <c r="D90" s="738">
        <f t="shared" si="2"/>
        <v>0.7924936553187254</v>
      </c>
      <c r="F90" s="359"/>
      <c r="G90" s="359"/>
      <c r="H90" s="359"/>
      <c r="I90" s="359"/>
      <c r="J90" s="358"/>
    </row>
    <row r="91" spans="1:10" x14ac:dyDescent="0.2">
      <c r="A91" s="243">
        <v>84</v>
      </c>
      <c r="B91" s="241" t="s">
        <v>107</v>
      </c>
      <c r="C91" s="242">
        <f>'FG1'!I99+FFM!J99+IEPS!I98+FOFIR!I98+FCISAN!I98+ISR!C89+ISAN!I98+LOT!I98+'ENAJENAC DE INMUE'!I98+'IMP BEBIDAS AL'!I98+'FOND GASO Y D'!H99+'FOND GASO Y D'!Q99</f>
        <v>59208346.961568862</v>
      </c>
      <c r="D91" s="738">
        <f t="shared" si="2"/>
        <v>0.62855838873921566</v>
      </c>
      <c r="F91" s="359"/>
      <c r="G91" s="359"/>
      <c r="H91" s="359"/>
      <c r="I91" s="359"/>
      <c r="J91" s="358"/>
    </row>
    <row r="92" spans="1:10" x14ac:dyDescent="0.2">
      <c r="A92" s="243">
        <v>85</v>
      </c>
      <c r="B92" s="241" t="s">
        <v>124</v>
      </c>
      <c r="C92" s="242">
        <f>'FG1'!I100+FFM!J100+IEPS!I99+FOFIR!I99+FCISAN!I99+ISR!C90+ISAN!I99+LOT!I99+'ENAJENAC DE INMUE'!I99+'IMP BEBIDAS AL'!I99+'FOND GASO Y D'!H100+'FOND GASO Y D'!Q100</f>
        <v>68227799.534283444</v>
      </c>
      <c r="D92" s="738">
        <f t="shared" si="2"/>
        <v>0.72430928987643317</v>
      </c>
      <c r="F92" s="359"/>
      <c r="G92" s="359"/>
      <c r="H92" s="359"/>
      <c r="I92" s="359"/>
      <c r="J92" s="358"/>
    </row>
    <row r="93" spans="1:10" x14ac:dyDescent="0.2">
      <c r="A93" s="243">
        <v>86</v>
      </c>
      <c r="B93" s="241" t="s">
        <v>129</v>
      </c>
      <c r="C93" s="242">
        <f>'FG1'!I101+FFM!J101+IEPS!I100+FOFIR!I100+FCISAN!I100+ISR!C91+ISAN!I100+LOT!I100+'ENAJENAC DE INMUE'!I100+'IMP BEBIDAS AL'!I100+'FOND GASO Y D'!H101+'FOND GASO Y D'!Q101</f>
        <v>38916920.866812311</v>
      </c>
      <c r="D93" s="738">
        <f t="shared" si="2"/>
        <v>0.41314372601235921</v>
      </c>
      <c r="F93" s="359"/>
      <c r="G93" s="359"/>
      <c r="H93" s="359"/>
      <c r="I93" s="359"/>
      <c r="J93" s="358"/>
    </row>
    <row r="94" spans="1:10" x14ac:dyDescent="0.2">
      <c r="A94" s="243">
        <v>87</v>
      </c>
      <c r="B94" s="241" t="s">
        <v>350</v>
      </c>
      <c r="C94" s="242">
        <f>'FG1'!I102+FFM!J102+IEPS!I101+FOFIR!I101+FCISAN!I101+ISR!C92+ISAN!I101+LOT!I101+'ENAJENAC DE INMUE'!I101+'IMP BEBIDAS AL'!I101+'FOND GASO Y D'!H102+'FOND GASO Y D'!Q102</f>
        <v>38407016.888813324</v>
      </c>
      <c r="D94" s="738">
        <f t="shared" si="2"/>
        <v>0.40773056318532075</v>
      </c>
      <c r="F94" s="359"/>
      <c r="G94" s="359"/>
      <c r="H94" s="359"/>
      <c r="I94" s="359"/>
      <c r="J94" s="358"/>
    </row>
    <row r="95" spans="1:10" x14ac:dyDescent="0.2">
      <c r="A95" s="243">
        <v>88</v>
      </c>
      <c r="B95" s="241" t="s">
        <v>99</v>
      </c>
      <c r="C95" s="242">
        <f>'FG1'!I103+FFM!J103+IEPS!I102+FOFIR!I102+FCISAN!I102+ISR!C93+ISAN!I102+LOT!I102+'ENAJENAC DE INMUE'!I102+'IMP BEBIDAS AL'!I102+'FOND GASO Y D'!H103+'FOND GASO Y D'!Q103</f>
        <v>175225588.14180303</v>
      </c>
      <c r="D95" s="738">
        <f t="shared" si="2"/>
        <v>1.8602024714485412</v>
      </c>
      <c r="F95" s="359"/>
      <c r="G95" s="359"/>
      <c r="H95" s="359"/>
      <c r="I95" s="359"/>
      <c r="J95" s="358"/>
    </row>
    <row r="96" spans="1:10" x14ac:dyDescent="0.2">
      <c r="A96" s="243">
        <v>89</v>
      </c>
      <c r="B96" s="241" t="s">
        <v>55</v>
      </c>
      <c r="C96" s="242">
        <f>'FG1'!I104+FFM!J104+IEPS!I103+FOFIR!I103+FCISAN!I103+ISR!C94+ISAN!I103+LOT!I103+'ENAJENAC DE INMUE'!I103+'IMP BEBIDAS AL'!I103+'FOND GASO Y D'!H104+'FOND GASO Y D'!Q104</f>
        <v>63345168.540293552</v>
      </c>
      <c r="D96" s="738">
        <f t="shared" si="2"/>
        <v>0.67247506669870294</v>
      </c>
      <c r="F96" s="359"/>
      <c r="G96" s="359"/>
      <c r="H96" s="359"/>
      <c r="I96" s="359"/>
      <c r="J96" s="358"/>
    </row>
    <row r="97" spans="1:10" x14ac:dyDescent="0.2">
      <c r="A97" s="243">
        <v>90</v>
      </c>
      <c r="B97" s="241" t="s">
        <v>147</v>
      </c>
      <c r="C97" s="242">
        <f>'FG1'!I105+FFM!J105+IEPS!I104+FOFIR!I104+FCISAN!I104+ISR!C95+ISAN!I104+LOT!I104+'ENAJENAC DE INMUE'!I104+'IMP BEBIDAS AL'!I104+'FOND GASO Y D'!H105+'FOND GASO Y D'!Q105</f>
        <v>38530626.812170155</v>
      </c>
      <c r="D97" s="738">
        <f t="shared" si="2"/>
        <v>0.40904281151253341</v>
      </c>
      <c r="F97" s="359"/>
      <c r="G97" s="359"/>
      <c r="H97" s="359"/>
      <c r="I97" s="359"/>
      <c r="J97" s="358"/>
    </row>
    <row r="98" spans="1:10" x14ac:dyDescent="0.2">
      <c r="A98" s="243">
        <v>91</v>
      </c>
      <c r="B98" s="241" t="s">
        <v>351</v>
      </c>
      <c r="C98" s="242">
        <f>'FG1'!I106+FFM!J106+IEPS!I105+FOFIR!I105+FCISAN!I105+ISR!C96+ISAN!I105+LOT!I105+'ENAJENAC DE INMUE'!I105+'IMP BEBIDAS AL'!I105+'FOND GASO Y D'!H106+'FOND GASO Y D'!Q106</f>
        <v>39201328.629517674</v>
      </c>
      <c r="D98" s="738">
        <f t="shared" si="2"/>
        <v>0.41616301120177757</v>
      </c>
      <c r="F98" s="359"/>
      <c r="G98" s="359"/>
      <c r="H98" s="359"/>
      <c r="I98" s="359"/>
      <c r="J98" s="358"/>
    </row>
    <row r="99" spans="1:10" x14ac:dyDescent="0.2">
      <c r="A99" s="243">
        <v>92</v>
      </c>
      <c r="B99" s="241" t="s">
        <v>352</v>
      </c>
      <c r="C99" s="242">
        <f>'FG1'!I107+FFM!J107+IEPS!I106+FOFIR!I106+FCISAN!I106+ISR!C97+ISAN!I106+LOT!I106+'ENAJENAC DE INMUE'!I106+'IMP BEBIDAS AL'!I106+'FOND GASO Y D'!H107+'FOND GASO Y D'!Q107</f>
        <v>71771766.890614271</v>
      </c>
      <c r="D99" s="738">
        <f t="shared" si="2"/>
        <v>0.76193220160348363</v>
      </c>
      <c r="F99" s="359"/>
      <c r="G99" s="359"/>
      <c r="H99" s="359"/>
      <c r="I99" s="359"/>
      <c r="J99" s="358"/>
    </row>
    <row r="100" spans="1:10" x14ac:dyDescent="0.2">
      <c r="A100" s="243">
        <v>93</v>
      </c>
      <c r="B100" s="241" t="s">
        <v>353</v>
      </c>
      <c r="C100" s="242">
        <f>'FG1'!I108+FFM!J108+IEPS!I107+FOFIR!I107+FCISAN!I107+ISR!C98+ISAN!I107+LOT!I107+'ENAJENAC DE INMUE'!I107+'IMP BEBIDAS AL'!I107+'FOND GASO Y D'!H108+'FOND GASO Y D'!Q108</f>
        <v>61927412.718749814</v>
      </c>
      <c r="D100" s="738">
        <f t="shared" si="2"/>
        <v>0.65742410918094618</v>
      </c>
      <c r="F100" s="359"/>
      <c r="G100" s="359"/>
      <c r="H100" s="359"/>
      <c r="I100" s="359"/>
      <c r="J100" s="358"/>
    </row>
    <row r="101" spans="1:10" x14ac:dyDescent="0.2">
      <c r="A101" s="243">
        <v>94</v>
      </c>
      <c r="B101" s="241" t="s">
        <v>354</v>
      </c>
      <c r="C101" s="242">
        <f>'FG1'!I109+FFM!J109+IEPS!I108+FOFIR!I108+FCISAN!I108+ISR!C99+ISAN!I108+LOT!I108+'ENAJENAC DE INMUE'!I108+'IMP BEBIDAS AL'!I108+'FOND GASO Y D'!H109+'FOND GASO Y D'!Q109</f>
        <v>24389720.807009567</v>
      </c>
      <c r="D101" s="738">
        <f t="shared" si="2"/>
        <v>0.25892233779476964</v>
      </c>
      <c r="F101" s="359"/>
      <c r="G101" s="359"/>
      <c r="H101" s="359"/>
      <c r="I101" s="359"/>
      <c r="J101" s="358"/>
    </row>
    <row r="102" spans="1:10" x14ac:dyDescent="0.2">
      <c r="A102" s="243">
        <v>95</v>
      </c>
      <c r="B102" s="241" t="s">
        <v>100</v>
      </c>
      <c r="C102" s="242">
        <f>'FG1'!I110+FFM!J110+IEPS!I109+FOFIR!I109+FCISAN!I109+ISR!C100+ISAN!I109+LOT!I109+'ENAJENAC DE INMUE'!I109+'IMP BEBIDAS AL'!I109+'FOND GASO Y D'!H110+'FOND GASO Y D'!Q110</f>
        <v>37000582.333103597</v>
      </c>
      <c r="D102" s="738">
        <f t="shared" si="2"/>
        <v>0.3927997927184832</v>
      </c>
      <c r="F102" s="359"/>
      <c r="G102" s="359"/>
      <c r="H102" s="359"/>
      <c r="I102" s="359"/>
      <c r="J102" s="358"/>
    </row>
    <row r="103" spans="1:10" x14ac:dyDescent="0.2">
      <c r="A103" s="243">
        <v>96</v>
      </c>
      <c r="B103" s="241" t="s">
        <v>78</v>
      </c>
      <c r="C103" s="242">
        <f>'FG1'!I111+FFM!J111+IEPS!I110+FOFIR!I110+FCISAN!I110+ISR!C101+ISAN!I110+LOT!I110+'ENAJENAC DE INMUE'!I110+'IMP BEBIDAS AL'!I110+'FOND GASO Y D'!H111+'FOND GASO Y D'!Q111</f>
        <v>59729638.020523831</v>
      </c>
      <c r="D103" s="738">
        <f t="shared" si="2"/>
        <v>0.63409243731337317</v>
      </c>
      <c r="F103" s="359"/>
      <c r="G103" s="359"/>
      <c r="H103" s="359"/>
      <c r="I103" s="359"/>
      <c r="J103" s="358"/>
    </row>
    <row r="104" spans="1:10" x14ac:dyDescent="0.2">
      <c r="A104" s="243">
        <v>97</v>
      </c>
      <c r="B104" s="241" t="s">
        <v>130</v>
      </c>
      <c r="C104" s="242">
        <f>'FG1'!I112+FFM!J112+IEPS!I111+FOFIR!I111+FCISAN!I111+ISR!C102+ISAN!I111+LOT!I111+'ENAJENAC DE INMUE'!I111+'IMP BEBIDAS AL'!I111+'FOND GASO Y D'!H112+'FOND GASO Y D'!Q112</f>
        <v>96919711.722484335</v>
      </c>
      <c r="D104" s="738">
        <f t="shared" ref="D104:D120" si="3">C104/$C$7%</f>
        <v>1.0289038786523794</v>
      </c>
      <c r="F104" s="359"/>
      <c r="G104" s="359"/>
      <c r="H104" s="359"/>
      <c r="I104" s="359"/>
      <c r="J104" s="358"/>
    </row>
    <row r="105" spans="1:10" x14ac:dyDescent="0.2">
      <c r="A105" s="243">
        <v>98</v>
      </c>
      <c r="B105" s="241" t="s">
        <v>355</v>
      </c>
      <c r="C105" s="242">
        <f>'FG1'!I113+FFM!J113+IEPS!I112+FOFIR!I112+FCISAN!I112+ISR!C103+ISAN!I112+LOT!I112+'ENAJENAC DE INMUE'!I112+'IMP BEBIDAS AL'!I112+'FOND GASO Y D'!H113+'FOND GASO Y D'!Q113</f>
        <v>57940481.651066206</v>
      </c>
      <c r="D105" s="738">
        <f t="shared" si="3"/>
        <v>0.61509867541154639</v>
      </c>
      <c r="F105" s="359"/>
      <c r="G105" s="359"/>
      <c r="H105" s="359"/>
      <c r="I105" s="359"/>
      <c r="J105" s="358"/>
    </row>
    <row r="106" spans="1:10" x14ac:dyDescent="0.2">
      <c r="A106" s="243">
        <v>99</v>
      </c>
      <c r="B106" s="241" t="s">
        <v>139</v>
      </c>
      <c r="C106" s="242">
        <f>'FG1'!I114+FFM!J114+IEPS!I113+FOFIR!I113+FCISAN!I113+ISR!C104+ISAN!I113+LOT!I113+'ENAJENAC DE INMUE'!I113+'IMP BEBIDAS AL'!I113+'FOND GASO Y D'!H114+'FOND GASO Y D'!Q114</f>
        <v>58679907.939448647</v>
      </c>
      <c r="D106" s="738">
        <f t="shared" si="3"/>
        <v>0.62294845707693824</v>
      </c>
      <c r="F106" s="359"/>
      <c r="G106" s="359"/>
      <c r="H106" s="359"/>
      <c r="I106" s="359"/>
      <c r="J106" s="358"/>
    </row>
    <row r="107" spans="1:10" x14ac:dyDescent="0.2">
      <c r="A107" s="243">
        <v>100</v>
      </c>
      <c r="B107" s="241" t="s">
        <v>125</v>
      </c>
      <c r="C107" s="242">
        <f>'FG1'!I115+FFM!J115+IEPS!I114+FOFIR!I114+FCISAN!I114+ISR!C105+ISAN!I114+LOT!I114+'ENAJENAC DE INMUE'!I114+'IMP BEBIDAS AL'!I114+'FOND GASO Y D'!H115+'FOND GASO Y D'!Q115</f>
        <v>38802935.241987832</v>
      </c>
      <c r="D107" s="738">
        <f t="shared" si="3"/>
        <v>0.41193364965732071</v>
      </c>
      <c r="F107" s="359"/>
      <c r="G107" s="359"/>
      <c r="H107" s="359"/>
      <c r="I107" s="359"/>
      <c r="J107" s="358"/>
    </row>
    <row r="108" spans="1:10" x14ac:dyDescent="0.2">
      <c r="A108" s="243">
        <v>101</v>
      </c>
      <c r="B108" s="241" t="s">
        <v>66</v>
      </c>
      <c r="C108" s="242">
        <f>'FG1'!I116+FFM!J116+IEPS!I115+FOFIR!I115+FCISAN!I115+ISR!C106+ISAN!I115+LOT!I115+'ENAJENAC DE INMUE'!I115+'IMP BEBIDAS AL'!I115+'FOND GASO Y D'!H116+'FOND GASO Y D'!Q116</f>
        <v>59881491.013234496</v>
      </c>
      <c r="D108" s="738">
        <f t="shared" si="3"/>
        <v>0.63570451529429362</v>
      </c>
      <c r="F108" s="359"/>
      <c r="G108" s="359"/>
      <c r="H108" s="359"/>
      <c r="I108" s="359"/>
      <c r="J108" s="358"/>
    </row>
    <row r="109" spans="1:10" x14ac:dyDescent="0.2">
      <c r="A109" s="243">
        <v>102</v>
      </c>
      <c r="B109" s="241" t="s">
        <v>117</v>
      </c>
      <c r="C109" s="242">
        <f>'FG1'!I117+FFM!J117+IEPS!I116+FOFIR!I116+FCISAN!I116+ISR!C107+ISAN!I116+LOT!I116+'ENAJENAC DE INMUE'!I116+'IMP BEBIDAS AL'!I116+'FOND GASO Y D'!H117+'FOND GASO Y D'!Q117</f>
        <v>457570801.66728741</v>
      </c>
      <c r="D109" s="738">
        <f t="shared" si="3"/>
        <v>4.8575915489885935</v>
      </c>
      <c r="F109" s="359"/>
      <c r="G109" s="359"/>
      <c r="H109" s="359"/>
      <c r="I109" s="359"/>
      <c r="J109" s="358"/>
    </row>
    <row r="110" spans="1:10" x14ac:dyDescent="0.2">
      <c r="A110" s="243">
        <v>103</v>
      </c>
      <c r="B110" s="241" t="s">
        <v>356</v>
      </c>
      <c r="C110" s="242">
        <f>'FG1'!I118+FFM!J118+IEPS!I117+FOFIR!I117+FCISAN!I117+ISR!C108+ISAN!I117+LOT!I117+'ENAJENAC DE INMUE'!I117+'IMP BEBIDAS AL'!I117+'FOND GASO Y D'!H118+'FOND GASO Y D'!Q118</f>
        <v>52523351.259527743</v>
      </c>
      <c r="D110" s="738">
        <f t="shared" si="3"/>
        <v>0.55759018336217758</v>
      </c>
      <c r="F110" s="359"/>
      <c r="G110" s="359"/>
      <c r="H110" s="359"/>
      <c r="I110" s="359"/>
      <c r="J110" s="358"/>
    </row>
    <row r="111" spans="1:10" x14ac:dyDescent="0.2">
      <c r="A111" s="243">
        <v>104</v>
      </c>
      <c r="B111" s="241" t="s">
        <v>109</v>
      </c>
      <c r="C111" s="242">
        <f>'FG1'!I119+FFM!J119+IEPS!I118+FOFIR!I118+FCISAN!I118+ISR!C109+ISAN!I118+LOT!I118+'ENAJENAC DE INMUE'!I118+'IMP BEBIDAS AL'!I118+'FOND GASO Y D'!H119+'FOND GASO Y D'!Q119</f>
        <v>42694051.126067899</v>
      </c>
      <c r="D111" s="738">
        <f t="shared" si="3"/>
        <v>0.45324190526666003</v>
      </c>
      <c r="F111" s="359"/>
      <c r="G111" s="359"/>
      <c r="H111" s="359"/>
      <c r="I111" s="359"/>
      <c r="J111" s="358"/>
    </row>
    <row r="112" spans="1:10" x14ac:dyDescent="0.2">
      <c r="A112" s="243">
        <v>105</v>
      </c>
      <c r="B112" s="241" t="s">
        <v>150</v>
      </c>
      <c r="C112" s="242">
        <f>'FG1'!I120+FFM!J120+IEPS!I119+FOFIR!I119+FCISAN!I119+ISR!C110+ISAN!I119+LOT!I119+'ENAJENAC DE INMUE'!I119+'IMP BEBIDAS AL'!I119+'FOND GASO Y D'!H120+'FOND GASO Y D'!Q120</f>
        <v>48202736.615435265</v>
      </c>
      <c r="D112" s="738">
        <f t="shared" si="3"/>
        <v>0.5117223502200603</v>
      </c>
      <c r="F112" s="359"/>
      <c r="G112" s="359"/>
      <c r="H112" s="359"/>
      <c r="I112" s="359"/>
      <c r="J112" s="358"/>
    </row>
    <row r="113" spans="1:10" x14ac:dyDescent="0.2">
      <c r="A113" s="243">
        <v>106</v>
      </c>
      <c r="B113" s="241" t="s">
        <v>357</v>
      </c>
      <c r="C113" s="242">
        <f>'FG1'!I121+FFM!J121+IEPS!I120+FOFIR!I120+FCISAN!I120+ISR!C111+ISAN!I120+LOT!I120+'ENAJENAC DE INMUE'!I120+'IMP BEBIDAS AL'!I120+'FOND GASO Y D'!H121+'FOND GASO Y D'!Q121</f>
        <v>67374801.803261042</v>
      </c>
      <c r="D113" s="738">
        <f t="shared" si="3"/>
        <v>0.71525382883210331</v>
      </c>
      <c r="F113" s="359"/>
      <c r="G113" s="359"/>
      <c r="H113" s="359"/>
      <c r="I113" s="359"/>
      <c r="J113" s="358"/>
    </row>
    <row r="114" spans="1:10" x14ac:dyDescent="0.2">
      <c r="A114" s="243">
        <v>107</v>
      </c>
      <c r="B114" s="241" t="s">
        <v>358</v>
      </c>
      <c r="C114" s="242">
        <f>'FG1'!I122+FFM!J122+IEPS!I121+FOFIR!I121+FCISAN!I121+ISR!C112+ISAN!I121+LOT!I121+'ENAJENAC DE INMUE'!I121+'IMP BEBIDAS AL'!I121+'FOND GASO Y D'!H122+'FOND GASO Y D'!Q122</f>
        <v>125712181.78953892</v>
      </c>
      <c r="D114" s="738">
        <f t="shared" si="3"/>
        <v>1.3345659942476158</v>
      </c>
      <c r="F114" s="359"/>
      <c r="G114" s="359"/>
      <c r="H114" s="359"/>
      <c r="I114" s="359"/>
      <c r="J114" s="358"/>
    </row>
    <row r="115" spans="1:10" x14ac:dyDescent="0.2">
      <c r="A115" s="243">
        <v>108</v>
      </c>
      <c r="B115" s="241" t="s">
        <v>149</v>
      </c>
      <c r="C115" s="242">
        <f>'FG1'!I123+FFM!J123+IEPS!I122+FOFIR!I122+FCISAN!I122+ISR!C113+ISAN!I122+LOT!I122+'ENAJENAC DE INMUE'!I122+'IMP BEBIDAS AL'!I122+'FOND GASO Y D'!H123+'FOND GASO Y D'!Q123</f>
        <v>323263058.35776693</v>
      </c>
      <c r="D115" s="738">
        <f t="shared" si="3"/>
        <v>3.4317746994719514</v>
      </c>
      <c r="F115" s="359"/>
      <c r="G115" s="359"/>
      <c r="H115" s="359"/>
      <c r="I115" s="359"/>
      <c r="J115" s="358"/>
    </row>
    <row r="116" spans="1:10" x14ac:dyDescent="0.2">
      <c r="A116" s="243">
        <v>109</v>
      </c>
      <c r="B116" s="241" t="s">
        <v>50</v>
      </c>
      <c r="C116" s="242">
        <f>'FG1'!I124+FFM!J124+IEPS!I123+FOFIR!I123+FCISAN!I123+ISR!C114+ISAN!I123+LOT!I123+'ENAJENAC DE INMUE'!I123+'IMP BEBIDAS AL'!I123+'FOND GASO Y D'!H124+'FOND GASO Y D'!Q124</f>
        <v>16570239.746145327</v>
      </c>
      <c r="D116" s="738">
        <f t="shared" si="3"/>
        <v>0.17591038646324736</v>
      </c>
      <c r="F116" s="359"/>
      <c r="G116" s="359"/>
      <c r="H116" s="359"/>
      <c r="I116" s="359"/>
      <c r="J116" s="358"/>
    </row>
    <row r="117" spans="1:10" x14ac:dyDescent="0.2">
      <c r="A117" s="243">
        <v>110</v>
      </c>
      <c r="B117" s="241" t="s">
        <v>111</v>
      </c>
      <c r="C117" s="242">
        <f>'FG1'!I125+FFM!J125+IEPS!I124+FOFIR!I124+FCISAN!I124+ISR!C115+ISAN!I124+LOT!I124+'ENAJENAC DE INMUE'!I124+'IMP BEBIDAS AL'!I124+'FOND GASO Y D'!H125+'FOND GASO Y D'!Q125</f>
        <v>92653410.004759744</v>
      </c>
      <c r="D117" s="738">
        <f t="shared" si="3"/>
        <v>0.9836126339008765</v>
      </c>
      <c r="F117" s="359"/>
      <c r="G117" s="359"/>
      <c r="H117" s="359"/>
      <c r="I117" s="359"/>
      <c r="J117" s="358"/>
    </row>
    <row r="118" spans="1:10" x14ac:dyDescent="0.2">
      <c r="A118" s="243">
        <v>111</v>
      </c>
      <c r="B118" s="241" t="s">
        <v>140</v>
      </c>
      <c r="C118" s="242">
        <f>'FG1'!I126+FFM!J126+IEPS!I125+FOFIR!I125+FCISAN!I125+ISR!C116+ISAN!I125+LOT!I125+'ENAJENAC DE INMUE'!I125+'IMP BEBIDAS AL'!I125+'FOND GASO Y D'!H126+'FOND GASO Y D'!Q126</f>
        <v>43635479.598204799</v>
      </c>
      <c r="D118" s="738">
        <f t="shared" si="3"/>
        <v>0.46323615090813491</v>
      </c>
      <c r="F118" s="359"/>
      <c r="G118" s="359"/>
      <c r="H118" s="359"/>
      <c r="I118" s="359"/>
      <c r="J118" s="358"/>
    </row>
    <row r="119" spans="1:10" x14ac:dyDescent="0.2">
      <c r="A119" s="243">
        <v>112</v>
      </c>
      <c r="B119" s="241" t="s">
        <v>142</v>
      </c>
      <c r="C119" s="242">
        <f>'FG1'!I127+FFM!J127+IEPS!I126+FOFIR!I126+FCISAN!I126+ISR!C117+ISAN!I126+LOT!I126+'ENAJENAC DE INMUE'!I126+'IMP BEBIDAS AL'!I126+'FOND GASO Y D'!H127+'FOND GASO Y D'!Q127</f>
        <v>232697613.00974411</v>
      </c>
      <c r="D119" s="738">
        <f t="shared" si="3"/>
        <v>2.4703279892580654</v>
      </c>
      <c r="F119" s="359"/>
      <c r="G119" s="359"/>
      <c r="H119" s="359"/>
      <c r="I119" s="359"/>
      <c r="J119" s="358"/>
    </row>
    <row r="120" spans="1:10" x14ac:dyDescent="0.2">
      <c r="A120" s="243">
        <v>113</v>
      </c>
      <c r="B120" s="241" t="s">
        <v>101</v>
      </c>
      <c r="C120" s="242">
        <f>'FG1'!I128+FFM!J128+IEPS!I127+FOFIR!I127+FCISAN!I127+ISR!C118+ISAN!I127+LOT!I127+'ENAJENAC DE INMUE'!I127+'IMP BEBIDAS AL'!I127+'FOND GASO Y D'!H128+'FOND GASO Y D'!Q128</f>
        <v>57521314.925082274</v>
      </c>
      <c r="D120" s="738">
        <f t="shared" si="3"/>
        <v>0.61064878320177796</v>
      </c>
      <c r="F120" s="359"/>
      <c r="G120" s="359"/>
      <c r="H120" s="359"/>
      <c r="I120" s="359"/>
      <c r="J120" s="358"/>
    </row>
    <row r="121" spans="1:10" x14ac:dyDescent="0.2">
      <c r="F121" s="359"/>
    </row>
    <row r="122" spans="1:10" x14ac:dyDescent="0.2">
      <c r="F122" s="359"/>
    </row>
    <row r="123" spans="1:10" x14ac:dyDescent="0.2">
      <c r="F123" s="359"/>
    </row>
    <row r="124" spans="1:10" x14ac:dyDescent="0.2">
      <c r="D124" s="245"/>
      <c r="F124" s="359"/>
    </row>
    <row r="125" spans="1:10" x14ac:dyDescent="0.2">
      <c r="D125" s="246"/>
      <c r="F125" s="359"/>
    </row>
    <row r="126" spans="1:10" x14ac:dyDescent="0.2">
      <c r="D126" s="246"/>
      <c r="F126" s="359"/>
    </row>
    <row r="127" spans="1:10" x14ac:dyDescent="0.2">
      <c r="D127" s="246"/>
      <c r="F127" s="359"/>
    </row>
    <row r="128" spans="1:10" x14ac:dyDescent="0.2">
      <c r="D128" s="246"/>
      <c r="F128" s="359"/>
    </row>
    <row r="129" spans="4:6" x14ac:dyDescent="0.2">
      <c r="D129" s="246"/>
      <c r="F129" s="359"/>
    </row>
    <row r="130" spans="4:6" x14ac:dyDescent="0.2">
      <c r="D130" s="246"/>
      <c r="F130" s="359"/>
    </row>
    <row r="131" spans="4:6" x14ac:dyDescent="0.2">
      <c r="D131" s="246"/>
      <c r="F131" s="359"/>
    </row>
    <row r="132" spans="4:6" x14ac:dyDescent="0.2">
      <c r="D132" s="246"/>
      <c r="F132" s="359"/>
    </row>
    <row r="133" spans="4:6" x14ac:dyDescent="0.2">
      <c r="D133" s="246"/>
      <c r="F133" s="359"/>
    </row>
    <row r="134" spans="4:6" x14ac:dyDescent="0.2">
      <c r="D134" s="246"/>
      <c r="F134" s="359"/>
    </row>
    <row r="135" spans="4:6" x14ac:dyDescent="0.2">
      <c r="D135" s="246"/>
      <c r="F135" s="359"/>
    </row>
    <row r="136" spans="4:6" x14ac:dyDescent="0.2">
      <c r="D136" s="246"/>
      <c r="F136" s="359"/>
    </row>
    <row r="137" spans="4:6" x14ac:dyDescent="0.2">
      <c r="D137" s="246"/>
      <c r="F137" s="359"/>
    </row>
    <row r="138" spans="4:6" x14ac:dyDescent="0.2">
      <c r="D138" s="246"/>
      <c r="F138" s="359"/>
    </row>
    <row r="139" spans="4:6" x14ac:dyDescent="0.2">
      <c r="D139" s="246"/>
      <c r="F139" s="359"/>
    </row>
    <row r="140" spans="4:6" x14ac:dyDescent="0.2">
      <c r="D140" s="246"/>
      <c r="F140" s="359"/>
    </row>
    <row r="141" spans="4:6" x14ac:dyDescent="0.2">
      <c r="D141" s="246"/>
      <c r="F141" s="359"/>
    </row>
    <row r="142" spans="4:6" x14ac:dyDescent="0.2">
      <c r="D142" s="246"/>
      <c r="F142" s="359"/>
    </row>
    <row r="143" spans="4:6" x14ac:dyDescent="0.2">
      <c r="D143" s="246"/>
      <c r="F143" s="359"/>
    </row>
    <row r="144" spans="4:6" x14ac:dyDescent="0.2">
      <c r="D144" s="246"/>
      <c r="F144" s="359"/>
    </row>
    <row r="145" spans="4:6" x14ac:dyDescent="0.2">
      <c r="D145" s="246"/>
      <c r="F145" s="359"/>
    </row>
    <row r="146" spans="4:6" x14ac:dyDescent="0.2">
      <c r="D146" s="246"/>
      <c r="F146" s="359"/>
    </row>
    <row r="147" spans="4:6" x14ac:dyDescent="0.2">
      <c r="D147" s="246"/>
      <c r="F147" s="359"/>
    </row>
    <row r="148" spans="4:6" x14ac:dyDescent="0.2">
      <c r="D148" s="246"/>
      <c r="F148" s="359"/>
    </row>
    <row r="149" spans="4:6" x14ac:dyDescent="0.2">
      <c r="D149" s="246"/>
      <c r="F149" s="359"/>
    </row>
    <row r="150" spans="4:6" x14ac:dyDescent="0.2">
      <c r="D150" s="246"/>
      <c r="F150" s="359"/>
    </row>
    <row r="151" spans="4:6" x14ac:dyDescent="0.2">
      <c r="D151" s="246"/>
      <c r="F151" s="359"/>
    </row>
    <row r="152" spans="4:6" x14ac:dyDescent="0.2">
      <c r="D152" s="246"/>
      <c r="F152" s="359"/>
    </row>
    <row r="153" spans="4:6" x14ac:dyDescent="0.2">
      <c r="D153" s="246"/>
      <c r="F153" s="359"/>
    </row>
    <row r="154" spans="4:6" x14ac:dyDescent="0.2">
      <c r="D154" s="246"/>
      <c r="F154" s="359"/>
    </row>
    <row r="155" spans="4:6" x14ac:dyDescent="0.2">
      <c r="D155" s="246"/>
      <c r="F155" s="359"/>
    </row>
    <row r="156" spans="4:6" x14ac:dyDescent="0.2">
      <c r="D156" s="246"/>
    </row>
    <row r="157" spans="4:6" x14ac:dyDescent="0.2">
      <c r="D157" s="246"/>
    </row>
    <row r="158" spans="4:6" x14ac:dyDescent="0.2">
      <c r="D158" s="246"/>
    </row>
    <row r="159" spans="4:6" x14ac:dyDescent="0.2">
      <c r="D159" s="246"/>
    </row>
    <row r="160" spans="4:6" x14ac:dyDescent="0.2">
      <c r="D160" s="246"/>
    </row>
    <row r="161" spans="4:4" x14ac:dyDescent="0.2">
      <c r="D161" s="246"/>
    </row>
    <row r="162" spans="4:4" x14ac:dyDescent="0.2">
      <c r="D162" s="246"/>
    </row>
    <row r="163" spans="4:4" x14ac:dyDescent="0.2">
      <c r="D163" s="246"/>
    </row>
    <row r="164" spans="4:4" x14ac:dyDescent="0.2">
      <c r="D164" s="246"/>
    </row>
    <row r="165" spans="4:4" x14ac:dyDescent="0.2">
      <c r="D165" s="246"/>
    </row>
    <row r="166" spans="4:4" x14ac:dyDescent="0.2">
      <c r="D166" s="246"/>
    </row>
    <row r="167" spans="4:4" x14ac:dyDescent="0.2">
      <c r="D167" s="246"/>
    </row>
    <row r="168" spans="4:4" x14ac:dyDescent="0.2">
      <c r="D168" s="246"/>
    </row>
    <row r="169" spans="4:4" x14ac:dyDescent="0.2">
      <c r="D169" s="246"/>
    </row>
    <row r="170" spans="4:4" x14ac:dyDescent="0.2">
      <c r="D170" s="246"/>
    </row>
    <row r="171" spans="4:4" x14ac:dyDescent="0.2">
      <c r="D171" s="246"/>
    </row>
    <row r="172" spans="4:4" x14ac:dyDescent="0.2">
      <c r="D172" s="246"/>
    </row>
    <row r="173" spans="4:4" x14ac:dyDescent="0.2">
      <c r="D173" s="246"/>
    </row>
    <row r="174" spans="4:4" x14ac:dyDescent="0.2">
      <c r="D174" s="246"/>
    </row>
    <row r="175" spans="4:4" x14ac:dyDescent="0.2">
      <c r="D175" s="246"/>
    </row>
    <row r="176" spans="4:4" x14ac:dyDescent="0.2">
      <c r="D176" s="246"/>
    </row>
    <row r="177" spans="1:4" x14ac:dyDescent="0.2">
      <c r="D177" s="246"/>
    </row>
    <row r="178" spans="1:4" x14ac:dyDescent="0.2">
      <c r="D178" s="246"/>
    </row>
    <row r="179" spans="1:4" x14ac:dyDescent="0.2">
      <c r="D179" s="246"/>
    </row>
    <row r="180" spans="1:4" x14ac:dyDescent="0.2">
      <c r="D180" s="246"/>
    </row>
    <row r="181" spans="1:4" x14ac:dyDescent="0.2">
      <c r="A181" s="247">
        <v>113</v>
      </c>
      <c r="B181" s="247" t="s">
        <v>101</v>
      </c>
      <c r="C181" s="248">
        <v>97653319</v>
      </c>
      <c r="D181" s="249">
        <v>0.65331545612306596</v>
      </c>
    </row>
  </sheetData>
  <printOptions horizontalCentered="1"/>
  <pageMargins left="0.70866141732283472" right="0.70866141732283472" top="0.94488188976377963" bottom="0.94488188976377963" header="0.74803149606299213" footer="0.74803149606299213"/>
  <pageSetup scale="80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27"/>
  <sheetViews>
    <sheetView showGridLines="0" topLeftCell="S1" workbookViewId="0">
      <selection activeCell="AQ6" sqref="AQ6"/>
    </sheetView>
  </sheetViews>
  <sheetFormatPr baseColWidth="10" defaultRowHeight="14.25" x14ac:dyDescent="0.2"/>
  <cols>
    <col min="1" max="1" width="5.375" style="65" customWidth="1"/>
    <col min="2" max="2" width="13.25" style="65" customWidth="1"/>
    <col min="3" max="3" width="9" style="65" customWidth="1"/>
    <col min="4" max="4" width="10.875" style="65" customWidth="1"/>
    <col min="5" max="7" width="7.75" style="65" customWidth="1"/>
    <col min="8" max="8" width="3.125" style="65" customWidth="1"/>
    <col min="9" max="9" width="10.875" style="65" customWidth="1"/>
    <col min="10" max="15" width="11.5" style="65" customWidth="1"/>
    <col min="16" max="16" width="12.25" style="65" customWidth="1"/>
    <col min="17" max="17" width="3.125" style="65" customWidth="1"/>
    <col min="18" max="18" width="7.75" style="65" customWidth="1"/>
    <col min="19" max="24" width="10.375" style="70" customWidth="1"/>
    <col min="25" max="25" width="9.625" style="70" customWidth="1"/>
    <col min="26" max="26" width="8.75" style="70" customWidth="1"/>
    <col min="27" max="27" width="5" style="70" customWidth="1"/>
    <col min="28" max="28" width="5.375" style="70" customWidth="1"/>
    <col min="29" max="29" width="8.875" style="70" customWidth="1"/>
    <col min="30" max="30" width="7.5" style="70" customWidth="1"/>
    <col min="31" max="31" width="7.625" style="65" customWidth="1"/>
    <col min="32" max="33" width="6.25" style="65" customWidth="1"/>
    <col min="34" max="34" width="3.125" style="65" customWidth="1"/>
    <col min="35" max="35" width="12.875" style="65" customWidth="1"/>
    <col min="36" max="36" width="9.75" style="65" customWidth="1"/>
    <col min="37" max="39" width="10" style="65" customWidth="1"/>
    <col min="40" max="40" width="9" style="65" customWidth="1"/>
    <col min="41" max="41" width="5.5" style="65" customWidth="1"/>
    <col min="42" max="1028" width="12.875" style="65" customWidth="1"/>
  </cols>
  <sheetData>
    <row r="1" spans="1:41" x14ac:dyDescent="0.2">
      <c r="A1" s="61"/>
      <c r="B1" s="62"/>
      <c r="C1" s="63"/>
      <c r="D1" s="62" t="s">
        <v>0</v>
      </c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3"/>
      <c r="AF1" s="63"/>
      <c r="AG1" s="63"/>
    </row>
    <row r="2" spans="1:41" x14ac:dyDescent="0.2">
      <c r="A2" s="61"/>
      <c r="B2" s="62"/>
      <c r="C2" s="62"/>
      <c r="D2" s="62" t="s">
        <v>163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2"/>
      <c r="AF2" s="62"/>
      <c r="AG2" s="62"/>
    </row>
    <row r="3" spans="1:41" x14ac:dyDescent="0.2">
      <c r="A3" s="67"/>
      <c r="B3" s="62"/>
      <c r="C3" s="63"/>
      <c r="D3" s="62" t="s">
        <v>164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4"/>
      <c r="T3" s="64"/>
      <c r="U3" s="64"/>
      <c r="V3" s="64"/>
      <c r="W3" s="64"/>
      <c r="X3" s="64"/>
      <c r="Y3" s="64"/>
      <c r="Z3" s="64"/>
      <c r="AA3" s="64"/>
      <c r="AB3" s="64"/>
      <c r="AC3" s="68"/>
      <c r="AD3" s="64"/>
      <c r="AE3" s="63"/>
      <c r="AF3" s="63"/>
      <c r="AG3" s="63"/>
    </row>
    <row r="4" spans="1:41" x14ac:dyDescent="0.2">
      <c r="A4" s="61"/>
      <c r="B4" s="62"/>
      <c r="C4" s="63"/>
      <c r="D4" s="62" t="s">
        <v>515</v>
      </c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3"/>
      <c r="AF4" s="63"/>
      <c r="AG4" s="63"/>
    </row>
    <row r="5" spans="1:41" ht="16.5" customHeight="1" x14ac:dyDescent="0.2">
      <c r="A5" s="63"/>
      <c r="B5" s="63"/>
      <c r="G5" s="69"/>
    </row>
    <row r="6" spans="1:41" x14ac:dyDescent="0.2">
      <c r="A6" s="71" t="s">
        <v>7</v>
      </c>
      <c r="B6" s="71" t="s">
        <v>7</v>
      </c>
      <c r="C6" s="71" t="s">
        <v>10</v>
      </c>
      <c r="D6" s="71" t="s">
        <v>10</v>
      </c>
      <c r="E6" s="71"/>
      <c r="F6" s="71"/>
      <c r="G6" s="69"/>
      <c r="H6" s="71" t="s">
        <v>7</v>
      </c>
      <c r="I6" s="71" t="s">
        <v>7</v>
      </c>
      <c r="J6" s="71" t="s">
        <v>165</v>
      </c>
      <c r="K6" s="71" t="s">
        <v>165</v>
      </c>
      <c r="L6" s="71" t="s">
        <v>165</v>
      </c>
      <c r="M6" s="71" t="s">
        <v>165</v>
      </c>
      <c r="N6" s="71" t="s">
        <v>165</v>
      </c>
      <c r="O6" s="71" t="s">
        <v>165</v>
      </c>
      <c r="P6" s="63"/>
      <c r="Q6" s="71" t="s">
        <v>7</v>
      </c>
      <c r="R6" s="71" t="s">
        <v>7</v>
      </c>
      <c r="S6" s="72" t="s">
        <v>166</v>
      </c>
      <c r="T6" s="72" t="s">
        <v>166</v>
      </c>
      <c r="U6" s="72" t="s">
        <v>166</v>
      </c>
      <c r="V6" s="72" t="s">
        <v>166</v>
      </c>
      <c r="W6" s="72" t="s">
        <v>166</v>
      </c>
      <c r="X6" s="72" t="s">
        <v>166</v>
      </c>
      <c r="Y6" s="72" t="s">
        <v>167</v>
      </c>
      <c r="Z6" s="72" t="s">
        <v>167</v>
      </c>
      <c r="AA6" s="64"/>
      <c r="AB6" s="72" t="s">
        <v>7</v>
      </c>
      <c r="AC6" s="72" t="s">
        <v>7</v>
      </c>
      <c r="AD6" s="72" t="s">
        <v>168</v>
      </c>
      <c r="AE6" s="71" t="s">
        <v>168</v>
      </c>
      <c r="AF6" s="71"/>
      <c r="AG6" s="63"/>
      <c r="AH6" s="71" t="s">
        <v>7</v>
      </c>
      <c r="AI6" s="71" t="s">
        <v>7</v>
      </c>
      <c r="AJ6" s="71" t="s">
        <v>169</v>
      </c>
      <c r="AK6" s="71" t="s">
        <v>169</v>
      </c>
      <c r="AL6" s="71" t="s">
        <v>169</v>
      </c>
      <c r="AM6" s="71" t="s">
        <v>169</v>
      </c>
      <c r="AN6" s="71"/>
      <c r="AO6" s="71" t="s">
        <v>167</v>
      </c>
    </row>
    <row r="7" spans="1:41" x14ac:dyDescent="0.2">
      <c r="A7" s="73" t="s">
        <v>170</v>
      </c>
      <c r="B7" s="73" t="s">
        <v>171</v>
      </c>
      <c r="C7" s="73">
        <v>2015</v>
      </c>
      <c r="D7" s="73">
        <v>2020</v>
      </c>
      <c r="E7" s="73" t="s">
        <v>167</v>
      </c>
      <c r="F7" s="73" t="s">
        <v>172</v>
      </c>
      <c r="G7" s="69"/>
      <c r="H7" s="73" t="s">
        <v>170</v>
      </c>
      <c r="I7" s="73" t="s">
        <v>171</v>
      </c>
      <c r="J7" s="73" t="s">
        <v>173</v>
      </c>
      <c r="K7" s="73" t="s">
        <v>174</v>
      </c>
      <c r="L7" s="73" t="s">
        <v>175</v>
      </c>
      <c r="M7" s="73" t="s">
        <v>176</v>
      </c>
      <c r="N7" s="73" t="s">
        <v>177</v>
      </c>
      <c r="O7" s="73" t="s">
        <v>514</v>
      </c>
      <c r="P7" s="63"/>
      <c r="Q7" s="73" t="s">
        <v>170</v>
      </c>
      <c r="R7" s="73" t="s">
        <v>171</v>
      </c>
      <c r="S7" s="357">
        <v>2018</v>
      </c>
      <c r="T7" s="357">
        <v>2019</v>
      </c>
      <c r="U7" s="357">
        <v>2020</v>
      </c>
      <c r="V7" s="357">
        <v>2021</v>
      </c>
      <c r="W7" s="357">
        <v>2022</v>
      </c>
      <c r="X7" s="357">
        <v>2023</v>
      </c>
      <c r="Y7" s="74" t="s">
        <v>178</v>
      </c>
      <c r="Z7" s="74" t="s">
        <v>179</v>
      </c>
      <c r="AA7" s="64"/>
      <c r="AB7" s="74" t="s">
        <v>170</v>
      </c>
      <c r="AC7" s="74" t="s">
        <v>171</v>
      </c>
      <c r="AD7" s="74" t="s">
        <v>180</v>
      </c>
      <c r="AE7" s="73" t="s">
        <v>181</v>
      </c>
      <c r="AF7" s="73" t="s">
        <v>167</v>
      </c>
      <c r="AG7" s="63"/>
      <c r="AH7" s="73" t="s">
        <v>170</v>
      </c>
      <c r="AI7" s="73" t="s">
        <v>171</v>
      </c>
      <c r="AJ7" s="73" t="s">
        <v>182</v>
      </c>
      <c r="AK7" s="73" t="s">
        <v>183</v>
      </c>
      <c r="AL7" s="73" t="s">
        <v>556</v>
      </c>
      <c r="AM7" s="73" t="s">
        <v>557</v>
      </c>
      <c r="AN7" s="73" t="s">
        <v>167</v>
      </c>
      <c r="AO7" s="73" t="s">
        <v>32</v>
      </c>
    </row>
    <row r="8" spans="1:41" x14ac:dyDescent="0.2">
      <c r="A8" s="63"/>
      <c r="B8" s="63"/>
      <c r="C8" s="63"/>
      <c r="D8" s="63"/>
      <c r="E8" s="63"/>
      <c r="F8" s="63"/>
      <c r="G8" s="69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4"/>
      <c r="T8" s="64"/>
      <c r="U8" s="75"/>
      <c r="V8" s="75"/>
      <c r="W8" s="75"/>
      <c r="X8" s="75"/>
      <c r="Y8" s="75"/>
      <c r="Z8" s="75"/>
      <c r="AA8" s="64"/>
      <c r="AB8" s="64"/>
      <c r="AC8" s="64"/>
      <c r="AD8" s="64"/>
      <c r="AE8" s="63"/>
      <c r="AF8" s="63"/>
      <c r="AG8" s="63"/>
    </row>
    <row r="9" spans="1:41" x14ac:dyDescent="0.2">
      <c r="C9" s="69">
        <f>SUM(C10:C122)</f>
        <v>4584471</v>
      </c>
      <c r="D9" s="69">
        <f>SUM(D10:D122)</f>
        <v>4748846</v>
      </c>
      <c r="E9" s="76">
        <f t="shared" ref="E9:E40" si="0">D9-C9</f>
        <v>164375</v>
      </c>
      <c r="F9" s="70">
        <f t="shared" ref="F9:F40" si="1">E9/C9%</f>
        <v>3.5854736566116352</v>
      </c>
      <c r="G9" s="69"/>
      <c r="H9" s="69"/>
      <c r="I9" s="69"/>
      <c r="J9" s="69">
        <f t="shared" ref="J9:O9" si="2">SUM(J10:J122)</f>
        <v>2580997365</v>
      </c>
      <c r="K9" s="69">
        <f t="shared" si="2"/>
        <v>2772809532</v>
      </c>
      <c r="L9" s="69">
        <f t="shared" si="2"/>
        <v>2762830939.0499992</v>
      </c>
      <c r="M9" s="69">
        <f t="shared" si="2"/>
        <v>2848169675</v>
      </c>
      <c r="N9" s="69">
        <f t="shared" si="2"/>
        <v>3268821135</v>
      </c>
      <c r="O9" s="69">
        <f t="shared" si="2"/>
        <v>3457206339</v>
      </c>
      <c r="P9" s="84">
        <f>O9-N9</f>
        <v>188385204</v>
      </c>
      <c r="Q9" s="69"/>
      <c r="R9" s="69"/>
      <c r="S9" s="69">
        <f t="shared" ref="S9:X9" si="3">SUM(S10:S122)</f>
        <v>532996470.18999982</v>
      </c>
      <c r="T9" s="69">
        <f t="shared" si="3"/>
        <v>551198606.04999995</v>
      </c>
      <c r="U9" s="69">
        <f t="shared" si="3"/>
        <v>591099371.06000018</v>
      </c>
      <c r="V9" s="69">
        <f t="shared" si="3"/>
        <v>579477257.01999974</v>
      </c>
      <c r="W9" s="69">
        <f t="shared" si="3"/>
        <v>525600811.53999984</v>
      </c>
      <c r="X9" s="69">
        <f t="shared" si="3"/>
        <v>568067570.73999977</v>
      </c>
      <c r="Y9" s="69">
        <f>SUM(Y10:Y122)</f>
        <v>42466759.200000018</v>
      </c>
      <c r="Z9" s="70">
        <f>Y9/W9%</f>
        <v>8.0796601275354316</v>
      </c>
      <c r="AA9" s="69"/>
      <c r="AB9" s="69"/>
      <c r="AC9" s="69"/>
      <c r="AD9" s="69">
        <f>SUM(AD10:AD122)</f>
        <v>9427</v>
      </c>
      <c r="AE9" s="69">
        <f>SUM(AE10:AE122)</f>
        <v>8644</v>
      </c>
      <c r="AF9" s="69">
        <f t="shared" ref="AF9:AF40" si="4">AE9-AD9</f>
        <v>-783</v>
      </c>
      <c r="AG9" s="70"/>
      <c r="AJ9" s="77">
        <f>SUM(AJ10:AJ122)</f>
        <v>100.00000000000004</v>
      </c>
      <c r="AK9" s="77">
        <f>SUM(AK10:AK122)</f>
        <v>100.00000000000004</v>
      </c>
      <c r="AL9" s="77">
        <f>SUM(AL10:AL122)</f>
        <v>99.999999999999986</v>
      </c>
      <c r="AM9" s="77">
        <f>SUM(AM10:AM122)</f>
        <v>99.999999999999957</v>
      </c>
      <c r="AN9" s="78"/>
    </row>
    <row r="10" spans="1:41" x14ac:dyDescent="0.2">
      <c r="A10" s="79">
        <v>1</v>
      </c>
      <c r="B10" s="80" t="s">
        <v>43</v>
      </c>
      <c r="C10" s="81">
        <v>11425</v>
      </c>
      <c r="D10" s="82">
        <v>11301</v>
      </c>
      <c r="E10" s="82">
        <f t="shared" si="0"/>
        <v>-124</v>
      </c>
      <c r="F10" s="83">
        <f t="shared" si="1"/>
        <v>-1.0853391684901532</v>
      </c>
      <c r="G10" s="69"/>
      <c r="H10" s="79">
        <v>1</v>
      </c>
      <c r="I10" s="80" t="s">
        <v>43</v>
      </c>
      <c r="J10" s="81">
        <v>10149826</v>
      </c>
      <c r="K10" s="81">
        <v>10837295</v>
      </c>
      <c r="L10" s="81">
        <v>10741291.4494801</v>
      </c>
      <c r="M10" s="81">
        <v>11016940</v>
      </c>
      <c r="N10" s="81">
        <v>12698781.7216707</v>
      </c>
      <c r="O10" s="81">
        <v>13430624.329873979</v>
      </c>
      <c r="P10" s="84">
        <f t="shared" ref="P10:P73" si="5">O10-N10</f>
        <v>731842.60820327885</v>
      </c>
      <c r="Q10" s="79">
        <v>1</v>
      </c>
      <c r="R10" s="80" t="s">
        <v>43</v>
      </c>
      <c r="S10" s="81">
        <v>1068987.01</v>
      </c>
      <c r="T10" s="85">
        <v>1111161.94</v>
      </c>
      <c r="U10" s="81">
        <v>1191566.8600000001</v>
      </c>
      <c r="V10" s="81">
        <v>1759973.91</v>
      </c>
      <c r="W10" s="81">
        <v>1923867.59</v>
      </c>
      <c r="X10" s="81">
        <v>2052157.8800000001</v>
      </c>
      <c r="Y10" s="81">
        <f>X10-W10</f>
        <v>128290.29000000004</v>
      </c>
      <c r="Z10" s="83">
        <f>Y10/W10%</f>
        <v>6.6683534078351006</v>
      </c>
      <c r="AA10" s="69"/>
      <c r="AB10" s="83">
        <v>1</v>
      </c>
      <c r="AC10" s="86" t="s">
        <v>43</v>
      </c>
      <c r="AD10" s="87">
        <v>42</v>
      </c>
      <c r="AE10" s="81">
        <v>40</v>
      </c>
      <c r="AF10" s="81">
        <f t="shared" si="4"/>
        <v>-2</v>
      </c>
      <c r="AG10" s="69"/>
      <c r="AH10" s="79">
        <v>1</v>
      </c>
      <c r="AI10" s="80" t="s">
        <v>43</v>
      </c>
      <c r="AJ10" s="79">
        <v>0.38862400000000002</v>
      </c>
      <c r="AK10" s="79">
        <v>0.38665899999999997</v>
      </c>
      <c r="AL10" s="79">
        <v>0.38848199999999999</v>
      </c>
      <c r="AM10" s="103">
        <v>0.39207423795976631</v>
      </c>
      <c r="AN10" s="739">
        <f>AM10-AL10</f>
        <v>3.5922379597663201E-3</v>
      </c>
      <c r="AO10" s="83">
        <f t="shared" ref="AO10:AO41" si="6">AN10/AJ10%</f>
        <v>0.92434794551193944</v>
      </c>
    </row>
    <row r="11" spans="1:41" x14ac:dyDescent="0.2">
      <c r="A11" s="79">
        <v>2</v>
      </c>
      <c r="B11" s="80" t="s">
        <v>46</v>
      </c>
      <c r="C11" s="81">
        <v>15241</v>
      </c>
      <c r="D11" s="82">
        <v>14754</v>
      </c>
      <c r="E11" s="82">
        <f t="shared" si="0"/>
        <v>-487</v>
      </c>
      <c r="F11" s="83">
        <f t="shared" si="1"/>
        <v>-3.1953283905255563</v>
      </c>
      <c r="G11" s="69"/>
      <c r="H11" s="79">
        <v>2</v>
      </c>
      <c r="I11" s="80" t="s">
        <v>46</v>
      </c>
      <c r="J11" s="81">
        <v>37446832</v>
      </c>
      <c r="K11" s="81">
        <v>39181568</v>
      </c>
      <c r="L11" s="81">
        <v>38107410.285552703</v>
      </c>
      <c r="M11" s="81">
        <v>38122300</v>
      </c>
      <c r="N11" s="81">
        <v>42464045.900965102</v>
      </c>
      <c r="O11" s="81">
        <v>44911288.383603573</v>
      </c>
      <c r="P11" s="84">
        <f t="shared" si="5"/>
        <v>2447242.4826384708</v>
      </c>
      <c r="Q11" s="79">
        <v>2</v>
      </c>
      <c r="R11" s="80" t="s">
        <v>46</v>
      </c>
      <c r="S11" s="81">
        <v>1718367.71</v>
      </c>
      <c r="T11" s="85">
        <v>1643368.63</v>
      </c>
      <c r="U11" s="81">
        <v>1377812.9</v>
      </c>
      <c r="V11" s="81">
        <v>1164128.22</v>
      </c>
      <c r="W11" s="81">
        <v>963505.75</v>
      </c>
      <c r="X11" s="81">
        <v>1540175.7399999998</v>
      </c>
      <c r="Y11" s="81">
        <f t="shared" ref="Y11:Y74" si="7">X11-W11</f>
        <v>576669.98999999976</v>
      </c>
      <c r="Z11" s="83">
        <f t="shared" ref="Z11:Z74" si="8">Y11/W11%</f>
        <v>59.851224551591905</v>
      </c>
      <c r="AA11" s="69"/>
      <c r="AB11" s="83">
        <v>2</v>
      </c>
      <c r="AC11" s="86" t="s">
        <v>46</v>
      </c>
      <c r="AD11" s="87">
        <v>172</v>
      </c>
      <c r="AE11" s="81">
        <v>133</v>
      </c>
      <c r="AF11" s="81">
        <f t="shared" si="4"/>
        <v>-39</v>
      </c>
      <c r="AG11" s="69"/>
      <c r="AH11" s="79">
        <v>2</v>
      </c>
      <c r="AI11" s="80" t="s">
        <v>46</v>
      </c>
      <c r="AJ11" s="79">
        <v>1.376765</v>
      </c>
      <c r="AK11" s="79">
        <v>1.33535</v>
      </c>
      <c r="AL11" s="79">
        <v>1.2990630000000001</v>
      </c>
      <c r="AM11" s="103">
        <v>1.2644735763081216</v>
      </c>
      <c r="AN11" s="739">
        <f t="shared" ref="AN11:AN41" si="9">AK11-AJ11</f>
        <v>-4.141499999999998E-2</v>
      </c>
      <c r="AO11" s="83">
        <f t="shared" si="6"/>
        <v>-3.0081386438498932</v>
      </c>
    </row>
    <row r="12" spans="1:41" x14ac:dyDescent="0.2">
      <c r="A12" s="79">
        <v>3</v>
      </c>
      <c r="B12" s="80" t="s">
        <v>49</v>
      </c>
      <c r="C12" s="81">
        <v>21651</v>
      </c>
      <c r="D12" s="82">
        <v>23000</v>
      </c>
      <c r="E12" s="82">
        <f t="shared" si="0"/>
        <v>1349</v>
      </c>
      <c r="F12" s="83">
        <f t="shared" si="1"/>
        <v>6.2306590919588016</v>
      </c>
      <c r="G12" s="69"/>
      <c r="H12" s="79">
        <v>3</v>
      </c>
      <c r="I12" s="80" t="s">
        <v>49</v>
      </c>
      <c r="J12" s="81">
        <v>16097777</v>
      </c>
      <c r="K12" s="81">
        <v>17129397</v>
      </c>
      <c r="L12" s="81">
        <v>16919117.520366699</v>
      </c>
      <c r="M12" s="81">
        <v>17381551</v>
      </c>
      <c r="N12" s="81">
        <v>20071869.297354002</v>
      </c>
      <c r="O12" s="81">
        <v>21228629.803995602</v>
      </c>
      <c r="P12" s="84">
        <f t="shared" si="5"/>
        <v>1156760.5066416003</v>
      </c>
      <c r="Q12" s="79">
        <v>3</v>
      </c>
      <c r="R12" s="80" t="s">
        <v>49</v>
      </c>
      <c r="S12" s="81">
        <v>2127292.62</v>
      </c>
      <c r="T12" s="85">
        <v>2163561.9900000002</v>
      </c>
      <c r="U12" s="81">
        <v>2265429.0699999998</v>
      </c>
      <c r="V12" s="81">
        <v>3183752.27</v>
      </c>
      <c r="W12" s="81">
        <v>2561267.9500000002</v>
      </c>
      <c r="X12" s="81">
        <v>2638586.3200000003</v>
      </c>
      <c r="Y12" s="81">
        <f t="shared" si="7"/>
        <v>77318.370000000112</v>
      </c>
      <c r="Z12" s="83">
        <f t="shared" si="8"/>
        <v>3.0187536606624898</v>
      </c>
      <c r="AA12" s="69"/>
      <c r="AB12" s="83">
        <v>3</v>
      </c>
      <c r="AC12" s="86" t="s">
        <v>49</v>
      </c>
      <c r="AD12" s="87">
        <v>46</v>
      </c>
      <c r="AE12" s="81">
        <v>47</v>
      </c>
      <c r="AF12" s="81">
        <f t="shared" si="4"/>
        <v>1</v>
      </c>
      <c r="AG12" s="69"/>
      <c r="AH12" s="79">
        <v>3</v>
      </c>
      <c r="AI12" s="80" t="s">
        <v>49</v>
      </c>
      <c r="AJ12" s="79">
        <v>0.61197999999999997</v>
      </c>
      <c r="AK12" s="79">
        <v>0.61013099999999998</v>
      </c>
      <c r="AL12" s="79">
        <v>0.61404000000000003</v>
      </c>
      <c r="AM12" s="103">
        <v>0.61514757675811527</v>
      </c>
      <c r="AN12" s="739">
        <f t="shared" si="9"/>
        <v>-1.8489999999999895E-3</v>
      </c>
      <c r="AO12" s="83">
        <f t="shared" si="6"/>
        <v>-0.30213405666851689</v>
      </c>
    </row>
    <row r="13" spans="1:41" x14ac:dyDescent="0.2">
      <c r="A13" s="79">
        <v>4</v>
      </c>
      <c r="B13" s="80" t="s">
        <v>52</v>
      </c>
      <c r="C13" s="81">
        <v>15193</v>
      </c>
      <c r="D13" s="82">
        <v>14943</v>
      </c>
      <c r="E13" s="82">
        <f t="shared" si="0"/>
        <v>-250</v>
      </c>
      <c r="F13" s="83">
        <f t="shared" si="1"/>
        <v>-1.6454946356874876</v>
      </c>
      <c r="G13" s="69"/>
      <c r="H13" s="79">
        <v>4</v>
      </c>
      <c r="I13" s="80" t="s">
        <v>52</v>
      </c>
      <c r="J13" s="81">
        <v>9795299</v>
      </c>
      <c r="K13" s="81">
        <v>10561037</v>
      </c>
      <c r="L13" s="81">
        <v>10554563.026108701</v>
      </c>
      <c r="M13" s="81">
        <v>10897869</v>
      </c>
      <c r="N13" s="81">
        <v>12610196.6689122</v>
      </c>
      <c r="O13" s="81">
        <v>13336934.038087081</v>
      </c>
      <c r="P13" s="84">
        <f t="shared" si="5"/>
        <v>726737.36917488091</v>
      </c>
      <c r="Q13" s="79">
        <v>4</v>
      </c>
      <c r="R13" s="80" t="s">
        <v>52</v>
      </c>
      <c r="S13" s="81">
        <v>1630312.2</v>
      </c>
      <c r="T13" s="85">
        <v>1675232.04</v>
      </c>
      <c r="U13" s="81">
        <v>1707884.22</v>
      </c>
      <c r="V13" s="81">
        <v>2107590.19</v>
      </c>
      <c r="W13" s="81">
        <v>2233773.6</v>
      </c>
      <c r="X13" s="81">
        <v>2390533.16</v>
      </c>
      <c r="Y13" s="81">
        <f t="shared" si="7"/>
        <v>156759.56000000006</v>
      </c>
      <c r="Z13" s="83">
        <f t="shared" si="8"/>
        <v>7.0177013462778879</v>
      </c>
      <c r="AA13" s="69"/>
      <c r="AB13" s="83">
        <v>4</v>
      </c>
      <c r="AC13" s="86" t="s">
        <v>52</v>
      </c>
      <c r="AD13" s="87">
        <v>29</v>
      </c>
      <c r="AE13" s="81">
        <v>29</v>
      </c>
      <c r="AF13" s="81">
        <f t="shared" si="4"/>
        <v>0</v>
      </c>
      <c r="AG13" s="69"/>
      <c r="AH13" s="79">
        <v>4</v>
      </c>
      <c r="AI13" s="80" t="s">
        <v>52</v>
      </c>
      <c r="AJ13" s="79">
        <v>0.38210300000000003</v>
      </c>
      <c r="AK13" s="79">
        <v>0.38267000000000001</v>
      </c>
      <c r="AL13" s="79">
        <v>0.385772</v>
      </c>
      <c r="AM13" s="103">
        <v>0.39059622354297718</v>
      </c>
      <c r="AN13" s="739">
        <f t="shared" si="9"/>
        <v>5.6699999999998418E-4</v>
      </c>
      <c r="AO13" s="83">
        <f t="shared" si="6"/>
        <v>0.14838930864190653</v>
      </c>
    </row>
    <row r="14" spans="1:41" x14ac:dyDescent="0.2">
      <c r="A14" s="79">
        <v>5</v>
      </c>
      <c r="B14" s="80" t="s">
        <v>54</v>
      </c>
      <c r="C14" s="81">
        <v>11120</v>
      </c>
      <c r="D14" s="82">
        <v>10892</v>
      </c>
      <c r="E14" s="82">
        <f t="shared" si="0"/>
        <v>-228</v>
      </c>
      <c r="F14" s="83">
        <f t="shared" si="1"/>
        <v>-2.050359712230216</v>
      </c>
      <c r="G14" s="69"/>
      <c r="H14" s="79">
        <v>5</v>
      </c>
      <c r="I14" s="80" t="s">
        <v>54</v>
      </c>
      <c r="J14" s="81">
        <v>10194880</v>
      </c>
      <c r="K14" s="81">
        <v>11085754</v>
      </c>
      <c r="L14" s="81">
        <v>11146679.119785801</v>
      </c>
      <c r="M14" s="81">
        <v>11538640</v>
      </c>
      <c r="N14" s="81">
        <v>13346498.629571</v>
      </c>
      <c r="O14" s="81">
        <v>14115669.76594683</v>
      </c>
      <c r="P14" s="84">
        <f t="shared" si="5"/>
        <v>769171.13637582958</v>
      </c>
      <c r="Q14" s="79">
        <v>5</v>
      </c>
      <c r="R14" s="80" t="s">
        <v>54</v>
      </c>
      <c r="S14" s="81">
        <v>736788.65</v>
      </c>
      <c r="T14" s="85">
        <v>666585.75</v>
      </c>
      <c r="U14" s="81">
        <v>676497.74</v>
      </c>
      <c r="V14" s="81">
        <v>934597.3</v>
      </c>
      <c r="W14" s="81">
        <v>1147337.94</v>
      </c>
      <c r="X14" s="81">
        <v>1225055.4000000001</v>
      </c>
      <c r="Y14" s="81">
        <f t="shared" si="7"/>
        <v>77717.460000000196</v>
      </c>
      <c r="Z14" s="83">
        <f t="shared" si="8"/>
        <v>6.7737200427626574</v>
      </c>
      <c r="AA14" s="69"/>
      <c r="AB14" s="83">
        <v>5</v>
      </c>
      <c r="AC14" s="86" t="s">
        <v>54</v>
      </c>
      <c r="AD14" s="87">
        <v>22</v>
      </c>
      <c r="AE14" s="81">
        <v>22</v>
      </c>
      <c r="AF14" s="81">
        <f t="shared" si="4"/>
        <v>0</v>
      </c>
      <c r="AG14" s="69"/>
      <c r="AH14" s="79">
        <v>5</v>
      </c>
      <c r="AI14" s="80" t="s">
        <v>54</v>
      </c>
      <c r="AJ14" s="79">
        <v>0.40371899999999999</v>
      </c>
      <c r="AK14" s="79">
        <v>0.40523900000000002</v>
      </c>
      <c r="AL14" s="79">
        <v>0.40829700000000002</v>
      </c>
      <c r="AM14" s="103">
        <v>0.41299698062022722</v>
      </c>
      <c r="AN14" s="739">
        <f t="shared" si="9"/>
        <v>1.5200000000000213E-3</v>
      </c>
      <c r="AO14" s="83">
        <f t="shared" si="6"/>
        <v>0.37649949593653542</v>
      </c>
    </row>
    <row r="15" spans="1:41" x14ac:dyDescent="0.2">
      <c r="A15" s="79">
        <v>6</v>
      </c>
      <c r="B15" s="80" t="s">
        <v>57</v>
      </c>
      <c r="C15" s="81">
        <v>128250</v>
      </c>
      <c r="D15" s="82">
        <v>126191</v>
      </c>
      <c r="E15" s="82">
        <f t="shared" si="0"/>
        <v>-2059</v>
      </c>
      <c r="F15" s="83">
        <f t="shared" si="1"/>
        <v>-1.6054580896686159</v>
      </c>
      <c r="G15" s="69"/>
      <c r="H15" s="79">
        <v>6</v>
      </c>
      <c r="I15" s="80" t="s">
        <v>57</v>
      </c>
      <c r="J15" s="81">
        <v>61251251</v>
      </c>
      <c r="K15" s="81">
        <v>66268717</v>
      </c>
      <c r="L15" s="81">
        <v>66361406.320134699</v>
      </c>
      <c r="M15" s="81">
        <v>68362088</v>
      </c>
      <c r="N15" s="81">
        <v>77093642.811252907</v>
      </c>
      <c r="O15" s="81">
        <v>81536621.190399066</v>
      </c>
      <c r="P15" s="84">
        <f t="shared" si="5"/>
        <v>4442978.3791461587</v>
      </c>
      <c r="Q15" s="79">
        <v>6</v>
      </c>
      <c r="R15" s="80" t="s">
        <v>57</v>
      </c>
      <c r="S15" s="81">
        <v>23009083.559999999</v>
      </c>
      <c r="T15" s="85">
        <v>23321009.899999999</v>
      </c>
      <c r="U15" s="81">
        <v>24679906.879999999</v>
      </c>
      <c r="V15" s="81">
        <v>17462869.739999998</v>
      </c>
      <c r="W15" s="81">
        <v>13902263.199999999</v>
      </c>
      <c r="X15" s="81">
        <v>15867038.970000001</v>
      </c>
      <c r="Y15" s="81">
        <f t="shared" si="7"/>
        <v>1964775.7700000014</v>
      </c>
      <c r="Z15" s="83">
        <f t="shared" si="8"/>
        <v>14.132776381330499</v>
      </c>
      <c r="AA15" s="69"/>
      <c r="AB15" s="83">
        <v>6</v>
      </c>
      <c r="AC15" s="86" t="s">
        <v>57</v>
      </c>
      <c r="AD15" s="87">
        <v>211</v>
      </c>
      <c r="AE15" s="81">
        <v>168</v>
      </c>
      <c r="AF15" s="81">
        <f t="shared" si="4"/>
        <v>-43</v>
      </c>
      <c r="AG15" s="69"/>
      <c r="AH15" s="79">
        <v>6</v>
      </c>
      <c r="AI15" s="80" t="s">
        <v>57</v>
      </c>
      <c r="AJ15" s="79">
        <v>2.4028040000000002</v>
      </c>
      <c r="AK15" s="79">
        <v>2.3999990000000002</v>
      </c>
      <c r="AL15" s="79">
        <v>2.3584540000000001</v>
      </c>
      <c r="AM15" s="103">
        <v>2.3097483308261153</v>
      </c>
      <c r="AN15" s="739">
        <f t="shared" si="9"/>
        <v>-2.8049999999999464E-3</v>
      </c>
      <c r="AO15" s="83">
        <f t="shared" si="6"/>
        <v>-0.11673861039019189</v>
      </c>
    </row>
    <row r="16" spans="1:41" x14ac:dyDescent="0.2">
      <c r="A16" s="79">
        <v>7</v>
      </c>
      <c r="B16" s="80" t="s">
        <v>44</v>
      </c>
      <c r="C16" s="81">
        <v>3218</v>
      </c>
      <c r="D16" s="82">
        <v>3529</v>
      </c>
      <c r="E16" s="82">
        <f t="shared" si="0"/>
        <v>311</v>
      </c>
      <c r="F16" s="83">
        <f t="shared" si="1"/>
        <v>9.6643878185208205</v>
      </c>
      <c r="G16" s="69"/>
      <c r="H16" s="79">
        <v>7</v>
      </c>
      <c r="I16" s="80" t="s">
        <v>44</v>
      </c>
      <c r="J16" s="81">
        <v>14391741</v>
      </c>
      <c r="K16" s="81">
        <v>14144945</v>
      </c>
      <c r="L16" s="81">
        <v>12948163.1794705</v>
      </c>
      <c r="M16" s="81">
        <v>12377753</v>
      </c>
      <c r="N16" s="81">
        <v>13169949.600069599</v>
      </c>
      <c r="O16" s="81">
        <v>13928946.05157744</v>
      </c>
      <c r="P16" s="84">
        <f t="shared" si="5"/>
        <v>758996.45150784031</v>
      </c>
      <c r="Q16" s="79">
        <v>7</v>
      </c>
      <c r="R16" s="80" t="s">
        <v>44</v>
      </c>
      <c r="S16" s="81">
        <v>329423.44</v>
      </c>
      <c r="T16" s="85">
        <v>336181.16</v>
      </c>
      <c r="U16" s="81">
        <v>369065.7</v>
      </c>
      <c r="V16" s="81">
        <v>398275.28</v>
      </c>
      <c r="W16" s="81">
        <v>489946.42</v>
      </c>
      <c r="X16" s="81">
        <v>548759.91999999993</v>
      </c>
      <c r="Y16" s="81">
        <f t="shared" si="7"/>
        <v>58813.499999999942</v>
      </c>
      <c r="Z16" s="83">
        <f t="shared" si="8"/>
        <v>12.004067710097759</v>
      </c>
      <c r="AA16" s="69"/>
      <c r="AB16" s="83">
        <v>7</v>
      </c>
      <c r="AC16" s="86" t="s">
        <v>44</v>
      </c>
      <c r="AD16" s="88">
        <v>11</v>
      </c>
      <c r="AE16" s="81">
        <v>13</v>
      </c>
      <c r="AF16" s="81">
        <f t="shared" si="4"/>
        <v>2</v>
      </c>
      <c r="AG16" s="69"/>
      <c r="AH16" s="79">
        <v>7</v>
      </c>
      <c r="AI16" s="80" t="s">
        <v>44</v>
      </c>
      <c r="AJ16" s="79">
        <v>0.46556399999999998</v>
      </c>
      <c r="AK16" s="79">
        <v>0.43204999999999999</v>
      </c>
      <c r="AL16" s="79">
        <v>0.40289599999999998</v>
      </c>
      <c r="AM16" s="103">
        <v>0.37642147009625965</v>
      </c>
      <c r="AN16" s="739">
        <f t="shared" si="9"/>
        <v>-3.3513999999999988E-2</v>
      </c>
      <c r="AO16" s="83">
        <f t="shared" si="6"/>
        <v>-7.1985806462698978</v>
      </c>
    </row>
    <row r="17" spans="1:41" x14ac:dyDescent="0.2">
      <c r="A17" s="79">
        <v>8</v>
      </c>
      <c r="B17" s="80" t="s">
        <v>59</v>
      </c>
      <c r="C17" s="81">
        <v>24864</v>
      </c>
      <c r="D17" s="82">
        <v>24676</v>
      </c>
      <c r="E17" s="82">
        <f t="shared" si="0"/>
        <v>-188</v>
      </c>
      <c r="F17" s="83">
        <f t="shared" si="1"/>
        <v>-0.75611325611325619</v>
      </c>
      <c r="G17" s="69"/>
      <c r="H17" s="79">
        <v>8</v>
      </c>
      <c r="I17" s="80" t="s">
        <v>59</v>
      </c>
      <c r="J17" s="81">
        <v>62705853</v>
      </c>
      <c r="K17" s="81">
        <v>67096938</v>
      </c>
      <c r="L17" s="81">
        <v>66604198.670240298</v>
      </c>
      <c r="M17" s="81">
        <v>68180843</v>
      </c>
      <c r="N17" s="81">
        <v>77754696.509384006</v>
      </c>
      <c r="O17" s="81">
        <v>82235772.028335035</v>
      </c>
      <c r="P17" s="84">
        <f t="shared" si="5"/>
        <v>4481075.5189510286</v>
      </c>
      <c r="Q17" s="79">
        <v>8</v>
      </c>
      <c r="R17" s="80" t="s">
        <v>59</v>
      </c>
      <c r="S17" s="81">
        <v>1897717.64</v>
      </c>
      <c r="T17" s="85">
        <v>1852844.76</v>
      </c>
      <c r="U17" s="81">
        <v>1925083.01</v>
      </c>
      <c r="V17" s="81">
        <v>2005282.59</v>
      </c>
      <c r="W17" s="81">
        <v>1990445.73</v>
      </c>
      <c r="X17" s="81">
        <v>2166752.77</v>
      </c>
      <c r="Y17" s="81">
        <f t="shared" si="7"/>
        <v>176307.04000000004</v>
      </c>
      <c r="Z17" s="83">
        <f t="shared" si="8"/>
        <v>8.857666267545012</v>
      </c>
      <c r="AA17" s="69"/>
      <c r="AB17" s="83">
        <v>8</v>
      </c>
      <c r="AC17" s="86" t="s">
        <v>59</v>
      </c>
      <c r="AD17" s="87">
        <v>481</v>
      </c>
      <c r="AE17" s="81">
        <v>418</v>
      </c>
      <c r="AF17" s="81">
        <f t="shared" si="4"/>
        <v>-63</v>
      </c>
      <c r="AG17" s="69"/>
      <c r="AH17" s="79">
        <v>8</v>
      </c>
      <c r="AI17" s="80" t="s">
        <v>59</v>
      </c>
      <c r="AJ17" s="79">
        <v>2.41004</v>
      </c>
      <c r="AK17" s="79">
        <v>2.392522</v>
      </c>
      <c r="AL17" s="79">
        <v>2.3786770000000002</v>
      </c>
      <c r="AM17" s="103">
        <v>2.3667245247727999</v>
      </c>
      <c r="AN17" s="739">
        <f t="shared" si="9"/>
        <v>-1.7517999999999923E-2</v>
      </c>
      <c r="AO17" s="83">
        <f t="shared" si="6"/>
        <v>-0.72687590247464451</v>
      </c>
    </row>
    <row r="18" spans="1:41" x14ac:dyDescent="0.2">
      <c r="A18" s="79">
        <v>9</v>
      </c>
      <c r="B18" s="80" t="s">
        <v>62</v>
      </c>
      <c r="C18" s="81">
        <v>36549</v>
      </c>
      <c r="D18" s="82">
        <v>36268</v>
      </c>
      <c r="E18" s="82">
        <f t="shared" si="0"/>
        <v>-281</v>
      </c>
      <c r="F18" s="83">
        <f t="shared" si="1"/>
        <v>-0.76883088456592519</v>
      </c>
      <c r="G18" s="69"/>
      <c r="H18" s="79">
        <v>9</v>
      </c>
      <c r="I18" s="80" t="s">
        <v>62</v>
      </c>
      <c r="J18" s="81">
        <v>22853840</v>
      </c>
      <c r="K18" s="81">
        <v>24787981</v>
      </c>
      <c r="L18" s="81">
        <v>24934887.888539799</v>
      </c>
      <c r="M18" s="81">
        <v>25786412</v>
      </c>
      <c r="N18" s="81">
        <v>29952894.5124433</v>
      </c>
      <c r="O18" s="81">
        <v>31679107.69758819</v>
      </c>
      <c r="P18" s="84">
        <f t="shared" si="5"/>
        <v>1726213.1851448901</v>
      </c>
      <c r="Q18" s="79">
        <v>9</v>
      </c>
      <c r="R18" s="80" t="s">
        <v>62</v>
      </c>
      <c r="S18" s="81">
        <v>3960343.88</v>
      </c>
      <c r="T18" s="85">
        <v>4284521.43</v>
      </c>
      <c r="U18" s="81">
        <v>4580118.9800000004</v>
      </c>
      <c r="V18" s="81">
        <v>5886552.4900000002</v>
      </c>
      <c r="W18" s="81">
        <v>4779271.92</v>
      </c>
      <c r="X18" s="81">
        <v>5160552.5199999996</v>
      </c>
      <c r="Y18" s="81">
        <f t="shared" si="7"/>
        <v>381280.59999999963</v>
      </c>
      <c r="Z18" s="83">
        <f t="shared" si="8"/>
        <v>7.9777967519370527</v>
      </c>
      <c r="AA18" s="69"/>
      <c r="AB18" s="83">
        <v>9</v>
      </c>
      <c r="AC18" s="86" t="s">
        <v>62</v>
      </c>
      <c r="AD18" s="87">
        <v>135</v>
      </c>
      <c r="AE18" s="81">
        <v>113</v>
      </c>
      <c r="AF18" s="81">
        <f t="shared" si="4"/>
        <v>-22</v>
      </c>
      <c r="AG18" s="69"/>
      <c r="AH18" s="79">
        <v>9</v>
      </c>
      <c r="AI18" s="80" t="s">
        <v>62</v>
      </c>
      <c r="AJ18" s="79">
        <v>0.90315500000000004</v>
      </c>
      <c r="AK18" s="79">
        <v>0.90554900000000005</v>
      </c>
      <c r="AL18" s="79">
        <v>0.91632100000000005</v>
      </c>
      <c r="AM18" s="103">
        <v>0.92208956287445809</v>
      </c>
      <c r="AN18" s="739">
        <f t="shared" si="9"/>
        <v>2.3940000000000072E-3</v>
      </c>
      <c r="AO18" s="83">
        <f t="shared" si="6"/>
        <v>0.26507077965576309</v>
      </c>
    </row>
    <row r="19" spans="1:41" x14ac:dyDescent="0.2">
      <c r="A19" s="79">
        <v>10</v>
      </c>
      <c r="B19" s="80" t="s">
        <v>64</v>
      </c>
      <c r="C19" s="81">
        <v>22138</v>
      </c>
      <c r="D19" s="82">
        <v>20332</v>
      </c>
      <c r="E19" s="82">
        <f t="shared" si="0"/>
        <v>-1806</v>
      </c>
      <c r="F19" s="83">
        <f t="shared" si="1"/>
        <v>-8.1579185111572858</v>
      </c>
      <c r="G19" s="69"/>
      <c r="H19" s="79">
        <v>10</v>
      </c>
      <c r="I19" s="80" t="s">
        <v>64</v>
      </c>
      <c r="J19" s="81">
        <v>66286600</v>
      </c>
      <c r="K19" s="81">
        <v>71296722</v>
      </c>
      <c r="L19" s="81">
        <v>71115697.987146497</v>
      </c>
      <c r="M19" s="81">
        <v>73196973</v>
      </c>
      <c r="N19" s="81">
        <v>83965097.095559105</v>
      </c>
      <c r="O19" s="81">
        <v>88804083.779737741</v>
      </c>
      <c r="P19" s="84">
        <f t="shared" si="5"/>
        <v>4838986.6841786355</v>
      </c>
      <c r="Q19" s="79">
        <v>10</v>
      </c>
      <c r="R19" s="80" t="s">
        <v>64</v>
      </c>
      <c r="S19" s="81">
        <v>2244630.9500000002</v>
      </c>
      <c r="T19" s="85">
        <v>2336696.65</v>
      </c>
      <c r="U19" s="81">
        <v>2403730.9</v>
      </c>
      <c r="V19" s="81">
        <v>2783554.63</v>
      </c>
      <c r="W19" s="81">
        <v>3011169.63</v>
      </c>
      <c r="X19" s="81">
        <v>3282129.2100000004</v>
      </c>
      <c r="Y19" s="81">
        <f t="shared" si="7"/>
        <v>270959.58000000054</v>
      </c>
      <c r="Z19" s="83">
        <f t="shared" si="8"/>
        <v>8.9984827590068566</v>
      </c>
      <c r="AA19" s="69"/>
      <c r="AB19" s="83">
        <v>10</v>
      </c>
      <c r="AC19" s="86" t="s">
        <v>64</v>
      </c>
      <c r="AD19" s="87">
        <v>380</v>
      </c>
      <c r="AE19" s="81">
        <v>333</v>
      </c>
      <c r="AF19" s="81">
        <f t="shared" si="4"/>
        <v>-47</v>
      </c>
      <c r="AG19" s="69"/>
      <c r="AH19" s="79">
        <v>10</v>
      </c>
      <c r="AI19" s="80" t="s">
        <v>64</v>
      </c>
      <c r="AJ19" s="79">
        <v>2.57422</v>
      </c>
      <c r="AK19" s="79">
        <v>2.569617</v>
      </c>
      <c r="AL19" s="79">
        <v>2.5686659999999999</v>
      </c>
      <c r="AM19" s="103">
        <v>2.57073710987288</v>
      </c>
      <c r="AN19" s="739">
        <f t="shared" si="9"/>
        <v>-4.6029999999999127E-3</v>
      </c>
      <c r="AO19" s="83">
        <f t="shared" si="6"/>
        <v>-0.17881144579717012</v>
      </c>
    </row>
    <row r="20" spans="1:41" x14ac:dyDescent="0.2">
      <c r="A20" s="79">
        <v>11</v>
      </c>
      <c r="B20" s="80" t="s">
        <v>67</v>
      </c>
      <c r="C20" s="81">
        <v>11328</v>
      </c>
      <c r="D20" s="82">
        <v>11681</v>
      </c>
      <c r="E20" s="82">
        <f t="shared" si="0"/>
        <v>353</v>
      </c>
      <c r="F20" s="83">
        <f t="shared" si="1"/>
        <v>3.1161723163841808</v>
      </c>
      <c r="G20" s="69"/>
      <c r="H20" s="79">
        <v>11</v>
      </c>
      <c r="I20" s="80" t="s">
        <v>67</v>
      </c>
      <c r="J20" s="81">
        <v>13039813</v>
      </c>
      <c r="K20" s="81">
        <v>13801331</v>
      </c>
      <c r="L20" s="81">
        <v>13583171.933170401</v>
      </c>
      <c r="M20" s="81">
        <v>13851265</v>
      </c>
      <c r="N20" s="81">
        <v>15817858.1604764</v>
      </c>
      <c r="O20" s="81">
        <v>16729456.046484392</v>
      </c>
      <c r="P20" s="84">
        <f t="shared" si="5"/>
        <v>911597.88600799255</v>
      </c>
      <c r="Q20" s="79">
        <v>11</v>
      </c>
      <c r="R20" s="80" t="s">
        <v>67</v>
      </c>
      <c r="S20" s="81">
        <v>939804.97</v>
      </c>
      <c r="T20" s="85">
        <v>1078384.6200000001</v>
      </c>
      <c r="U20" s="81">
        <v>1114997.0900000001</v>
      </c>
      <c r="V20" s="81">
        <v>1523736.99</v>
      </c>
      <c r="W20" s="81">
        <v>1149150.8600000001</v>
      </c>
      <c r="X20" s="81">
        <v>1443598.9</v>
      </c>
      <c r="Y20" s="81">
        <f t="shared" si="7"/>
        <v>294448.0399999998</v>
      </c>
      <c r="Z20" s="83">
        <f t="shared" si="8"/>
        <v>25.623097040539985</v>
      </c>
      <c r="AA20" s="69"/>
      <c r="AB20" s="83">
        <v>11</v>
      </c>
      <c r="AC20" s="86" t="s">
        <v>67</v>
      </c>
      <c r="AD20" s="87">
        <v>7</v>
      </c>
      <c r="AE20" s="81">
        <v>7</v>
      </c>
      <c r="AF20" s="81">
        <f t="shared" si="4"/>
        <v>0</v>
      </c>
      <c r="AG20" s="69"/>
      <c r="AH20" s="79">
        <v>11</v>
      </c>
      <c r="AI20" s="80" t="s">
        <v>67</v>
      </c>
      <c r="AJ20" s="79">
        <v>0.491203</v>
      </c>
      <c r="AK20" s="79">
        <v>0.48592200000000002</v>
      </c>
      <c r="AL20" s="79">
        <v>0.48390100000000003</v>
      </c>
      <c r="AM20" s="103">
        <v>0.48028539240409568</v>
      </c>
      <c r="AN20" s="739">
        <f t="shared" si="9"/>
        <v>-5.2809999999999802E-3</v>
      </c>
      <c r="AO20" s="83">
        <f t="shared" si="6"/>
        <v>-1.0751155835774577</v>
      </c>
    </row>
    <row r="21" spans="1:41" x14ac:dyDescent="0.2">
      <c r="A21" s="79">
        <v>12</v>
      </c>
      <c r="B21" s="80" t="s">
        <v>70</v>
      </c>
      <c r="C21" s="81">
        <v>47498</v>
      </c>
      <c r="D21" s="82">
        <v>45538</v>
      </c>
      <c r="E21" s="82">
        <f t="shared" si="0"/>
        <v>-1960</v>
      </c>
      <c r="F21" s="83">
        <f t="shared" si="1"/>
        <v>-4.1264895364015324</v>
      </c>
      <c r="G21" s="69"/>
      <c r="H21" s="79">
        <v>12</v>
      </c>
      <c r="I21" s="80" t="s">
        <v>70</v>
      </c>
      <c r="J21" s="81">
        <v>26513150</v>
      </c>
      <c r="K21" s="81">
        <v>28461359</v>
      </c>
      <c r="L21" s="81">
        <v>28296529.723433498</v>
      </c>
      <c r="M21" s="81">
        <v>29215498</v>
      </c>
      <c r="N21" s="81">
        <v>33533561.183722299</v>
      </c>
      <c r="O21" s="81">
        <v>35466131.521328792</v>
      </c>
      <c r="P21" s="84">
        <f t="shared" si="5"/>
        <v>1932570.3376064934</v>
      </c>
      <c r="Q21" s="79">
        <v>12</v>
      </c>
      <c r="R21" s="80" t="s">
        <v>70</v>
      </c>
      <c r="S21" s="81">
        <v>5905205.4299999997</v>
      </c>
      <c r="T21" s="85">
        <v>5834185.1900000004</v>
      </c>
      <c r="U21" s="81">
        <v>6513648.8200000003</v>
      </c>
      <c r="V21" s="81">
        <v>6149038.3799999999</v>
      </c>
      <c r="W21" s="81">
        <v>5007387.0599999996</v>
      </c>
      <c r="X21" s="81">
        <v>5533232.9900000002</v>
      </c>
      <c r="Y21" s="81">
        <f t="shared" si="7"/>
        <v>525845.93000000063</v>
      </c>
      <c r="Z21" s="83">
        <f t="shared" si="8"/>
        <v>10.501403700156558</v>
      </c>
      <c r="AA21" s="69"/>
      <c r="AB21" s="83">
        <v>12</v>
      </c>
      <c r="AC21" s="86" t="s">
        <v>70</v>
      </c>
      <c r="AD21" s="87">
        <v>91</v>
      </c>
      <c r="AE21" s="81">
        <v>92</v>
      </c>
      <c r="AF21" s="81">
        <f t="shared" si="4"/>
        <v>1</v>
      </c>
      <c r="AG21" s="69"/>
      <c r="AH21" s="79">
        <v>12</v>
      </c>
      <c r="AI21" s="80" t="s">
        <v>70</v>
      </c>
      <c r="AJ21" s="79">
        <v>1.0240050000000001</v>
      </c>
      <c r="AK21" s="79">
        <v>1.025908</v>
      </c>
      <c r="AL21" s="79">
        <v>1.0258609999999999</v>
      </c>
      <c r="AM21" s="103">
        <v>1.022205266064389</v>
      </c>
      <c r="AN21" s="739">
        <f t="shared" si="9"/>
        <v>1.902999999999988E-3</v>
      </c>
      <c r="AO21" s="83">
        <f t="shared" si="6"/>
        <v>0.18583893633331749</v>
      </c>
    </row>
    <row r="22" spans="1:41" x14ac:dyDescent="0.2">
      <c r="A22" s="79">
        <v>13</v>
      </c>
      <c r="B22" s="80" t="s">
        <v>73</v>
      </c>
      <c r="C22" s="81">
        <v>9485</v>
      </c>
      <c r="D22" s="82">
        <v>9176</v>
      </c>
      <c r="E22" s="82">
        <f t="shared" si="0"/>
        <v>-309</v>
      </c>
      <c r="F22" s="83">
        <f t="shared" si="1"/>
        <v>-3.2577754348972063</v>
      </c>
      <c r="G22" s="69"/>
      <c r="H22" s="79">
        <v>13</v>
      </c>
      <c r="I22" s="80" t="s">
        <v>73</v>
      </c>
      <c r="J22" s="81">
        <v>26783773</v>
      </c>
      <c r="K22" s="81">
        <v>28344379</v>
      </c>
      <c r="L22" s="81">
        <v>27876559.0968327</v>
      </c>
      <c r="M22" s="81">
        <v>28292043</v>
      </c>
      <c r="N22" s="81">
        <v>31953151.5413725</v>
      </c>
      <c r="O22" s="81">
        <v>33794641.400549069</v>
      </c>
      <c r="P22" s="84">
        <f t="shared" si="5"/>
        <v>1841489.8591765687</v>
      </c>
      <c r="Q22" s="79">
        <v>13</v>
      </c>
      <c r="R22" s="80" t="s">
        <v>73</v>
      </c>
      <c r="S22" s="81">
        <v>775831.08</v>
      </c>
      <c r="T22" s="85">
        <v>853729.9</v>
      </c>
      <c r="U22" s="81">
        <v>1032448.83</v>
      </c>
      <c r="V22" s="81">
        <v>820256.35</v>
      </c>
      <c r="W22" s="81">
        <v>911441.65</v>
      </c>
      <c r="X22" s="81">
        <v>1014984.8899999999</v>
      </c>
      <c r="Y22" s="81">
        <f t="shared" si="7"/>
        <v>103543.23999999987</v>
      </c>
      <c r="Z22" s="83">
        <f t="shared" si="8"/>
        <v>11.36038055754857</v>
      </c>
      <c r="AA22" s="69"/>
      <c r="AB22" s="83">
        <v>13</v>
      </c>
      <c r="AC22" s="86" t="s">
        <v>73</v>
      </c>
      <c r="AD22" s="87">
        <v>176</v>
      </c>
      <c r="AE22" s="81">
        <v>149</v>
      </c>
      <c r="AF22" s="81">
        <f t="shared" si="4"/>
        <v>-27</v>
      </c>
      <c r="AG22" s="69"/>
      <c r="AH22" s="79">
        <v>13</v>
      </c>
      <c r="AI22" s="80" t="s">
        <v>73</v>
      </c>
      <c r="AJ22" s="79">
        <v>1.0080009999999999</v>
      </c>
      <c r="AK22" s="79">
        <v>0.99214100000000005</v>
      </c>
      <c r="AL22" s="79">
        <v>0.97751299999999997</v>
      </c>
      <c r="AM22" s="103">
        <v>0.96496650905328929</v>
      </c>
      <c r="AN22" s="739">
        <f t="shared" si="9"/>
        <v>-1.5859999999999874E-2</v>
      </c>
      <c r="AO22" s="83">
        <f t="shared" si="6"/>
        <v>-1.5734111374889386</v>
      </c>
    </row>
    <row r="23" spans="1:41" x14ac:dyDescent="0.2">
      <c r="A23" s="79">
        <v>14</v>
      </c>
      <c r="B23" s="80" t="s">
        <v>75</v>
      </c>
      <c r="C23" s="81">
        <v>14392</v>
      </c>
      <c r="D23" s="82">
        <v>17022</v>
      </c>
      <c r="E23" s="82">
        <f t="shared" si="0"/>
        <v>2630</v>
      </c>
      <c r="F23" s="83">
        <f t="shared" si="1"/>
        <v>18.274041133963316</v>
      </c>
      <c r="G23" s="69"/>
      <c r="H23" s="79">
        <v>14</v>
      </c>
      <c r="I23" s="80" t="s">
        <v>75</v>
      </c>
      <c r="J23" s="81">
        <v>14938488</v>
      </c>
      <c r="K23" s="81">
        <v>15958365</v>
      </c>
      <c r="L23" s="81">
        <v>15870334.933137501</v>
      </c>
      <c r="M23" s="81">
        <v>16424175</v>
      </c>
      <c r="N23" s="81">
        <v>18793367.975032799</v>
      </c>
      <c r="O23" s="81">
        <v>19876447.260685921</v>
      </c>
      <c r="P23" s="84">
        <f t="shared" si="5"/>
        <v>1083079.2856531218</v>
      </c>
      <c r="Q23" s="79">
        <v>14</v>
      </c>
      <c r="R23" s="80" t="s">
        <v>75</v>
      </c>
      <c r="S23" s="81">
        <v>2562911.7799999998</v>
      </c>
      <c r="T23" s="85">
        <v>2947830.13</v>
      </c>
      <c r="U23" s="81">
        <v>3321769.55</v>
      </c>
      <c r="V23" s="81">
        <v>2610482.1</v>
      </c>
      <c r="W23" s="81">
        <v>1897817.38</v>
      </c>
      <c r="X23" s="81">
        <v>2183620.73</v>
      </c>
      <c r="Y23" s="81">
        <f t="shared" si="7"/>
        <v>285803.35000000009</v>
      </c>
      <c r="Z23" s="83">
        <f t="shared" si="8"/>
        <v>15.059581233258601</v>
      </c>
      <c r="AA23" s="69"/>
      <c r="AB23" s="83">
        <v>14</v>
      </c>
      <c r="AC23" s="86" t="s">
        <v>75</v>
      </c>
      <c r="AD23" s="87">
        <v>73</v>
      </c>
      <c r="AE23" s="81">
        <v>69</v>
      </c>
      <c r="AF23" s="81">
        <f t="shared" si="4"/>
        <v>-4</v>
      </c>
      <c r="AG23" s="69"/>
      <c r="AH23" s="79">
        <v>14</v>
      </c>
      <c r="AI23" s="80" t="s">
        <v>75</v>
      </c>
      <c r="AJ23" s="79">
        <v>0.57435099999999994</v>
      </c>
      <c r="AK23" s="79">
        <v>0.57684599999999997</v>
      </c>
      <c r="AL23" s="79">
        <v>0.57492799999999999</v>
      </c>
      <c r="AM23" s="103">
        <v>0.57035445581699051</v>
      </c>
      <c r="AN23" s="739">
        <f t="shared" si="9"/>
        <v>2.495000000000025E-3</v>
      </c>
      <c r="AO23" s="83">
        <f t="shared" si="6"/>
        <v>0.43440335265369523</v>
      </c>
    </row>
    <row r="24" spans="1:41" x14ac:dyDescent="0.2">
      <c r="A24" s="79">
        <v>15</v>
      </c>
      <c r="B24" s="81" t="s">
        <v>77</v>
      </c>
      <c r="C24" s="81">
        <v>18444</v>
      </c>
      <c r="D24" s="82">
        <v>19633</v>
      </c>
      <c r="E24" s="82">
        <f t="shared" si="0"/>
        <v>1189</v>
      </c>
      <c r="F24" s="83">
        <f t="shared" si="1"/>
        <v>6.4465408805031448</v>
      </c>
      <c r="G24" s="69"/>
      <c r="H24" s="79">
        <v>15</v>
      </c>
      <c r="I24" s="81" t="s">
        <v>77</v>
      </c>
      <c r="J24" s="81">
        <v>66096643</v>
      </c>
      <c r="K24" s="81">
        <v>70493734</v>
      </c>
      <c r="L24" s="81">
        <v>69804005.035709098</v>
      </c>
      <c r="M24" s="81">
        <v>71192519</v>
      </c>
      <c r="N24" s="81">
        <v>80903682.661574796</v>
      </c>
      <c r="O24" s="81">
        <v>85566237.182947293</v>
      </c>
      <c r="P24" s="84">
        <f t="shared" si="5"/>
        <v>4662554.5213724971</v>
      </c>
      <c r="Q24" s="79">
        <v>15</v>
      </c>
      <c r="R24" s="81" t="s">
        <v>77</v>
      </c>
      <c r="S24" s="81">
        <v>2157793.7999999998</v>
      </c>
      <c r="T24" s="85">
        <v>2304168.46</v>
      </c>
      <c r="U24" s="81">
        <v>2316694.7400000002</v>
      </c>
      <c r="V24" s="81">
        <v>2399936.9</v>
      </c>
      <c r="W24" s="81">
        <v>2405786.06</v>
      </c>
      <c r="X24" s="81">
        <v>2411314.9900000002</v>
      </c>
      <c r="Y24" s="81">
        <f t="shared" si="7"/>
        <v>5528.9300000001676</v>
      </c>
      <c r="Z24" s="83">
        <f t="shared" si="8"/>
        <v>0.22981802463350243</v>
      </c>
      <c r="AA24" s="69"/>
      <c r="AB24" s="83">
        <v>15</v>
      </c>
      <c r="AC24" s="81" t="s">
        <v>77</v>
      </c>
      <c r="AD24" s="87">
        <v>413</v>
      </c>
      <c r="AE24" s="81">
        <v>345</v>
      </c>
      <c r="AF24" s="81">
        <f t="shared" si="4"/>
        <v>-68</v>
      </c>
      <c r="AG24" s="69"/>
      <c r="AH24" s="79">
        <v>15</v>
      </c>
      <c r="AI24" s="81" t="s">
        <v>77</v>
      </c>
      <c r="AJ24" s="79">
        <v>2.5253649999999999</v>
      </c>
      <c r="AK24" s="79">
        <v>2.4974780000000001</v>
      </c>
      <c r="AL24" s="79">
        <v>2.4750109999999999</v>
      </c>
      <c r="AM24" s="103">
        <v>2.4553259828234935</v>
      </c>
      <c r="AN24" s="739">
        <f t="shared" si="9"/>
        <v>-2.7886999999999773E-2</v>
      </c>
      <c r="AO24" s="83">
        <f t="shared" si="6"/>
        <v>-1.1042760155462585</v>
      </c>
    </row>
    <row r="25" spans="1:41" x14ac:dyDescent="0.2">
      <c r="A25" s="79">
        <v>16</v>
      </c>
      <c r="B25" s="80" t="s">
        <v>79</v>
      </c>
      <c r="C25" s="81">
        <v>20749</v>
      </c>
      <c r="D25" s="82">
        <v>20965</v>
      </c>
      <c r="E25" s="82">
        <f t="shared" si="0"/>
        <v>216</v>
      </c>
      <c r="F25" s="83">
        <f t="shared" si="1"/>
        <v>1.0410140247722781</v>
      </c>
      <c r="G25" s="69"/>
      <c r="H25" s="79">
        <v>16</v>
      </c>
      <c r="I25" s="80" t="s">
        <v>79</v>
      </c>
      <c r="J25" s="81">
        <v>12789301</v>
      </c>
      <c r="K25" s="81">
        <v>13748923</v>
      </c>
      <c r="L25" s="81">
        <v>13717838.0048529</v>
      </c>
      <c r="M25" s="81">
        <v>14155674</v>
      </c>
      <c r="N25" s="81">
        <v>16420596.089559</v>
      </c>
      <c r="O25" s="81">
        <v>17366930.3233326</v>
      </c>
      <c r="P25" s="84">
        <f t="shared" si="5"/>
        <v>946334.23377360031</v>
      </c>
      <c r="Q25" s="79">
        <v>16</v>
      </c>
      <c r="R25" s="80" t="s">
        <v>79</v>
      </c>
      <c r="S25" s="81">
        <v>2279821.2999999998</v>
      </c>
      <c r="T25" s="85">
        <v>2418305.4500000002</v>
      </c>
      <c r="U25" s="81">
        <v>2461346.2999999998</v>
      </c>
      <c r="V25" s="81">
        <v>3230735.04</v>
      </c>
      <c r="W25" s="81">
        <v>3022862.6</v>
      </c>
      <c r="X25" s="81">
        <v>3375949.5500000003</v>
      </c>
      <c r="Y25" s="81">
        <f t="shared" si="7"/>
        <v>353086.95000000019</v>
      </c>
      <c r="Z25" s="83">
        <f t="shared" si="8"/>
        <v>11.680549092770548</v>
      </c>
      <c r="AA25" s="69"/>
      <c r="AB25" s="83">
        <v>16</v>
      </c>
      <c r="AC25" s="86" t="s">
        <v>79</v>
      </c>
      <c r="AD25" s="87">
        <v>42</v>
      </c>
      <c r="AE25" s="81">
        <v>41</v>
      </c>
      <c r="AF25" s="81">
        <f t="shared" si="4"/>
        <v>-1</v>
      </c>
      <c r="AG25" s="69"/>
      <c r="AH25" s="79">
        <v>16</v>
      </c>
      <c r="AI25" s="80" t="s">
        <v>79</v>
      </c>
      <c r="AJ25" s="79">
        <v>0.49656400000000001</v>
      </c>
      <c r="AK25" s="79">
        <v>0.49704599999999999</v>
      </c>
      <c r="AL25" s="79">
        <v>0.50234000000000001</v>
      </c>
      <c r="AM25" s="103">
        <v>0.5075415307266683</v>
      </c>
      <c r="AN25" s="739">
        <f t="shared" si="9"/>
        <v>4.8199999999998244E-4</v>
      </c>
      <c r="AO25" s="83">
        <f t="shared" si="6"/>
        <v>9.7067044731390592E-2</v>
      </c>
    </row>
    <row r="26" spans="1:41" x14ac:dyDescent="0.2">
      <c r="A26" s="79">
        <v>17</v>
      </c>
      <c r="B26" s="80" t="s">
        <v>81</v>
      </c>
      <c r="C26" s="81">
        <v>34193</v>
      </c>
      <c r="D26" s="82">
        <v>35070</v>
      </c>
      <c r="E26" s="82">
        <f t="shared" si="0"/>
        <v>877</v>
      </c>
      <c r="F26" s="83">
        <f t="shared" si="1"/>
        <v>2.5648524551808851</v>
      </c>
      <c r="G26" s="69"/>
      <c r="H26" s="79">
        <v>17</v>
      </c>
      <c r="I26" s="80" t="s">
        <v>81</v>
      </c>
      <c r="J26" s="81">
        <v>15403629</v>
      </c>
      <c r="K26" s="81">
        <v>16754532</v>
      </c>
      <c r="L26" s="81">
        <v>16892307.551676799</v>
      </c>
      <c r="M26" s="81">
        <v>17712691</v>
      </c>
      <c r="N26" s="81">
        <v>21034929.380147699</v>
      </c>
      <c r="O26" s="81">
        <v>22247191.935591783</v>
      </c>
      <c r="P26" s="84">
        <f t="shared" si="5"/>
        <v>1212262.5554440841</v>
      </c>
      <c r="Q26" s="79">
        <v>17</v>
      </c>
      <c r="R26" s="80" t="s">
        <v>81</v>
      </c>
      <c r="S26" s="81">
        <v>2253786.4300000002</v>
      </c>
      <c r="T26" s="85">
        <v>2436162.9300000002</v>
      </c>
      <c r="U26" s="81">
        <v>2730198.08</v>
      </c>
      <c r="V26" s="81">
        <v>4651337.5199999996</v>
      </c>
      <c r="W26" s="81">
        <v>4466914.71</v>
      </c>
      <c r="X26" s="81">
        <v>5686781.7000000002</v>
      </c>
      <c r="Y26" s="81">
        <f t="shared" si="7"/>
        <v>1219866.9900000002</v>
      </c>
      <c r="Z26" s="83">
        <f t="shared" si="8"/>
        <v>27.308938477582892</v>
      </c>
      <c r="AA26" s="69"/>
      <c r="AB26" s="83">
        <v>17</v>
      </c>
      <c r="AC26" s="86" t="s">
        <v>81</v>
      </c>
      <c r="AD26" s="87">
        <v>74</v>
      </c>
      <c r="AE26" s="81">
        <v>78</v>
      </c>
      <c r="AF26" s="81">
        <f t="shared" si="4"/>
        <v>4</v>
      </c>
      <c r="AG26" s="69"/>
      <c r="AH26" s="79">
        <v>17</v>
      </c>
      <c r="AI26" s="80" t="s">
        <v>81</v>
      </c>
      <c r="AJ26" s="79">
        <v>0.61194700000000002</v>
      </c>
      <c r="AK26" s="79">
        <v>0.62271200000000004</v>
      </c>
      <c r="AL26" s="79">
        <v>0.64350200000000002</v>
      </c>
      <c r="AM26" s="103">
        <v>0.66375410442291449</v>
      </c>
      <c r="AN26" s="739">
        <f t="shared" si="9"/>
        <v>1.0765000000000025E-2</v>
      </c>
      <c r="AO26" s="83">
        <f t="shared" si="6"/>
        <v>1.7591392718650511</v>
      </c>
    </row>
    <row r="27" spans="1:41" x14ac:dyDescent="0.2">
      <c r="A27" s="79">
        <v>18</v>
      </c>
      <c r="B27" s="80" t="s">
        <v>82</v>
      </c>
      <c r="C27" s="81">
        <v>9151</v>
      </c>
      <c r="D27" s="82">
        <v>9484</v>
      </c>
      <c r="E27" s="82">
        <f t="shared" si="0"/>
        <v>333</v>
      </c>
      <c r="F27" s="83">
        <f t="shared" si="1"/>
        <v>3.6389465632171345</v>
      </c>
      <c r="G27" s="69"/>
      <c r="H27" s="79">
        <v>18</v>
      </c>
      <c r="I27" s="80" t="s">
        <v>82</v>
      </c>
      <c r="J27" s="81">
        <v>7474902</v>
      </c>
      <c r="K27" s="81">
        <v>7928181</v>
      </c>
      <c r="L27" s="81">
        <v>7814750.0193566</v>
      </c>
      <c r="M27" s="81">
        <v>7981715</v>
      </c>
      <c r="N27" s="81">
        <v>9167081.9909940008</v>
      </c>
      <c r="O27" s="81">
        <v>9695389.4570916016</v>
      </c>
      <c r="P27" s="84">
        <f t="shared" si="5"/>
        <v>528307.46609760076</v>
      </c>
      <c r="Q27" s="79">
        <v>18</v>
      </c>
      <c r="R27" s="80" t="s">
        <v>82</v>
      </c>
      <c r="S27" s="81">
        <v>744990.5</v>
      </c>
      <c r="T27" s="85">
        <v>794506.82</v>
      </c>
      <c r="U27" s="81">
        <v>834473.29</v>
      </c>
      <c r="V27" s="81">
        <v>1263002.8799999999</v>
      </c>
      <c r="W27" s="81">
        <v>1161820.53</v>
      </c>
      <c r="X27" s="81">
        <v>1180906.3500000001</v>
      </c>
      <c r="Y27" s="81">
        <f t="shared" si="7"/>
        <v>19085.820000000065</v>
      </c>
      <c r="Z27" s="83">
        <f t="shared" si="8"/>
        <v>1.6427511398856125</v>
      </c>
      <c r="AA27" s="69"/>
      <c r="AB27" s="83">
        <v>18</v>
      </c>
      <c r="AC27" s="86" t="s">
        <v>82</v>
      </c>
      <c r="AD27" s="87">
        <v>15</v>
      </c>
      <c r="AE27" s="81">
        <v>14</v>
      </c>
      <c r="AF27" s="81">
        <f t="shared" si="4"/>
        <v>-1</v>
      </c>
      <c r="AG27" s="69"/>
      <c r="AH27" s="79">
        <v>18</v>
      </c>
      <c r="AI27" s="80" t="s">
        <v>82</v>
      </c>
      <c r="AJ27" s="79">
        <v>0.28262399999999999</v>
      </c>
      <c r="AK27" s="79">
        <v>0.28004499999999999</v>
      </c>
      <c r="AL27" s="79">
        <v>0.28044000000000002</v>
      </c>
      <c r="AM27" s="103">
        <v>0.28071939121408723</v>
      </c>
      <c r="AN27" s="739">
        <f t="shared" si="9"/>
        <v>-2.578999999999998E-3</v>
      </c>
      <c r="AO27" s="83">
        <f t="shared" si="6"/>
        <v>-0.91251981431159357</v>
      </c>
    </row>
    <row r="28" spans="1:41" x14ac:dyDescent="0.2">
      <c r="A28" s="79">
        <v>19</v>
      </c>
      <c r="B28" s="80" t="s">
        <v>86</v>
      </c>
      <c r="C28" s="81">
        <v>19018</v>
      </c>
      <c r="D28" s="82">
        <v>20198</v>
      </c>
      <c r="E28" s="82">
        <f t="shared" si="0"/>
        <v>1180</v>
      </c>
      <c r="F28" s="83">
        <f t="shared" si="1"/>
        <v>6.2046482279945314</v>
      </c>
      <c r="G28" s="69"/>
      <c r="H28" s="79">
        <v>19</v>
      </c>
      <c r="I28" s="80" t="s">
        <v>86</v>
      </c>
      <c r="J28" s="81">
        <v>15999724</v>
      </c>
      <c r="K28" s="81">
        <v>17207584</v>
      </c>
      <c r="L28" s="81">
        <v>17168426.057990599</v>
      </c>
      <c r="M28" s="81">
        <v>17700700</v>
      </c>
      <c r="N28" s="81">
        <v>20410486.4787286</v>
      </c>
      <c r="O28" s="81">
        <v>21586761.808652613</v>
      </c>
      <c r="P28" s="84">
        <f t="shared" si="5"/>
        <v>1176275.3299240135</v>
      </c>
      <c r="Q28" s="79">
        <v>19</v>
      </c>
      <c r="R28" s="80" t="s">
        <v>86</v>
      </c>
      <c r="S28" s="81">
        <v>2509028.69</v>
      </c>
      <c r="T28" s="85">
        <v>2632240.5499999998</v>
      </c>
      <c r="U28" s="81">
        <v>2738891.83</v>
      </c>
      <c r="V28" s="81">
        <v>3166126.95</v>
      </c>
      <c r="W28" s="81">
        <v>2560363.64</v>
      </c>
      <c r="X28" s="81">
        <v>2776413.8499999996</v>
      </c>
      <c r="Y28" s="81">
        <f t="shared" si="7"/>
        <v>216050.2099999995</v>
      </c>
      <c r="Z28" s="83">
        <f t="shared" si="8"/>
        <v>8.438262699278118</v>
      </c>
      <c r="AA28" s="69"/>
      <c r="AB28" s="83">
        <v>19</v>
      </c>
      <c r="AC28" s="86" t="s">
        <v>86</v>
      </c>
      <c r="AD28" s="87">
        <v>80</v>
      </c>
      <c r="AE28" s="81">
        <v>72</v>
      </c>
      <c r="AF28" s="81">
        <f t="shared" si="4"/>
        <v>-8</v>
      </c>
      <c r="AG28" s="69"/>
      <c r="AH28" s="79">
        <v>19</v>
      </c>
      <c r="AI28" s="80" t="s">
        <v>86</v>
      </c>
      <c r="AJ28" s="79">
        <v>0.62146900000000005</v>
      </c>
      <c r="AK28" s="79">
        <v>0.62147699999999995</v>
      </c>
      <c r="AL28" s="79">
        <v>0.62439900000000004</v>
      </c>
      <c r="AM28" s="103">
        <v>0.62487570027914319</v>
      </c>
      <c r="AN28" s="739">
        <f t="shared" si="9"/>
        <v>7.9999999998969784E-6</v>
      </c>
      <c r="AO28" s="83">
        <f t="shared" si="6"/>
        <v>1.2872725751239367E-3</v>
      </c>
    </row>
    <row r="29" spans="1:41" x14ac:dyDescent="0.2">
      <c r="A29" s="79">
        <v>20</v>
      </c>
      <c r="B29" s="80" t="s">
        <v>87</v>
      </c>
      <c r="C29" s="81">
        <v>29681</v>
      </c>
      <c r="D29" s="82">
        <v>29910</v>
      </c>
      <c r="E29" s="82">
        <f t="shared" si="0"/>
        <v>229</v>
      </c>
      <c r="F29" s="83">
        <f t="shared" si="1"/>
        <v>0.77153734712442301</v>
      </c>
      <c r="G29" s="69"/>
      <c r="H29" s="79">
        <v>20</v>
      </c>
      <c r="I29" s="80" t="s">
        <v>87</v>
      </c>
      <c r="J29" s="81">
        <v>13671385</v>
      </c>
      <c r="K29" s="81">
        <v>14740632</v>
      </c>
      <c r="L29" s="81">
        <v>14738962.740735101</v>
      </c>
      <c r="M29" s="81">
        <v>15202545</v>
      </c>
      <c r="N29" s="81">
        <v>17448640.3365165</v>
      </c>
      <c r="O29" s="81">
        <v>18454221.716948099</v>
      </c>
      <c r="P29" s="84">
        <f t="shared" si="5"/>
        <v>1005581.3804315999</v>
      </c>
      <c r="Q29" s="79">
        <v>20</v>
      </c>
      <c r="R29" s="80" t="s">
        <v>87</v>
      </c>
      <c r="S29" s="81">
        <v>2711821.78</v>
      </c>
      <c r="T29" s="85">
        <v>2833371.24</v>
      </c>
      <c r="U29" s="81">
        <v>3001702.99</v>
      </c>
      <c r="V29" s="81">
        <v>2902396.22</v>
      </c>
      <c r="W29" s="81">
        <v>2589317.5099999998</v>
      </c>
      <c r="X29" s="81">
        <v>2649059.77</v>
      </c>
      <c r="Y29" s="81">
        <f t="shared" si="7"/>
        <v>59742.260000000242</v>
      </c>
      <c r="Z29" s="83">
        <f t="shared" si="8"/>
        <v>2.3072589502552066</v>
      </c>
      <c r="AA29" s="69"/>
      <c r="AB29" s="83">
        <v>20</v>
      </c>
      <c r="AC29" s="86" t="s">
        <v>87</v>
      </c>
      <c r="AD29" s="87">
        <v>23</v>
      </c>
      <c r="AE29" s="81">
        <v>20</v>
      </c>
      <c r="AF29" s="81">
        <f t="shared" si="4"/>
        <v>-3</v>
      </c>
      <c r="AG29" s="69"/>
      <c r="AH29" s="79">
        <v>20</v>
      </c>
      <c r="AI29" s="80" t="s">
        <v>87</v>
      </c>
      <c r="AJ29" s="79">
        <v>0.53361199999999998</v>
      </c>
      <c r="AK29" s="79">
        <v>0.53377799999999997</v>
      </c>
      <c r="AL29" s="79">
        <v>0.53378999999999999</v>
      </c>
      <c r="AM29" s="103">
        <v>0.53352769738816586</v>
      </c>
      <c r="AN29" s="739">
        <f t="shared" si="9"/>
        <v>1.6599999999999948E-4</v>
      </c>
      <c r="AO29" s="83">
        <f t="shared" si="6"/>
        <v>3.1108745680381904E-2</v>
      </c>
    </row>
    <row r="30" spans="1:41" x14ac:dyDescent="0.2">
      <c r="A30" s="79">
        <v>21</v>
      </c>
      <c r="B30" s="80" t="s">
        <v>88</v>
      </c>
      <c r="C30" s="81">
        <v>12373</v>
      </c>
      <c r="D30" s="82">
        <v>13539</v>
      </c>
      <c r="E30" s="82">
        <f t="shared" si="0"/>
        <v>1166</v>
      </c>
      <c r="F30" s="83">
        <f t="shared" si="1"/>
        <v>9.4237452517578593</v>
      </c>
      <c r="G30" s="69"/>
      <c r="H30" s="79">
        <v>21</v>
      </c>
      <c r="I30" s="80" t="s">
        <v>88</v>
      </c>
      <c r="J30" s="81">
        <v>7666133</v>
      </c>
      <c r="K30" s="81">
        <v>8155506</v>
      </c>
      <c r="L30" s="81">
        <v>8057435.7497355696</v>
      </c>
      <c r="M30" s="81">
        <v>8284593</v>
      </c>
      <c r="N30" s="81">
        <v>9562413.2190608997</v>
      </c>
      <c r="O30" s="81">
        <v>10113503.991730262</v>
      </c>
      <c r="P30" s="84">
        <f t="shared" si="5"/>
        <v>551090.7726693619</v>
      </c>
      <c r="Q30" s="79">
        <v>21</v>
      </c>
      <c r="R30" s="80" t="s">
        <v>88</v>
      </c>
      <c r="S30" s="81">
        <v>932324.91</v>
      </c>
      <c r="T30" s="85">
        <v>970608.53</v>
      </c>
      <c r="U30" s="81">
        <v>963150.68</v>
      </c>
      <c r="V30" s="81">
        <v>1341594.98</v>
      </c>
      <c r="W30" s="81">
        <v>1433088.33</v>
      </c>
      <c r="X30" s="81">
        <v>1541779.7000000002</v>
      </c>
      <c r="Y30" s="81">
        <f t="shared" si="7"/>
        <v>108691.37000000011</v>
      </c>
      <c r="Z30" s="83">
        <f t="shared" si="8"/>
        <v>7.5844152607118156</v>
      </c>
      <c r="AA30" s="69"/>
      <c r="AB30" s="83">
        <v>21</v>
      </c>
      <c r="AC30" s="86" t="s">
        <v>88</v>
      </c>
      <c r="AD30" s="87">
        <v>7</v>
      </c>
      <c r="AE30" s="81">
        <v>9</v>
      </c>
      <c r="AF30" s="81">
        <f t="shared" si="4"/>
        <v>2</v>
      </c>
      <c r="AG30" s="69"/>
      <c r="AH30" s="79">
        <v>21</v>
      </c>
      <c r="AI30" s="80" t="s">
        <v>88</v>
      </c>
      <c r="AJ30" s="79">
        <v>0.29145100000000002</v>
      </c>
      <c r="AK30" s="79">
        <v>0.290827</v>
      </c>
      <c r="AL30" s="79">
        <v>0.29253400000000002</v>
      </c>
      <c r="AM30" s="103">
        <v>0.29538323175114223</v>
      </c>
      <c r="AN30" s="739">
        <f t="shared" si="9"/>
        <v>-6.2400000000001343E-4</v>
      </c>
      <c r="AO30" s="83">
        <f t="shared" si="6"/>
        <v>-0.21410116966488821</v>
      </c>
    </row>
    <row r="31" spans="1:41" x14ac:dyDescent="0.2">
      <c r="A31" s="79">
        <v>22</v>
      </c>
      <c r="B31" s="80" t="s">
        <v>91</v>
      </c>
      <c r="C31" s="81">
        <v>21784</v>
      </c>
      <c r="D31" s="82">
        <v>25138</v>
      </c>
      <c r="E31" s="82">
        <f t="shared" si="0"/>
        <v>3354</v>
      </c>
      <c r="F31" s="83">
        <f t="shared" si="1"/>
        <v>15.396621373485127</v>
      </c>
      <c r="G31" s="69"/>
      <c r="H31" s="79">
        <v>22</v>
      </c>
      <c r="I31" s="80" t="s">
        <v>91</v>
      </c>
      <c r="J31" s="81">
        <v>14525590</v>
      </c>
      <c r="K31" s="81">
        <v>15663673</v>
      </c>
      <c r="L31" s="81">
        <v>15661342.5517687</v>
      </c>
      <c r="M31" s="81">
        <v>16327333</v>
      </c>
      <c r="N31" s="81">
        <v>19058469.3690813</v>
      </c>
      <c r="O31" s="81">
        <v>20156826.694778819</v>
      </c>
      <c r="P31" s="84">
        <f t="shared" si="5"/>
        <v>1098357.3256975189</v>
      </c>
      <c r="Q31" s="79">
        <v>22</v>
      </c>
      <c r="R31" s="80" t="s">
        <v>91</v>
      </c>
      <c r="S31" s="81">
        <v>2062978.74</v>
      </c>
      <c r="T31" s="85">
        <v>2149948.0499999998</v>
      </c>
      <c r="U31" s="81">
        <v>2273712.77</v>
      </c>
      <c r="V31" s="81">
        <v>2859737.22</v>
      </c>
      <c r="W31" s="81">
        <v>2254486.94</v>
      </c>
      <c r="X31" s="81">
        <v>2412635.39</v>
      </c>
      <c r="Y31" s="81">
        <f t="shared" si="7"/>
        <v>158148.45000000019</v>
      </c>
      <c r="Z31" s="83">
        <f t="shared" si="8"/>
        <v>7.0148310550869812</v>
      </c>
      <c r="AA31" s="69"/>
      <c r="AB31" s="83">
        <v>22</v>
      </c>
      <c r="AC31" s="86" t="s">
        <v>91</v>
      </c>
      <c r="AD31" s="87">
        <v>76</v>
      </c>
      <c r="AE31" s="81">
        <v>77</v>
      </c>
      <c r="AF31" s="81">
        <f t="shared" si="4"/>
        <v>1</v>
      </c>
      <c r="AG31" s="69"/>
      <c r="AH31" s="79">
        <v>22</v>
      </c>
      <c r="AI31" s="80" t="s">
        <v>91</v>
      </c>
      <c r="AJ31" s="79">
        <v>0.56700399999999995</v>
      </c>
      <c r="AK31" s="79">
        <v>0.57376899999999997</v>
      </c>
      <c r="AL31" s="79">
        <v>0.58303799999999995</v>
      </c>
      <c r="AM31" s="103">
        <v>0.58924298240575512</v>
      </c>
      <c r="AN31" s="739">
        <f t="shared" si="9"/>
        <v>6.765000000000021E-3</v>
      </c>
      <c r="AO31" s="83">
        <f t="shared" si="6"/>
        <v>1.1931132760968215</v>
      </c>
    </row>
    <row r="32" spans="1:41" x14ac:dyDescent="0.2">
      <c r="A32" s="79">
        <v>23</v>
      </c>
      <c r="B32" s="80" t="s">
        <v>60</v>
      </c>
      <c r="C32" s="81">
        <v>10258</v>
      </c>
      <c r="D32" s="82">
        <v>10417</v>
      </c>
      <c r="E32" s="82">
        <f t="shared" si="0"/>
        <v>159</v>
      </c>
      <c r="F32" s="83">
        <f t="shared" si="1"/>
        <v>1.5500097484889843</v>
      </c>
      <c r="G32" s="69"/>
      <c r="H32" s="79">
        <v>23</v>
      </c>
      <c r="I32" s="80" t="s">
        <v>60</v>
      </c>
      <c r="J32" s="81">
        <v>9316591</v>
      </c>
      <c r="K32" s="81">
        <v>9759935</v>
      </c>
      <c r="L32" s="81">
        <v>9505023.7946259808</v>
      </c>
      <c r="M32" s="81">
        <v>9586278</v>
      </c>
      <c r="N32" s="81">
        <v>10917372.2677297</v>
      </c>
      <c r="O32" s="81">
        <v>11546550.591309149</v>
      </c>
      <c r="P32" s="84">
        <f t="shared" si="5"/>
        <v>629178.32357944921</v>
      </c>
      <c r="Q32" s="79">
        <v>23</v>
      </c>
      <c r="R32" s="80" t="s">
        <v>60</v>
      </c>
      <c r="S32" s="81">
        <v>1311626.69</v>
      </c>
      <c r="T32" s="85">
        <v>1335624.46</v>
      </c>
      <c r="U32" s="81">
        <v>1342531.9</v>
      </c>
      <c r="V32" s="81">
        <v>2054911.06</v>
      </c>
      <c r="W32" s="81">
        <v>1867282.18</v>
      </c>
      <c r="X32" s="81">
        <v>1984209.9100000001</v>
      </c>
      <c r="Y32" s="81">
        <f t="shared" si="7"/>
        <v>116927.73000000021</v>
      </c>
      <c r="Z32" s="83">
        <f t="shared" si="8"/>
        <v>6.2619207344441232</v>
      </c>
      <c r="AA32" s="69"/>
      <c r="AB32" s="83">
        <v>23</v>
      </c>
      <c r="AC32" s="86" t="s">
        <v>60</v>
      </c>
      <c r="AD32" s="87">
        <v>8</v>
      </c>
      <c r="AE32" s="81">
        <v>8</v>
      </c>
      <c r="AF32" s="81">
        <f t="shared" si="4"/>
        <v>0</v>
      </c>
      <c r="AG32" s="69"/>
      <c r="AH32" s="79">
        <v>23</v>
      </c>
      <c r="AI32" s="80" t="s">
        <v>60</v>
      </c>
      <c r="AJ32" s="79">
        <v>0.34343800000000002</v>
      </c>
      <c r="AK32" s="79">
        <v>0.33601500000000001</v>
      </c>
      <c r="AL32" s="79">
        <v>0.33398499999999998</v>
      </c>
      <c r="AM32" s="103">
        <v>0.33177284294906861</v>
      </c>
      <c r="AN32" s="739">
        <f t="shared" si="9"/>
        <v>-7.4230000000000129E-3</v>
      </c>
      <c r="AO32" s="83">
        <f t="shared" si="6"/>
        <v>-2.1613799288372317</v>
      </c>
    </row>
    <row r="33" spans="1:41" x14ac:dyDescent="0.2">
      <c r="A33" s="79">
        <v>24</v>
      </c>
      <c r="B33" s="80" t="s">
        <v>95</v>
      </c>
      <c r="C33" s="81">
        <v>19081</v>
      </c>
      <c r="D33" s="82">
        <v>20586</v>
      </c>
      <c r="E33" s="82">
        <f t="shared" si="0"/>
        <v>1505</v>
      </c>
      <c r="F33" s="83">
        <f t="shared" si="1"/>
        <v>7.8874272836853416</v>
      </c>
      <c r="G33" s="69"/>
      <c r="H33" s="79">
        <v>24</v>
      </c>
      <c r="I33" s="80" t="s">
        <v>95</v>
      </c>
      <c r="J33" s="81">
        <v>9422900</v>
      </c>
      <c r="K33" s="81">
        <v>10145906</v>
      </c>
      <c r="L33" s="81">
        <v>10135258.422279101</v>
      </c>
      <c r="M33" s="81">
        <v>10458783</v>
      </c>
      <c r="N33" s="81">
        <v>12182046.476649901</v>
      </c>
      <c r="O33" s="81">
        <v>12884109.151804861</v>
      </c>
      <c r="P33" s="84">
        <f t="shared" si="5"/>
        <v>702062.67515495978</v>
      </c>
      <c r="Q33" s="79">
        <v>24</v>
      </c>
      <c r="R33" s="80" t="s">
        <v>95</v>
      </c>
      <c r="S33" s="81">
        <v>1330937.23</v>
      </c>
      <c r="T33" s="85">
        <v>1412969.27</v>
      </c>
      <c r="U33" s="81">
        <v>1438898.43</v>
      </c>
      <c r="V33" s="81">
        <v>2271324.25</v>
      </c>
      <c r="W33" s="81">
        <v>2264133.91</v>
      </c>
      <c r="X33" s="81">
        <v>2378709.92</v>
      </c>
      <c r="Y33" s="81">
        <f t="shared" si="7"/>
        <v>114576.00999999978</v>
      </c>
      <c r="Z33" s="83">
        <f t="shared" si="8"/>
        <v>5.060478512068209</v>
      </c>
      <c r="AA33" s="69"/>
      <c r="AB33" s="83">
        <v>24</v>
      </c>
      <c r="AC33" s="86" t="s">
        <v>95</v>
      </c>
      <c r="AD33" s="87">
        <v>12</v>
      </c>
      <c r="AE33" s="81">
        <v>8</v>
      </c>
      <c r="AF33" s="81">
        <f t="shared" si="4"/>
        <v>-4</v>
      </c>
      <c r="AG33" s="69"/>
      <c r="AH33" s="79">
        <v>24</v>
      </c>
      <c r="AI33" s="80" t="s">
        <v>95</v>
      </c>
      <c r="AJ33" s="79">
        <v>0.36691400000000002</v>
      </c>
      <c r="AK33" s="79">
        <v>0.36723499999999998</v>
      </c>
      <c r="AL33" s="79">
        <v>0.37267400000000001</v>
      </c>
      <c r="AM33" s="103">
        <v>0.37872194215620991</v>
      </c>
      <c r="AN33" s="739">
        <f t="shared" si="9"/>
        <v>3.2099999999996021E-4</v>
      </c>
      <c r="AO33" s="83">
        <f t="shared" si="6"/>
        <v>8.7486440964356829E-2</v>
      </c>
    </row>
    <row r="34" spans="1:41" x14ac:dyDescent="0.2">
      <c r="A34" s="79">
        <v>25</v>
      </c>
      <c r="B34" s="80" t="s">
        <v>97</v>
      </c>
      <c r="C34" s="81">
        <v>39035</v>
      </c>
      <c r="D34" s="82">
        <v>40560</v>
      </c>
      <c r="E34" s="82">
        <f t="shared" si="0"/>
        <v>1525</v>
      </c>
      <c r="F34" s="83">
        <f t="shared" si="1"/>
        <v>3.9067503522479825</v>
      </c>
      <c r="G34" s="69"/>
      <c r="H34" s="79">
        <v>25</v>
      </c>
      <c r="I34" s="80" t="s">
        <v>97</v>
      </c>
      <c r="J34" s="81">
        <v>14171908</v>
      </c>
      <c r="K34" s="81">
        <v>15327350</v>
      </c>
      <c r="L34" s="81">
        <v>15376880.8315547</v>
      </c>
      <c r="M34" s="81">
        <v>15932714</v>
      </c>
      <c r="N34" s="81">
        <v>18535065.728945099</v>
      </c>
      <c r="O34" s="81">
        <v>19603258.81577814</v>
      </c>
      <c r="P34" s="84">
        <f t="shared" si="5"/>
        <v>1068193.0868330412</v>
      </c>
      <c r="Q34" s="79">
        <v>25</v>
      </c>
      <c r="R34" s="80" t="s">
        <v>97</v>
      </c>
      <c r="S34" s="81">
        <v>2507368.16</v>
      </c>
      <c r="T34" s="85">
        <v>2689283.04</v>
      </c>
      <c r="U34" s="81">
        <v>2830371.8</v>
      </c>
      <c r="V34" s="81">
        <v>3609417.21</v>
      </c>
      <c r="W34" s="81">
        <v>3856198.65</v>
      </c>
      <c r="X34" s="81">
        <v>4093200.52</v>
      </c>
      <c r="Y34" s="81">
        <f t="shared" si="7"/>
        <v>237001.87000000011</v>
      </c>
      <c r="Z34" s="83">
        <f t="shared" si="8"/>
        <v>6.145997431952841</v>
      </c>
      <c r="AA34" s="69"/>
      <c r="AB34" s="83">
        <v>25</v>
      </c>
      <c r="AC34" s="86" t="s">
        <v>97</v>
      </c>
      <c r="AD34" s="87">
        <v>22</v>
      </c>
      <c r="AE34" s="81">
        <v>19</v>
      </c>
      <c r="AF34" s="81">
        <f t="shared" si="4"/>
        <v>-3</v>
      </c>
      <c r="AG34" s="69"/>
      <c r="AH34" s="79">
        <v>25</v>
      </c>
      <c r="AI34" s="80" t="s">
        <v>97</v>
      </c>
      <c r="AJ34" s="79">
        <v>0.55684800000000001</v>
      </c>
      <c r="AK34" s="79">
        <v>0.55961099999999997</v>
      </c>
      <c r="AL34" s="79">
        <v>0.56702600000000003</v>
      </c>
      <c r="AM34" s="103">
        <v>0.57741901767920356</v>
      </c>
      <c r="AN34" s="739">
        <f t="shared" si="9"/>
        <v>2.7629999999999599E-3</v>
      </c>
      <c r="AO34" s="83">
        <f t="shared" si="6"/>
        <v>0.49618567364881622</v>
      </c>
    </row>
    <row r="35" spans="1:41" x14ac:dyDescent="0.2">
      <c r="A35" s="79">
        <v>26</v>
      </c>
      <c r="B35" s="80" t="s">
        <v>90</v>
      </c>
      <c r="C35" s="81">
        <v>5032</v>
      </c>
      <c r="D35" s="82">
        <v>4773</v>
      </c>
      <c r="E35" s="82">
        <f t="shared" si="0"/>
        <v>-259</v>
      </c>
      <c r="F35" s="83">
        <f t="shared" si="1"/>
        <v>-5.1470588235294121</v>
      </c>
      <c r="G35" s="69"/>
      <c r="H35" s="79">
        <v>26</v>
      </c>
      <c r="I35" s="80" t="s">
        <v>90</v>
      </c>
      <c r="J35" s="81">
        <v>25804882</v>
      </c>
      <c r="K35" s="81">
        <v>27453392</v>
      </c>
      <c r="L35" s="81">
        <v>27129495.484487001</v>
      </c>
      <c r="M35" s="81">
        <v>27590375</v>
      </c>
      <c r="N35" s="81">
        <v>31259965.3314844</v>
      </c>
      <c r="O35" s="81">
        <v>33061506.224300731</v>
      </c>
      <c r="P35" s="84">
        <f t="shared" si="5"/>
        <v>1801540.8928163312</v>
      </c>
      <c r="Q35" s="79">
        <v>26</v>
      </c>
      <c r="R35" s="80" t="s">
        <v>90</v>
      </c>
      <c r="S35" s="81">
        <v>343147.35</v>
      </c>
      <c r="T35" s="85">
        <v>412021.33</v>
      </c>
      <c r="U35" s="81">
        <v>385684.87</v>
      </c>
      <c r="V35" s="81">
        <v>386610.9</v>
      </c>
      <c r="W35" s="81">
        <v>724235.47</v>
      </c>
      <c r="X35" s="81">
        <v>792203.63000000012</v>
      </c>
      <c r="Y35" s="81">
        <f t="shared" si="7"/>
        <v>67968.160000000149</v>
      </c>
      <c r="Z35" s="83">
        <f t="shared" si="8"/>
        <v>9.3848151347793216</v>
      </c>
      <c r="AA35" s="69"/>
      <c r="AB35" s="83">
        <v>26</v>
      </c>
      <c r="AC35" s="86" t="s">
        <v>90</v>
      </c>
      <c r="AD35" s="87">
        <v>174</v>
      </c>
      <c r="AE35" s="81">
        <v>144</v>
      </c>
      <c r="AF35" s="81">
        <f t="shared" si="4"/>
        <v>-30</v>
      </c>
      <c r="AG35" s="69"/>
      <c r="AH35" s="79">
        <v>26</v>
      </c>
      <c r="AI35" s="80" t="s">
        <v>90</v>
      </c>
      <c r="AJ35" s="79">
        <v>0.98134100000000002</v>
      </c>
      <c r="AK35" s="79">
        <v>0.96767099999999995</v>
      </c>
      <c r="AL35" s="79">
        <v>0.95630700000000002</v>
      </c>
      <c r="AM35" s="103">
        <v>0.94807037190356336</v>
      </c>
      <c r="AN35" s="739">
        <f t="shared" si="9"/>
        <v>-1.3670000000000071E-2</v>
      </c>
      <c r="AO35" s="83">
        <f t="shared" si="6"/>
        <v>-1.3929918346426036</v>
      </c>
    </row>
    <row r="36" spans="1:41" x14ac:dyDescent="0.2">
      <c r="A36" s="79">
        <v>27</v>
      </c>
      <c r="B36" s="80" t="s">
        <v>71</v>
      </c>
      <c r="C36" s="81">
        <v>4559</v>
      </c>
      <c r="D36" s="82">
        <v>4944</v>
      </c>
      <c r="E36" s="82">
        <f t="shared" si="0"/>
        <v>385</v>
      </c>
      <c r="F36" s="83">
        <f t="shared" si="1"/>
        <v>8.4448343935073478</v>
      </c>
      <c r="G36" s="69"/>
      <c r="H36" s="79">
        <v>27</v>
      </c>
      <c r="I36" s="80" t="s">
        <v>71</v>
      </c>
      <c r="J36" s="81">
        <v>6329239</v>
      </c>
      <c r="K36" s="81">
        <v>6684337</v>
      </c>
      <c r="L36" s="81">
        <v>6560766.6036776602</v>
      </c>
      <c r="M36" s="81">
        <v>6697247</v>
      </c>
      <c r="N36" s="81">
        <v>7684573.5416374505</v>
      </c>
      <c r="O36" s="81">
        <v>8127442.666164929</v>
      </c>
      <c r="P36" s="84">
        <f t="shared" si="5"/>
        <v>442869.12452747859</v>
      </c>
      <c r="Q36" s="79">
        <v>27</v>
      </c>
      <c r="R36" s="80" t="s">
        <v>71</v>
      </c>
      <c r="S36" s="81">
        <v>528300.11</v>
      </c>
      <c r="T36" s="85">
        <v>550212.5</v>
      </c>
      <c r="U36" s="81">
        <v>560745.89</v>
      </c>
      <c r="V36" s="81">
        <v>905384.56</v>
      </c>
      <c r="W36" s="81">
        <v>994510.82</v>
      </c>
      <c r="X36" s="81">
        <v>1092929.0100000002</v>
      </c>
      <c r="Y36" s="81">
        <f t="shared" si="7"/>
        <v>98418.190000000293</v>
      </c>
      <c r="Z36" s="83">
        <f t="shared" si="8"/>
        <v>9.8961406975944524</v>
      </c>
      <c r="AA36" s="69"/>
      <c r="AB36" s="83">
        <v>27</v>
      </c>
      <c r="AC36" s="86" t="s">
        <v>71</v>
      </c>
      <c r="AD36" s="87">
        <v>21</v>
      </c>
      <c r="AE36" s="81">
        <v>21</v>
      </c>
      <c r="AF36" s="81">
        <f t="shared" si="4"/>
        <v>0</v>
      </c>
      <c r="AG36" s="69"/>
      <c r="AH36" s="79">
        <v>27</v>
      </c>
      <c r="AI36" s="80" t="s">
        <v>71</v>
      </c>
      <c r="AJ36" s="79">
        <v>0.23719699999999999</v>
      </c>
      <c r="AK36" s="79">
        <v>0.23497399999999999</v>
      </c>
      <c r="AL36" s="79">
        <v>0.23508699999999999</v>
      </c>
      <c r="AM36" s="103">
        <v>0.23617702551945338</v>
      </c>
      <c r="AN36" s="739">
        <f t="shared" si="9"/>
        <v>-2.2230000000000028E-3</v>
      </c>
      <c r="AO36" s="83">
        <f t="shared" si="6"/>
        <v>-0.93719566436337853</v>
      </c>
    </row>
    <row r="37" spans="1:41" x14ac:dyDescent="0.2">
      <c r="A37" s="79">
        <v>28</v>
      </c>
      <c r="B37" s="80" t="s">
        <v>72</v>
      </c>
      <c r="C37" s="81">
        <v>5016</v>
      </c>
      <c r="D37" s="82">
        <v>5233</v>
      </c>
      <c r="E37" s="82">
        <f t="shared" si="0"/>
        <v>217</v>
      </c>
      <c r="F37" s="83">
        <f t="shared" si="1"/>
        <v>4.3261562998405108</v>
      </c>
      <c r="G37" s="69"/>
      <c r="H37" s="79">
        <v>28</v>
      </c>
      <c r="I37" s="80" t="s">
        <v>72</v>
      </c>
      <c r="J37" s="81">
        <v>6828225</v>
      </c>
      <c r="K37" s="81">
        <v>7241100</v>
      </c>
      <c r="L37" s="81">
        <v>7125207.77861501</v>
      </c>
      <c r="M37" s="81">
        <v>7282759</v>
      </c>
      <c r="N37" s="81">
        <v>8366449.6303984504</v>
      </c>
      <c r="O37" s="81">
        <v>8848615.9084803294</v>
      </c>
      <c r="P37" s="84">
        <f t="shared" si="5"/>
        <v>482166.27808187902</v>
      </c>
      <c r="Q37" s="79">
        <v>28</v>
      </c>
      <c r="R37" s="80" t="s">
        <v>72</v>
      </c>
      <c r="S37" s="81">
        <v>925295.05</v>
      </c>
      <c r="T37" s="85">
        <v>907796.44</v>
      </c>
      <c r="U37" s="81">
        <v>903441.85</v>
      </c>
      <c r="V37" s="81">
        <v>1272120.0900000001</v>
      </c>
      <c r="W37" s="81">
        <v>1528559.16</v>
      </c>
      <c r="X37" s="81">
        <v>1586739.4399999995</v>
      </c>
      <c r="Y37" s="81">
        <f t="shared" si="7"/>
        <v>58180.279999999562</v>
      </c>
      <c r="Z37" s="83">
        <f t="shared" si="8"/>
        <v>3.80621709139472</v>
      </c>
      <c r="AA37" s="69"/>
      <c r="AB37" s="83">
        <v>28</v>
      </c>
      <c r="AC37" s="86" t="s">
        <v>72</v>
      </c>
      <c r="AD37" s="87">
        <v>19</v>
      </c>
      <c r="AE37" s="81">
        <v>20</v>
      </c>
      <c r="AF37" s="81">
        <f t="shared" si="4"/>
        <v>1</v>
      </c>
      <c r="AG37" s="69"/>
      <c r="AH37" s="79">
        <v>28</v>
      </c>
      <c r="AI37" s="80" t="s">
        <v>72</v>
      </c>
      <c r="AJ37" s="79">
        <v>0.25764999999999999</v>
      </c>
      <c r="AK37" s="79">
        <v>0.25553999999999999</v>
      </c>
      <c r="AL37" s="79">
        <v>0.25594699999999998</v>
      </c>
      <c r="AM37" s="103">
        <v>0.25861867748850392</v>
      </c>
      <c r="AN37" s="739">
        <f t="shared" si="9"/>
        <v>-2.1100000000000008E-3</v>
      </c>
      <c r="AO37" s="83">
        <f t="shared" si="6"/>
        <v>-0.81894042305453174</v>
      </c>
    </row>
    <row r="38" spans="1:41" x14ac:dyDescent="0.2">
      <c r="A38" s="79">
        <v>29</v>
      </c>
      <c r="B38" s="80" t="s">
        <v>61</v>
      </c>
      <c r="C38" s="81">
        <v>15455</v>
      </c>
      <c r="D38" s="82">
        <v>12342</v>
      </c>
      <c r="E38" s="82">
        <f t="shared" si="0"/>
        <v>-3113</v>
      </c>
      <c r="F38" s="83">
        <f t="shared" si="1"/>
        <v>-20.142348754448395</v>
      </c>
      <c r="G38" s="69"/>
      <c r="H38" s="79">
        <v>29</v>
      </c>
      <c r="I38" s="80" t="s">
        <v>61</v>
      </c>
      <c r="J38" s="81">
        <v>21383736</v>
      </c>
      <c r="K38" s="81">
        <v>22857977</v>
      </c>
      <c r="L38" s="81">
        <v>22660908.196972799</v>
      </c>
      <c r="M38" s="81">
        <v>23188110</v>
      </c>
      <c r="N38" s="81">
        <v>26463493.327253502</v>
      </c>
      <c r="O38" s="81">
        <v>27988609.074832473</v>
      </c>
      <c r="P38" s="84">
        <f t="shared" si="5"/>
        <v>1525115.7475789711</v>
      </c>
      <c r="Q38" s="79">
        <v>29</v>
      </c>
      <c r="R38" s="80" t="s">
        <v>61</v>
      </c>
      <c r="S38" s="81">
        <v>1337017.6299999999</v>
      </c>
      <c r="T38" s="85">
        <v>1288991.95</v>
      </c>
      <c r="U38" s="81">
        <v>1414364.29</v>
      </c>
      <c r="V38" s="81">
        <v>1576606.31</v>
      </c>
      <c r="W38" s="81">
        <v>1451252.69</v>
      </c>
      <c r="X38" s="81">
        <v>1411885.4200000002</v>
      </c>
      <c r="Y38" s="81">
        <f t="shared" si="7"/>
        <v>-39367.269999999786</v>
      </c>
      <c r="Z38" s="83">
        <f t="shared" si="8"/>
        <v>-2.7126406222199519</v>
      </c>
      <c r="AA38" s="69"/>
      <c r="AB38" s="83">
        <v>29</v>
      </c>
      <c r="AC38" s="86" t="s">
        <v>61</v>
      </c>
      <c r="AD38" s="87">
        <v>87</v>
      </c>
      <c r="AE38" s="81">
        <v>75</v>
      </c>
      <c r="AF38" s="81">
        <f t="shared" si="4"/>
        <v>-12</v>
      </c>
      <c r="AG38" s="69"/>
      <c r="AH38" s="79">
        <v>29</v>
      </c>
      <c r="AI38" s="80" t="s">
        <v>61</v>
      </c>
      <c r="AJ38" s="79">
        <v>0.81989199999999995</v>
      </c>
      <c r="AK38" s="79">
        <v>0.81367</v>
      </c>
      <c r="AL38" s="79">
        <v>0.80957299999999999</v>
      </c>
      <c r="AM38" s="103">
        <v>0.80577431296463642</v>
      </c>
      <c r="AN38" s="739">
        <f t="shared" si="9"/>
        <v>-6.2219999999999498E-3</v>
      </c>
      <c r="AO38" s="83">
        <f t="shared" si="6"/>
        <v>-0.75888043791132853</v>
      </c>
    </row>
    <row r="39" spans="1:41" x14ac:dyDescent="0.2">
      <c r="A39" s="79">
        <v>30</v>
      </c>
      <c r="B39" s="80" t="s">
        <v>104</v>
      </c>
      <c r="C39" s="81">
        <v>12788</v>
      </c>
      <c r="D39" s="82">
        <v>11850</v>
      </c>
      <c r="E39" s="82">
        <f t="shared" si="0"/>
        <v>-938</v>
      </c>
      <c r="F39" s="83">
        <f t="shared" si="1"/>
        <v>-7.3350015639662187</v>
      </c>
      <c r="G39" s="69"/>
      <c r="H39" s="79">
        <v>30</v>
      </c>
      <c r="I39" s="80" t="s">
        <v>104</v>
      </c>
      <c r="J39" s="81">
        <v>9706796</v>
      </c>
      <c r="K39" s="81">
        <v>10375279</v>
      </c>
      <c r="L39" s="81">
        <v>10296618.6935567</v>
      </c>
      <c r="M39" s="81">
        <v>10504836</v>
      </c>
      <c r="N39" s="81">
        <v>12007818.310154401</v>
      </c>
      <c r="O39" s="81">
        <v>12699840.053936159</v>
      </c>
      <c r="P39" s="84">
        <f t="shared" si="5"/>
        <v>692021.74378175847</v>
      </c>
      <c r="Q39" s="79">
        <v>30</v>
      </c>
      <c r="R39" s="80" t="s">
        <v>104</v>
      </c>
      <c r="S39" s="81">
        <v>1616870.7</v>
      </c>
      <c r="T39" s="85">
        <v>1701546.11</v>
      </c>
      <c r="U39" s="81">
        <v>1765552.78</v>
      </c>
      <c r="V39" s="81">
        <v>2091690.08</v>
      </c>
      <c r="W39" s="81">
        <v>2302855.21</v>
      </c>
      <c r="X39" s="81">
        <v>2973969.68</v>
      </c>
      <c r="Y39" s="81">
        <f t="shared" si="7"/>
        <v>671114.4700000002</v>
      </c>
      <c r="Z39" s="83">
        <f t="shared" si="8"/>
        <v>29.142712363579307</v>
      </c>
      <c r="AA39" s="69"/>
      <c r="AB39" s="83">
        <v>30</v>
      </c>
      <c r="AC39" s="86" t="s">
        <v>104</v>
      </c>
      <c r="AD39" s="87">
        <v>25</v>
      </c>
      <c r="AE39" s="81">
        <v>20</v>
      </c>
      <c r="AF39" s="81">
        <f t="shared" si="4"/>
        <v>-5</v>
      </c>
      <c r="AG39" s="69"/>
      <c r="AH39" s="79">
        <v>30</v>
      </c>
      <c r="AI39" s="80" t="s">
        <v>104</v>
      </c>
      <c r="AJ39" s="79">
        <v>0.37257299999999999</v>
      </c>
      <c r="AK39" s="79">
        <v>0.36852099999999999</v>
      </c>
      <c r="AL39" s="79">
        <v>0.367344</v>
      </c>
      <c r="AM39" s="103">
        <v>0.36872577659791206</v>
      </c>
      <c r="AN39" s="739">
        <f t="shared" si="9"/>
        <v>-4.052E-3</v>
      </c>
      <c r="AO39" s="83">
        <f t="shared" si="6"/>
        <v>-1.0875720999643024</v>
      </c>
    </row>
    <row r="40" spans="1:41" x14ac:dyDescent="0.2">
      <c r="A40" s="79">
        <v>31</v>
      </c>
      <c r="B40" s="80" t="s">
        <v>48</v>
      </c>
      <c r="C40" s="81">
        <v>16622</v>
      </c>
      <c r="D40" s="82">
        <v>16112</v>
      </c>
      <c r="E40" s="82">
        <f t="shared" si="0"/>
        <v>-510</v>
      </c>
      <c r="F40" s="83">
        <f t="shared" si="1"/>
        <v>-3.0682228372037059</v>
      </c>
      <c r="G40" s="69"/>
      <c r="H40" s="79">
        <v>31</v>
      </c>
      <c r="I40" s="80" t="s">
        <v>48</v>
      </c>
      <c r="J40" s="81">
        <v>14366740</v>
      </c>
      <c r="K40" s="81">
        <v>15360964</v>
      </c>
      <c r="L40" s="81">
        <v>15213715.7778468</v>
      </c>
      <c r="M40" s="81">
        <v>15604876</v>
      </c>
      <c r="N40" s="81">
        <v>17975574.303478502</v>
      </c>
      <c r="O40" s="81">
        <v>19011523.378794901</v>
      </c>
      <c r="P40" s="84">
        <f t="shared" si="5"/>
        <v>1035949.0753163993</v>
      </c>
      <c r="Q40" s="79">
        <v>31</v>
      </c>
      <c r="R40" s="80" t="s">
        <v>48</v>
      </c>
      <c r="S40" s="81">
        <v>1160957.3899999999</v>
      </c>
      <c r="T40" s="85">
        <v>1021884.85</v>
      </c>
      <c r="U40" s="81">
        <v>1048868.76</v>
      </c>
      <c r="V40" s="81">
        <v>1802705.09</v>
      </c>
      <c r="W40" s="81">
        <v>1991139.54</v>
      </c>
      <c r="X40" s="81">
        <v>2456255.17</v>
      </c>
      <c r="Y40" s="81">
        <f t="shared" si="7"/>
        <v>465115.62999999989</v>
      </c>
      <c r="Z40" s="83">
        <f t="shared" si="8"/>
        <v>23.359268431784539</v>
      </c>
      <c r="AA40" s="69"/>
      <c r="AB40" s="83">
        <v>31</v>
      </c>
      <c r="AC40" s="86" t="s">
        <v>48</v>
      </c>
      <c r="AD40" s="87">
        <v>82</v>
      </c>
      <c r="AE40" s="81">
        <v>78</v>
      </c>
      <c r="AF40" s="81">
        <f t="shared" si="4"/>
        <v>-4</v>
      </c>
      <c r="AG40" s="69"/>
      <c r="AH40" s="79">
        <v>31</v>
      </c>
      <c r="AI40" s="80" t="s">
        <v>48</v>
      </c>
      <c r="AJ40" s="79">
        <v>0.5504</v>
      </c>
      <c r="AK40" s="79">
        <v>0.54768600000000001</v>
      </c>
      <c r="AL40" s="79">
        <v>0.54991000000000001</v>
      </c>
      <c r="AM40" s="103">
        <v>0.55398622629422423</v>
      </c>
      <c r="AN40" s="739">
        <f t="shared" si="9"/>
        <v>-2.7139999999999942E-3</v>
      </c>
      <c r="AO40" s="83">
        <f t="shared" si="6"/>
        <v>-0.49309593023255704</v>
      </c>
    </row>
    <row r="41" spans="1:41" x14ac:dyDescent="0.2">
      <c r="A41" s="79">
        <v>32</v>
      </c>
      <c r="B41" s="80" t="s">
        <v>83</v>
      </c>
      <c r="C41" s="81">
        <v>15291</v>
      </c>
      <c r="D41" s="82">
        <v>15715</v>
      </c>
      <c r="E41" s="82">
        <f t="shared" ref="E41:E72" si="10">D41-C41</f>
        <v>424</v>
      </c>
      <c r="F41" s="83">
        <f t="shared" ref="F41:F72" si="11">E41/C41%</f>
        <v>2.7728729317899417</v>
      </c>
      <c r="G41" s="69"/>
      <c r="H41" s="79">
        <v>32</v>
      </c>
      <c r="I41" s="80" t="s">
        <v>83</v>
      </c>
      <c r="J41" s="81">
        <v>8722216</v>
      </c>
      <c r="K41" s="81">
        <v>9416708</v>
      </c>
      <c r="L41" s="81">
        <v>9416794.6903694104</v>
      </c>
      <c r="M41" s="81">
        <v>9756201</v>
      </c>
      <c r="N41" s="81">
        <v>11368011.9494009</v>
      </c>
      <c r="O41" s="81">
        <v>12023161.057203691</v>
      </c>
      <c r="P41" s="84">
        <f t="shared" si="5"/>
        <v>655149.10780279152</v>
      </c>
      <c r="Q41" s="79">
        <v>32</v>
      </c>
      <c r="R41" s="80" t="s">
        <v>83</v>
      </c>
      <c r="S41" s="81">
        <v>1239640.55</v>
      </c>
      <c r="T41" s="85">
        <v>1240229.29</v>
      </c>
      <c r="U41" s="81">
        <v>1339834.01</v>
      </c>
      <c r="V41" s="81">
        <v>1922971.17</v>
      </c>
      <c r="W41" s="81">
        <v>1931028.96</v>
      </c>
      <c r="X41" s="81">
        <v>1979522.7100000002</v>
      </c>
      <c r="Y41" s="81">
        <f t="shared" si="7"/>
        <v>48493.750000000233</v>
      </c>
      <c r="Z41" s="83">
        <f t="shared" si="8"/>
        <v>2.5112906644341693</v>
      </c>
      <c r="AA41" s="69"/>
      <c r="AB41" s="83">
        <v>32</v>
      </c>
      <c r="AC41" s="86" t="s">
        <v>83</v>
      </c>
      <c r="AD41" s="87">
        <v>21</v>
      </c>
      <c r="AE41" s="81">
        <v>21</v>
      </c>
      <c r="AF41" s="81">
        <f t="shared" ref="AF41:AF72" si="12">AE41-AD41</f>
        <v>0</v>
      </c>
      <c r="AG41" s="69"/>
      <c r="AH41" s="79">
        <v>32</v>
      </c>
      <c r="AI41" s="80" t="s">
        <v>83</v>
      </c>
      <c r="AJ41" s="79">
        <v>0.34092800000000001</v>
      </c>
      <c r="AK41" s="79">
        <v>0.34267500000000001</v>
      </c>
      <c r="AL41" s="79">
        <v>0.347771</v>
      </c>
      <c r="AM41" s="103">
        <v>0.35350338543354587</v>
      </c>
      <c r="AN41" s="739">
        <f t="shared" si="9"/>
        <v>1.7469999999999986E-3</v>
      </c>
      <c r="AO41" s="83">
        <f t="shared" si="6"/>
        <v>0.51242491083161212</v>
      </c>
    </row>
    <row r="42" spans="1:41" x14ac:dyDescent="0.2">
      <c r="A42" s="79">
        <v>33</v>
      </c>
      <c r="B42" s="80" t="s">
        <v>108</v>
      </c>
      <c r="C42" s="81">
        <v>22707</v>
      </c>
      <c r="D42" s="82">
        <v>21466</v>
      </c>
      <c r="E42" s="82">
        <f t="shared" si="10"/>
        <v>-1241</v>
      </c>
      <c r="F42" s="83">
        <f t="shared" si="11"/>
        <v>-5.4652750253225877</v>
      </c>
      <c r="G42" s="69"/>
      <c r="H42" s="79">
        <v>33</v>
      </c>
      <c r="I42" s="80" t="s">
        <v>108</v>
      </c>
      <c r="J42" s="81">
        <v>12629459</v>
      </c>
      <c r="K42" s="81">
        <v>13616008</v>
      </c>
      <c r="L42" s="81">
        <v>13616467.724886199</v>
      </c>
      <c r="M42" s="81">
        <v>14043115</v>
      </c>
      <c r="N42" s="81">
        <v>16166674.063792201</v>
      </c>
      <c r="O42" s="81">
        <v>17098374.534919079</v>
      </c>
      <c r="P42" s="84">
        <f t="shared" si="5"/>
        <v>931700.47112687863</v>
      </c>
      <c r="Q42" s="79">
        <v>33</v>
      </c>
      <c r="R42" s="80" t="s">
        <v>108</v>
      </c>
      <c r="S42" s="81">
        <v>2263637.2599999998</v>
      </c>
      <c r="T42" s="85">
        <v>2386952.65</v>
      </c>
      <c r="U42" s="81">
        <v>2541409.16</v>
      </c>
      <c r="V42" s="81">
        <v>2713930.02</v>
      </c>
      <c r="W42" s="81">
        <v>2471091.56</v>
      </c>
      <c r="X42" s="81">
        <v>2642442.3499999996</v>
      </c>
      <c r="Y42" s="81">
        <f t="shared" si="7"/>
        <v>171350.78999999957</v>
      </c>
      <c r="Z42" s="83">
        <f t="shared" si="8"/>
        <v>6.9342145298735742</v>
      </c>
      <c r="AA42" s="69"/>
      <c r="AB42" s="83">
        <v>33</v>
      </c>
      <c r="AC42" s="86" t="s">
        <v>108</v>
      </c>
      <c r="AD42" s="87">
        <v>41</v>
      </c>
      <c r="AE42" s="81">
        <v>38</v>
      </c>
      <c r="AF42" s="81">
        <f t="shared" si="12"/>
        <v>-3</v>
      </c>
      <c r="AG42" s="69"/>
      <c r="AH42" s="79">
        <v>33</v>
      </c>
      <c r="AI42" s="80" t="s">
        <v>108</v>
      </c>
      <c r="AJ42" s="79">
        <v>0.492979</v>
      </c>
      <c r="AK42" s="79">
        <v>0.493064</v>
      </c>
      <c r="AL42" s="79">
        <v>0.49457200000000001</v>
      </c>
      <c r="AM42" s="103">
        <v>0.49593907620056799</v>
      </c>
      <c r="AN42" s="739">
        <f t="shared" ref="AN42:AN73" si="13">AK42-AJ42</f>
        <v>8.5000000000001741E-5</v>
      </c>
      <c r="AO42" s="83">
        <f t="shared" ref="AO42:AO73" si="14">AN42/AJ42%</f>
        <v>1.7242113761438468E-2</v>
      </c>
    </row>
    <row r="43" spans="1:41" x14ac:dyDescent="0.2">
      <c r="A43" s="79">
        <v>34</v>
      </c>
      <c r="B43" s="80" t="s">
        <v>110</v>
      </c>
      <c r="C43" s="81">
        <v>122619</v>
      </c>
      <c r="D43" s="82">
        <v>125712</v>
      </c>
      <c r="E43" s="82">
        <f t="shared" si="10"/>
        <v>3093</v>
      </c>
      <c r="F43" s="83">
        <f t="shared" si="11"/>
        <v>2.5224475815330414</v>
      </c>
      <c r="G43" s="69"/>
      <c r="H43" s="79">
        <v>34</v>
      </c>
      <c r="I43" s="80" t="s">
        <v>110</v>
      </c>
      <c r="J43" s="81">
        <v>49228394</v>
      </c>
      <c r="K43" s="81">
        <v>53326553</v>
      </c>
      <c r="L43" s="81">
        <v>53517830.987405099</v>
      </c>
      <c r="M43" s="81">
        <v>55261178</v>
      </c>
      <c r="N43" s="81">
        <v>64104720.525639601</v>
      </c>
      <c r="O43" s="81">
        <v>67799135.225875437</v>
      </c>
      <c r="P43" s="84">
        <f t="shared" si="5"/>
        <v>3694414.7002358362</v>
      </c>
      <c r="Q43" s="79">
        <v>34</v>
      </c>
      <c r="R43" s="80" t="s">
        <v>110</v>
      </c>
      <c r="S43" s="81">
        <v>11941803.23</v>
      </c>
      <c r="T43" s="85">
        <v>12343338.51</v>
      </c>
      <c r="U43" s="81">
        <v>12596697.27</v>
      </c>
      <c r="V43" s="81">
        <v>15366010.640000001</v>
      </c>
      <c r="W43" s="81">
        <v>13412270.140000001</v>
      </c>
      <c r="X43" s="81">
        <v>13864094.91</v>
      </c>
      <c r="Y43" s="81">
        <f t="shared" si="7"/>
        <v>451824.76999999955</v>
      </c>
      <c r="Z43" s="83">
        <f t="shared" si="8"/>
        <v>3.3687419451275642</v>
      </c>
      <c r="AA43" s="69"/>
      <c r="AB43" s="83">
        <v>34</v>
      </c>
      <c r="AC43" s="86" t="s">
        <v>110</v>
      </c>
      <c r="AD43" s="87">
        <v>285</v>
      </c>
      <c r="AE43" s="81">
        <v>247</v>
      </c>
      <c r="AF43" s="81">
        <f t="shared" si="12"/>
        <v>-38</v>
      </c>
      <c r="AG43" s="69"/>
      <c r="AH43" s="79">
        <v>34</v>
      </c>
      <c r="AI43" s="80" t="s">
        <v>110</v>
      </c>
      <c r="AJ43" s="79">
        <v>1.938094</v>
      </c>
      <c r="AK43" s="79">
        <v>1.94041</v>
      </c>
      <c r="AL43" s="79">
        <v>1.961096</v>
      </c>
      <c r="AM43" s="103">
        <v>1.9756348108759898</v>
      </c>
      <c r="AN43" s="739">
        <f t="shared" si="13"/>
        <v>2.3159999999999847E-3</v>
      </c>
      <c r="AO43" s="83">
        <f t="shared" si="14"/>
        <v>0.11949884783710103</v>
      </c>
    </row>
    <row r="44" spans="1:41" x14ac:dyDescent="0.2">
      <c r="A44" s="79">
        <v>35</v>
      </c>
      <c r="B44" s="80" t="s">
        <v>112</v>
      </c>
      <c r="C44" s="81">
        <v>34243</v>
      </c>
      <c r="D44" s="82">
        <v>30627</v>
      </c>
      <c r="E44" s="82">
        <f t="shared" si="10"/>
        <v>-3616</v>
      </c>
      <c r="F44" s="83">
        <f t="shared" si="11"/>
        <v>-10.559822445463306</v>
      </c>
      <c r="G44" s="69"/>
      <c r="H44" s="79">
        <v>35</v>
      </c>
      <c r="I44" s="80" t="s">
        <v>112</v>
      </c>
      <c r="J44" s="81">
        <v>35517534</v>
      </c>
      <c r="K44" s="81">
        <v>38256275</v>
      </c>
      <c r="L44" s="81">
        <v>38200749.367305703</v>
      </c>
      <c r="M44" s="81">
        <v>39490059</v>
      </c>
      <c r="N44" s="81">
        <v>45420792.682206601</v>
      </c>
      <c r="O44" s="81">
        <v>48038435.23341924</v>
      </c>
      <c r="P44" s="84">
        <f t="shared" si="5"/>
        <v>2617642.5512126386</v>
      </c>
      <c r="Q44" s="79">
        <v>35</v>
      </c>
      <c r="R44" s="80" t="s">
        <v>112</v>
      </c>
      <c r="S44" s="81">
        <v>3526727.39</v>
      </c>
      <c r="T44" s="85">
        <v>3618128.71</v>
      </c>
      <c r="U44" s="81">
        <v>3849902.41</v>
      </c>
      <c r="V44" s="81">
        <v>3673876.39</v>
      </c>
      <c r="W44" s="81">
        <v>3245093.5</v>
      </c>
      <c r="X44" s="81">
        <v>3451732.5300000003</v>
      </c>
      <c r="Y44" s="81">
        <f t="shared" si="7"/>
        <v>206639.03000000026</v>
      </c>
      <c r="Z44" s="83">
        <f t="shared" si="8"/>
        <v>6.3677373240555397</v>
      </c>
      <c r="AA44" s="69"/>
      <c r="AB44" s="83">
        <v>35</v>
      </c>
      <c r="AC44" s="86" t="s">
        <v>112</v>
      </c>
      <c r="AD44" s="87">
        <v>139</v>
      </c>
      <c r="AE44" s="81">
        <v>133</v>
      </c>
      <c r="AF44" s="81">
        <f t="shared" si="12"/>
        <v>-6</v>
      </c>
      <c r="AG44" s="69"/>
      <c r="AH44" s="79">
        <v>35</v>
      </c>
      <c r="AI44" s="80" t="s">
        <v>112</v>
      </c>
      <c r="AJ44" s="79">
        <v>1.3828860000000001</v>
      </c>
      <c r="AK44" s="79">
        <v>1.386803</v>
      </c>
      <c r="AL44" s="79">
        <v>1.389516</v>
      </c>
      <c r="AM44" s="103">
        <v>1.3915378094947966</v>
      </c>
      <c r="AN44" s="739">
        <f t="shared" si="13"/>
        <v>3.9169999999999483E-3</v>
      </c>
      <c r="AO44" s="83">
        <f t="shared" si="14"/>
        <v>0.28324822147306056</v>
      </c>
    </row>
    <row r="45" spans="1:41" x14ac:dyDescent="0.2">
      <c r="A45" s="79">
        <v>36</v>
      </c>
      <c r="B45" s="80" t="s">
        <v>114</v>
      </c>
      <c r="C45" s="81">
        <v>11723</v>
      </c>
      <c r="D45" s="82">
        <v>11644</v>
      </c>
      <c r="E45" s="82">
        <f t="shared" si="10"/>
        <v>-79</v>
      </c>
      <c r="F45" s="83">
        <f t="shared" si="11"/>
        <v>-0.6738889362791094</v>
      </c>
      <c r="G45" s="69"/>
      <c r="H45" s="79">
        <v>36</v>
      </c>
      <c r="I45" s="80" t="s">
        <v>114</v>
      </c>
      <c r="J45" s="81">
        <v>9677738</v>
      </c>
      <c r="K45" s="81">
        <v>10482658</v>
      </c>
      <c r="L45" s="81">
        <v>10520531.181418501</v>
      </c>
      <c r="M45" s="81">
        <v>10854853</v>
      </c>
      <c r="N45" s="81">
        <v>12582280.936419301</v>
      </c>
      <c r="O45" s="81">
        <v>13307409.495952019</v>
      </c>
      <c r="P45" s="84">
        <f t="shared" si="5"/>
        <v>725128.55953271873</v>
      </c>
      <c r="Q45" s="79">
        <v>36</v>
      </c>
      <c r="R45" s="80" t="s">
        <v>114</v>
      </c>
      <c r="S45" s="81">
        <v>1427532.9</v>
      </c>
      <c r="T45" s="85">
        <v>1481278.61</v>
      </c>
      <c r="U45" s="81">
        <v>1502977.48</v>
      </c>
      <c r="V45" s="81">
        <v>2062919.2</v>
      </c>
      <c r="W45" s="81">
        <v>1696381.17</v>
      </c>
      <c r="X45" s="81">
        <v>1716904.44</v>
      </c>
      <c r="Y45" s="81">
        <f t="shared" si="7"/>
        <v>20523.270000000019</v>
      </c>
      <c r="Z45" s="83">
        <f t="shared" si="8"/>
        <v>1.2098265627412039</v>
      </c>
      <c r="AA45" s="69"/>
      <c r="AB45" s="83">
        <v>36</v>
      </c>
      <c r="AC45" s="86" t="s">
        <v>114</v>
      </c>
      <c r="AD45" s="87">
        <v>12</v>
      </c>
      <c r="AE45" s="81">
        <v>10</v>
      </c>
      <c r="AF45" s="81">
        <f t="shared" si="12"/>
        <v>-2</v>
      </c>
      <c r="AG45" s="69"/>
      <c r="AH45" s="79">
        <v>36</v>
      </c>
      <c r="AI45" s="80" t="s">
        <v>114</v>
      </c>
      <c r="AJ45" s="79">
        <v>0.380992</v>
      </c>
      <c r="AK45" s="79">
        <v>0.38112699999999999</v>
      </c>
      <c r="AL45" s="79">
        <v>0.38491799999999998</v>
      </c>
      <c r="AM45" s="103">
        <v>0.38704834510854691</v>
      </c>
      <c r="AN45" s="739">
        <f t="shared" si="13"/>
        <v>1.3499999999999623E-4</v>
      </c>
      <c r="AO45" s="83">
        <f t="shared" si="14"/>
        <v>3.5433814883251154E-2</v>
      </c>
    </row>
    <row r="46" spans="1:41" x14ac:dyDescent="0.2">
      <c r="A46" s="79">
        <v>37</v>
      </c>
      <c r="B46" s="80" t="s">
        <v>92</v>
      </c>
      <c r="C46" s="81">
        <v>8093</v>
      </c>
      <c r="D46" s="82">
        <v>7945</v>
      </c>
      <c r="E46" s="82">
        <f t="shared" si="10"/>
        <v>-148</v>
      </c>
      <c r="F46" s="83">
        <f t="shared" si="11"/>
        <v>-1.8287408871864572</v>
      </c>
      <c r="G46" s="69"/>
      <c r="H46" s="79">
        <v>37</v>
      </c>
      <c r="I46" s="80" t="s">
        <v>92</v>
      </c>
      <c r="J46" s="81">
        <v>7785759</v>
      </c>
      <c r="K46" s="81">
        <v>8313731</v>
      </c>
      <c r="L46" s="81">
        <v>8237473.9768948797</v>
      </c>
      <c r="M46" s="81">
        <v>8441428</v>
      </c>
      <c r="N46" s="81">
        <v>9711929.0977758002</v>
      </c>
      <c r="O46" s="81">
        <v>10271636.609676119</v>
      </c>
      <c r="P46" s="84">
        <f t="shared" si="5"/>
        <v>559707.51190031879</v>
      </c>
      <c r="Q46" s="79">
        <v>37</v>
      </c>
      <c r="R46" s="80" t="s">
        <v>92</v>
      </c>
      <c r="S46" s="81">
        <v>950688.02</v>
      </c>
      <c r="T46" s="85">
        <v>967090.3</v>
      </c>
      <c r="U46" s="81">
        <v>992240.44</v>
      </c>
      <c r="V46" s="81">
        <v>1374233.63</v>
      </c>
      <c r="W46" s="81">
        <v>1179828.24</v>
      </c>
      <c r="X46" s="81">
        <v>1269897.6000000001</v>
      </c>
      <c r="Y46" s="81">
        <f t="shared" si="7"/>
        <v>90069.360000000102</v>
      </c>
      <c r="Z46" s="83">
        <f t="shared" si="8"/>
        <v>7.6341078257289468</v>
      </c>
      <c r="AA46" s="69"/>
      <c r="AB46" s="83">
        <v>37</v>
      </c>
      <c r="AC46" s="86" t="s">
        <v>92</v>
      </c>
      <c r="AD46" s="87">
        <v>27</v>
      </c>
      <c r="AE46" s="81">
        <v>26</v>
      </c>
      <c r="AF46" s="81">
        <f t="shared" si="12"/>
        <v>-1</v>
      </c>
      <c r="AG46" s="69"/>
      <c r="AH46" s="79">
        <v>37</v>
      </c>
      <c r="AI46" s="80" t="s">
        <v>92</v>
      </c>
      <c r="AJ46" s="79">
        <v>0.29802699999999999</v>
      </c>
      <c r="AK46" s="79">
        <v>0.29624600000000001</v>
      </c>
      <c r="AL46" s="79">
        <v>0.29710799999999998</v>
      </c>
      <c r="AM46" s="103">
        <v>0.29729708366828533</v>
      </c>
      <c r="AN46" s="739">
        <f t="shared" si="13"/>
        <v>-1.780999999999977E-3</v>
      </c>
      <c r="AO46" s="83">
        <f t="shared" si="14"/>
        <v>-0.59759686202927154</v>
      </c>
    </row>
    <row r="47" spans="1:41" x14ac:dyDescent="0.2">
      <c r="A47" s="79">
        <v>38</v>
      </c>
      <c r="B47" s="80" t="s">
        <v>51</v>
      </c>
      <c r="C47" s="81">
        <v>40818</v>
      </c>
      <c r="D47" s="82">
        <v>41973</v>
      </c>
      <c r="E47" s="82">
        <f t="shared" si="10"/>
        <v>1155</v>
      </c>
      <c r="F47" s="83">
        <f t="shared" si="11"/>
        <v>2.8296339850066148</v>
      </c>
      <c r="G47" s="69"/>
      <c r="H47" s="79">
        <v>38</v>
      </c>
      <c r="I47" s="80" t="s">
        <v>51</v>
      </c>
      <c r="J47" s="81">
        <v>46668382</v>
      </c>
      <c r="K47" s="81">
        <v>51136190</v>
      </c>
      <c r="L47" s="81">
        <v>51618423.775509298</v>
      </c>
      <c r="M47" s="81">
        <v>53917279</v>
      </c>
      <c r="N47" s="81">
        <v>62180790.470212698</v>
      </c>
      <c r="O47" s="81">
        <v>65764327.290930212</v>
      </c>
      <c r="P47" s="84">
        <f t="shared" si="5"/>
        <v>3583536.8207175136</v>
      </c>
      <c r="Q47" s="79">
        <v>38</v>
      </c>
      <c r="R47" s="80" t="s">
        <v>51</v>
      </c>
      <c r="S47" s="81">
        <v>8724850.1999999993</v>
      </c>
      <c r="T47" s="85">
        <v>7732516.0499999998</v>
      </c>
      <c r="U47" s="81">
        <v>10170215.84</v>
      </c>
      <c r="V47" s="81">
        <v>7614768.5800000001</v>
      </c>
      <c r="W47" s="81">
        <v>7520992.5499999998</v>
      </c>
      <c r="X47" s="81">
        <v>8832720.2399999984</v>
      </c>
      <c r="Y47" s="81">
        <f t="shared" si="7"/>
        <v>1311727.6899999985</v>
      </c>
      <c r="Z47" s="83">
        <f t="shared" si="8"/>
        <v>17.440885378885245</v>
      </c>
      <c r="AA47" s="69"/>
      <c r="AB47" s="83">
        <v>38</v>
      </c>
      <c r="AC47" s="86" t="s">
        <v>51</v>
      </c>
      <c r="AD47" s="87">
        <v>287</v>
      </c>
      <c r="AE47" s="81">
        <v>246</v>
      </c>
      <c r="AF47" s="81">
        <f t="shared" si="12"/>
        <v>-41</v>
      </c>
      <c r="AG47" s="69"/>
      <c r="AH47" s="79">
        <v>38</v>
      </c>
      <c r="AI47" s="80" t="s">
        <v>51</v>
      </c>
      <c r="AJ47" s="79">
        <v>1.870053</v>
      </c>
      <c r="AK47" s="79">
        <v>1.894933</v>
      </c>
      <c r="AL47" s="79">
        <v>1.902239</v>
      </c>
      <c r="AM47" s="103">
        <v>1.9141897287982372</v>
      </c>
      <c r="AN47" s="739">
        <f t="shared" si="13"/>
        <v>2.4880000000000013E-2</v>
      </c>
      <c r="AO47" s="83">
        <f t="shared" si="14"/>
        <v>1.3304435756633644</v>
      </c>
    </row>
    <row r="48" spans="1:41" x14ac:dyDescent="0.2">
      <c r="A48" s="79">
        <v>39</v>
      </c>
      <c r="B48" s="80" t="s">
        <v>105</v>
      </c>
      <c r="C48" s="81">
        <v>8838</v>
      </c>
      <c r="D48" s="82">
        <v>9015</v>
      </c>
      <c r="E48" s="82">
        <f t="shared" si="10"/>
        <v>177</v>
      </c>
      <c r="F48" s="83">
        <f t="shared" si="11"/>
        <v>2.0027155465037341</v>
      </c>
      <c r="G48" s="69"/>
      <c r="H48" s="79">
        <v>39</v>
      </c>
      <c r="I48" s="80" t="s">
        <v>105</v>
      </c>
      <c r="J48" s="81">
        <v>7290412</v>
      </c>
      <c r="K48" s="81">
        <v>8073227</v>
      </c>
      <c r="L48" s="81">
        <v>8252816.7767642997</v>
      </c>
      <c r="M48" s="81">
        <v>8721876</v>
      </c>
      <c r="N48" s="81">
        <v>10237620.9127065</v>
      </c>
      <c r="O48" s="81">
        <v>10827624.533114102</v>
      </c>
      <c r="P48" s="84">
        <f t="shared" si="5"/>
        <v>590003.62040760182</v>
      </c>
      <c r="Q48" s="79">
        <v>39</v>
      </c>
      <c r="R48" s="80" t="s">
        <v>105</v>
      </c>
      <c r="S48" s="81">
        <v>723007.49</v>
      </c>
      <c r="T48" s="85">
        <v>739677.21</v>
      </c>
      <c r="U48" s="81">
        <v>796283.15</v>
      </c>
      <c r="V48" s="81">
        <v>765869.24</v>
      </c>
      <c r="W48" s="81">
        <v>793815.84</v>
      </c>
      <c r="X48" s="81">
        <v>878477.74</v>
      </c>
      <c r="Y48" s="81">
        <f t="shared" si="7"/>
        <v>84661.900000000023</v>
      </c>
      <c r="Z48" s="83">
        <f t="shared" si="8"/>
        <v>10.665181485922481</v>
      </c>
      <c r="AA48" s="69"/>
      <c r="AB48" s="83">
        <v>39</v>
      </c>
      <c r="AC48" s="86" t="s">
        <v>105</v>
      </c>
      <c r="AD48" s="87">
        <v>17</v>
      </c>
      <c r="AE48" s="81">
        <v>19</v>
      </c>
      <c r="AF48" s="81">
        <f t="shared" si="12"/>
        <v>2</v>
      </c>
      <c r="AG48" s="69"/>
      <c r="AH48" s="79">
        <v>39</v>
      </c>
      <c r="AI48" s="80" t="s">
        <v>105</v>
      </c>
      <c r="AJ48" s="79">
        <v>0.29927100000000001</v>
      </c>
      <c r="AK48" s="79">
        <v>0.30679699999999999</v>
      </c>
      <c r="AL48" s="79">
        <v>0.31319000000000002</v>
      </c>
      <c r="AM48" s="103">
        <v>0.31984337498353727</v>
      </c>
      <c r="AN48" s="739">
        <f t="shared" si="13"/>
        <v>7.5259999999999772E-3</v>
      </c>
      <c r="AO48" s="83">
        <f t="shared" si="14"/>
        <v>2.5147775761767686</v>
      </c>
    </row>
    <row r="49" spans="1:41" x14ac:dyDescent="0.2">
      <c r="A49" s="79">
        <v>40</v>
      </c>
      <c r="B49" s="80" t="s">
        <v>96</v>
      </c>
      <c r="C49" s="81">
        <v>16990</v>
      </c>
      <c r="D49" s="82">
        <v>18385</v>
      </c>
      <c r="E49" s="82">
        <f t="shared" si="10"/>
        <v>1395</v>
      </c>
      <c r="F49" s="83">
        <f t="shared" si="11"/>
        <v>8.2107121836374333</v>
      </c>
      <c r="G49" s="69"/>
      <c r="H49" s="79">
        <v>40</v>
      </c>
      <c r="I49" s="80" t="s">
        <v>96</v>
      </c>
      <c r="J49" s="81">
        <v>11800148</v>
      </c>
      <c r="K49" s="81">
        <v>12657460</v>
      </c>
      <c r="L49" s="81">
        <v>12591908.818241401</v>
      </c>
      <c r="M49" s="81">
        <v>13026825</v>
      </c>
      <c r="N49" s="81">
        <v>15089303.305907501</v>
      </c>
      <c r="O49" s="81">
        <v>15958913.897648068</v>
      </c>
      <c r="P49" s="84">
        <f t="shared" si="5"/>
        <v>869610.59174056724</v>
      </c>
      <c r="Q49" s="79">
        <v>40</v>
      </c>
      <c r="R49" s="80" t="s">
        <v>96</v>
      </c>
      <c r="S49" s="81">
        <v>1453791.24</v>
      </c>
      <c r="T49" s="85">
        <v>1482804.14</v>
      </c>
      <c r="U49" s="81">
        <v>1547164.51</v>
      </c>
      <c r="V49" s="81">
        <v>1972144.35</v>
      </c>
      <c r="W49" s="81">
        <v>2064952.49</v>
      </c>
      <c r="X49" s="81">
        <v>2221089.17</v>
      </c>
      <c r="Y49" s="81">
        <f t="shared" si="7"/>
        <v>156136.67999999993</v>
      </c>
      <c r="Z49" s="83">
        <f t="shared" si="8"/>
        <v>7.5612722692714316</v>
      </c>
      <c r="AA49" s="69"/>
      <c r="AB49" s="83">
        <v>40</v>
      </c>
      <c r="AC49" s="86" t="s">
        <v>96</v>
      </c>
      <c r="AD49" s="87">
        <v>39</v>
      </c>
      <c r="AE49" s="81">
        <v>39</v>
      </c>
      <c r="AF49" s="81">
        <f t="shared" si="12"/>
        <v>0</v>
      </c>
      <c r="AG49" s="69"/>
      <c r="AH49" s="79">
        <v>40</v>
      </c>
      <c r="AI49" s="80" t="s">
        <v>96</v>
      </c>
      <c r="AJ49" s="79">
        <v>0.45570500000000003</v>
      </c>
      <c r="AK49" s="79">
        <v>0.45751199999999997</v>
      </c>
      <c r="AL49" s="79">
        <v>0.461613</v>
      </c>
      <c r="AM49" s="103">
        <v>0.46707836621372706</v>
      </c>
      <c r="AN49" s="739">
        <f t="shared" si="13"/>
        <v>1.8069999999999475E-3</v>
      </c>
      <c r="AO49" s="83">
        <f t="shared" si="14"/>
        <v>0.39652845590896468</v>
      </c>
    </row>
    <row r="50" spans="1:41" x14ac:dyDescent="0.2">
      <c r="A50" s="79">
        <v>41</v>
      </c>
      <c r="B50" s="80" t="s">
        <v>98</v>
      </c>
      <c r="C50" s="81">
        <v>15215</v>
      </c>
      <c r="D50" s="82">
        <v>16043</v>
      </c>
      <c r="E50" s="82">
        <f t="shared" si="10"/>
        <v>828</v>
      </c>
      <c r="F50" s="83">
        <f t="shared" si="11"/>
        <v>5.4419980282615841</v>
      </c>
      <c r="G50" s="69"/>
      <c r="H50" s="79">
        <v>41</v>
      </c>
      <c r="I50" s="80" t="s">
        <v>98</v>
      </c>
      <c r="J50" s="81">
        <v>13395751</v>
      </c>
      <c r="K50" s="81">
        <v>14285107</v>
      </c>
      <c r="L50" s="81">
        <v>14142314.459813699</v>
      </c>
      <c r="M50" s="81">
        <v>14504961</v>
      </c>
      <c r="N50" s="81">
        <v>16703904.817329399</v>
      </c>
      <c r="O50" s="81">
        <v>17666566.396733727</v>
      </c>
      <c r="P50" s="84">
        <f t="shared" si="5"/>
        <v>962661.57940432802</v>
      </c>
      <c r="Q50" s="79">
        <v>41</v>
      </c>
      <c r="R50" s="80" t="s">
        <v>98</v>
      </c>
      <c r="S50" s="81">
        <v>1531009.44</v>
      </c>
      <c r="T50" s="85">
        <v>1587654.59</v>
      </c>
      <c r="U50" s="81">
        <v>1660723.76</v>
      </c>
      <c r="V50" s="81">
        <v>2329348.9</v>
      </c>
      <c r="W50" s="81">
        <v>2141216.69</v>
      </c>
      <c r="X50" s="81">
        <v>2270654.69</v>
      </c>
      <c r="Y50" s="81">
        <f t="shared" si="7"/>
        <v>129438</v>
      </c>
      <c r="Z50" s="83">
        <f t="shared" si="8"/>
        <v>6.0450677693904957</v>
      </c>
      <c r="AA50" s="69"/>
      <c r="AB50" s="83">
        <v>41</v>
      </c>
      <c r="AC50" s="86" t="s">
        <v>98</v>
      </c>
      <c r="AD50" s="87">
        <v>41</v>
      </c>
      <c r="AE50" s="81">
        <v>37</v>
      </c>
      <c r="AF50" s="81">
        <f t="shared" si="12"/>
        <v>-4</v>
      </c>
      <c r="AG50" s="69"/>
      <c r="AH50" s="79">
        <v>41</v>
      </c>
      <c r="AI50" s="80" t="s">
        <v>98</v>
      </c>
      <c r="AJ50" s="79">
        <v>0.51163099999999995</v>
      </c>
      <c r="AK50" s="79">
        <v>0.50907999999999998</v>
      </c>
      <c r="AL50" s="79">
        <v>0.51100699999999999</v>
      </c>
      <c r="AM50" s="103">
        <v>0.51268855999460106</v>
      </c>
      <c r="AN50" s="739">
        <f t="shared" si="13"/>
        <v>-2.55099999999997E-3</v>
      </c>
      <c r="AO50" s="83">
        <f t="shared" si="14"/>
        <v>-0.49860153118164657</v>
      </c>
    </row>
    <row r="51" spans="1:41" x14ac:dyDescent="0.2">
      <c r="A51" s="79">
        <v>42</v>
      </c>
      <c r="B51" s="80" t="s">
        <v>122</v>
      </c>
      <c r="C51" s="81">
        <v>12720</v>
      </c>
      <c r="D51" s="82">
        <v>14302</v>
      </c>
      <c r="E51" s="82">
        <f t="shared" si="10"/>
        <v>1582</v>
      </c>
      <c r="F51" s="83">
        <f t="shared" si="11"/>
        <v>12.437106918238994</v>
      </c>
      <c r="G51" s="69"/>
      <c r="H51" s="79">
        <v>42</v>
      </c>
      <c r="I51" s="80" t="s">
        <v>122</v>
      </c>
      <c r="J51" s="81">
        <v>9654051</v>
      </c>
      <c r="K51" s="81">
        <v>10461467</v>
      </c>
      <c r="L51" s="81">
        <v>10507772.822664101</v>
      </c>
      <c r="M51" s="81">
        <v>10917856</v>
      </c>
      <c r="N51" s="81">
        <v>12722807.557012999</v>
      </c>
      <c r="O51" s="81">
        <v>13456034.79646563</v>
      </c>
      <c r="P51" s="84">
        <f t="shared" si="5"/>
        <v>733227.23945263028</v>
      </c>
      <c r="Q51" s="79">
        <v>42</v>
      </c>
      <c r="R51" s="80" t="s">
        <v>122</v>
      </c>
      <c r="S51" s="81">
        <v>1497334.92</v>
      </c>
      <c r="T51" s="85">
        <v>1583393.95</v>
      </c>
      <c r="U51" s="81">
        <v>1516396.5</v>
      </c>
      <c r="V51" s="81">
        <v>2002844.85</v>
      </c>
      <c r="W51" s="81">
        <v>2077809.15</v>
      </c>
      <c r="X51" s="81">
        <v>2181136.7200000002</v>
      </c>
      <c r="Y51" s="81">
        <f t="shared" si="7"/>
        <v>103327.5700000003</v>
      </c>
      <c r="Z51" s="83">
        <f t="shared" si="8"/>
        <v>4.9729095667905927</v>
      </c>
      <c r="AA51" s="69"/>
      <c r="AB51" s="83">
        <v>42</v>
      </c>
      <c r="AC51" s="86" t="s">
        <v>122</v>
      </c>
      <c r="AD51" s="87">
        <v>22</v>
      </c>
      <c r="AE51" s="81">
        <v>17</v>
      </c>
      <c r="AF51" s="81">
        <f t="shared" si="12"/>
        <v>-5</v>
      </c>
      <c r="AG51" s="69"/>
      <c r="AH51" s="79">
        <v>42</v>
      </c>
      <c r="AI51" s="80" t="s">
        <v>122</v>
      </c>
      <c r="AJ51" s="79">
        <v>0.380554</v>
      </c>
      <c r="AK51" s="79">
        <v>0.38355600000000001</v>
      </c>
      <c r="AL51" s="79">
        <v>0.38921699999999998</v>
      </c>
      <c r="AM51" s="103">
        <v>0.39600604201477613</v>
      </c>
      <c r="AN51" s="739">
        <f t="shared" si="13"/>
        <v>3.0020000000000047E-3</v>
      </c>
      <c r="AO51" s="83">
        <f t="shared" si="14"/>
        <v>0.78884993982457274</v>
      </c>
    </row>
    <row r="52" spans="1:41" x14ac:dyDescent="0.2">
      <c r="A52" s="79">
        <v>43</v>
      </c>
      <c r="B52" s="80" t="s">
        <v>63</v>
      </c>
      <c r="C52" s="81">
        <v>69744</v>
      </c>
      <c r="D52" s="82">
        <v>68781</v>
      </c>
      <c r="E52" s="82">
        <f t="shared" si="10"/>
        <v>-963</v>
      </c>
      <c r="F52" s="83">
        <f t="shared" si="11"/>
        <v>-1.3807639366827253</v>
      </c>
      <c r="G52" s="69"/>
      <c r="H52" s="79">
        <v>43</v>
      </c>
      <c r="I52" s="80" t="s">
        <v>63</v>
      </c>
      <c r="J52" s="81">
        <v>55232718</v>
      </c>
      <c r="K52" s="81">
        <v>57866589</v>
      </c>
      <c r="L52" s="81">
        <v>56411577.442426801</v>
      </c>
      <c r="M52" s="81">
        <v>56756063</v>
      </c>
      <c r="N52" s="81">
        <v>63765711.085728802</v>
      </c>
      <c r="O52" s="81">
        <v>67440588.356457755</v>
      </c>
      <c r="P52" s="84">
        <f t="shared" si="5"/>
        <v>3674877.2707289532</v>
      </c>
      <c r="Q52" s="79">
        <v>43</v>
      </c>
      <c r="R52" s="80" t="s">
        <v>63</v>
      </c>
      <c r="S52" s="81">
        <v>7088854.5800000001</v>
      </c>
      <c r="T52" s="85">
        <v>7530607.5300000003</v>
      </c>
      <c r="U52" s="81">
        <v>7756205.8399999999</v>
      </c>
      <c r="V52" s="81">
        <v>8285946.3200000003</v>
      </c>
      <c r="W52" s="81">
        <v>5983034.5899999999</v>
      </c>
      <c r="X52" s="81">
        <v>5982982.5399999991</v>
      </c>
      <c r="Y52" s="81">
        <f t="shared" si="7"/>
        <v>-52.050000000745058</v>
      </c>
      <c r="Z52" s="83">
        <f t="shared" si="8"/>
        <v>-8.6995987099491357E-4</v>
      </c>
      <c r="AA52" s="69"/>
      <c r="AB52" s="83">
        <v>43</v>
      </c>
      <c r="AC52" s="86" t="s">
        <v>63</v>
      </c>
      <c r="AD52" s="87">
        <v>37</v>
      </c>
      <c r="AE52" s="81">
        <v>31</v>
      </c>
      <c r="AF52" s="81">
        <f t="shared" si="12"/>
        <v>-6</v>
      </c>
      <c r="AG52" s="69"/>
      <c r="AH52" s="79">
        <v>43</v>
      </c>
      <c r="AI52" s="80" t="s">
        <v>63</v>
      </c>
      <c r="AJ52" s="79">
        <v>2.0384449999999998</v>
      </c>
      <c r="AK52" s="79">
        <v>1.988977</v>
      </c>
      <c r="AL52" s="79">
        <v>1.950725</v>
      </c>
      <c r="AM52" s="103">
        <v>1.9044669348513605</v>
      </c>
      <c r="AN52" s="739">
        <f t="shared" si="13"/>
        <v>-4.9467999999999845E-2</v>
      </c>
      <c r="AO52" s="83">
        <f t="shared" si="14"/>
        <v>-2.4267517642124194</v>
      </c>
    </row>
    <row r="53" spans="1:41" x14ac:dyDescent="0.2">
      <c r="A53" s="79">
        <v>44</v>
      </c>
      <c r="B53" s="80" t="s">
        <v>102</v>
      </c>
      <c r="C53" s="81">
        <v>12426</v>
      </c>
      <c r="D53" s="82">
        <v>12946</v>
      </c>
      <c r="E53" s="82">
        <f t="shared" si="10"/>
        <v>520</v>
      </c>
      <c r="F53" s="83">
        <f t="shared" si="11"/>
        <v>4.1847738612586509</v>
      </c>
      <c r="G53" s="69"/>
      <c r="H53" s="79">
        <v>44</v>
      </c>
      <c r="I53" s="80" t="s">
        <v>102</v>
      </c>
      <c r="J53" s="81">
        <v>9705419</v>
      </c>
      <c r="K53" s="81">
        <v>10358453</v>
      </c>
      <c r="L53" s="81">
        <v>10265255.649958801</v>
      </c>
      <c r="M53" s="81">
        <v>10592683</v>
      </c>
      <c r="N53" s="81">
        <v>12162466.238051301</v>
      </c>
      <c r="O53" s="81">
        <v>12863400.48583425</v>
      </c>
      <c r="P53" s="84">
        <f t="shared" si="5"/>
        <v>700934.24778294936</v>
      </c>
      <c r="Q53" s="79">
        <v>44</v>
      </c>
      <c r="R53" s="80" t="s">
        <v>102</v>
      </c>
      <c r="S53" s="81">
        <v>1530891.85</v>
      </c>
      <c r="T53" s="85">
        <v>1602256.62</v>
      </c>
      <c r="U53" s="81">
        <v>1664874.96</v>
      </c>
      <c r="V53" s="81">
        <v>1599712.98</v>
      </c>
      <c r="W53" s="81">
        <v>1752891.19</v>
      </c>
      <c r="X53" s="81">
        <v>1963559.67</v>
      </c>
      <c r="Y53" s="81">
        <f t="shared" si="7"/>
        <v>210668.47999999998</v>
      </c>
      <c r="Z53" s="83">
        <f t="shared" si="8"/>
        <v>12.018343249246406</v>
      </c>
      <c r="AA53" s="69"/>
      <c r="AB53" s="83">
        <v>44</v>
      </c>
      <c r="AC53" s="86" t="s">
        <v>102</v>
      </c>
      <c r="AD53" s="87">
        <v>25</v>
      </c>
      <c r="AE53" s="81">
        <v>29</v>
      </c>
      <c r="AF53" s="81">
        <f t="shared" si="12"/>
        <v>4</v>
      </c>
      <c r="AG53" s="69"/>
      <c r="AH53" s="79">
        <v>44</v>
      </c>
      <c r="AI53" s="80" t="s">
        <v>102</v>
      </c>
      <c r="AJ53" s="79">
        <v>0.37139699999999998</v>
      </c>
      <c r="AK53" s="79">
        <v>0.37195400000000001</v>
      </c>
      <c r="AL53" s="79">
        <v>0.37207499999999999</v>
      </c>
      <c r="AM53" s="103">
        <v>0.37419605672592515</v>
      </c>
      <c r="AN53" s="739">
        <f t="shared" si="13"/>
        <v>5.5700000000002969E-4</v>
      </c>
      <c r="AO53" s="83">
        <f t="shared" si="14"/>
        <v>0.14997428627587991</v>
      </c>
    </row>
    <row r="54" spans="1:41" x14ac:dyDescent="0.2">
      <c r="A54" s="79">
        <v>45</v>
      </c>
      <c r="B54" s="80" t="s">
        <v>127</v>
      </c>
      <c r="C54" s="81">
        <v>32950</v>
      </c>
      <c r="D54" s="82">
        <v>36158</v>
      </c>
      <c r="E54" s="82">
        <f t="shared" si="10"/>
        <v>3208</v>
      </c>
      <c r="F54" s="83">
        <f t="shared" si="11"/>
        <v>9.7359635811836114</v>
      </c>
      <c r="G54" s="69"/>
      <c r="H54" s="79">
        <v>45</v>
      </c>
      <c r="I54" s="80" t="s">
        <v>127</v>
      </c>
      <c r="J54" s="81">
        <v>18742034</v>
      </c>
      <c r="K54" s="81">
        <v>20148764</v>
      </c>
      <c r="L54" s="81">
        <v>20096859.456874099</v>
      </c>
      <c r="M54" s="81">
        <v>20786789</v>
      </c>
      <c r="N54" s="81">
        <v>24162275.9364249</v>
      </c>
      <c r="O54" s="81">
        <v>25554770.38423986</v>
      </c>
      <c r="P54" s="84">
        <f t="shared" si="5"/>
        <v>1392494.44781496</v>
      </c>
      <c r="Q54" s="79">
        <v>45</v>
      </c>
      <c r="R54" s="80" t="s">
        <v>127</v>
      </c>
      <c r="S54" s="81">
        <v>5238211.26</v>
      </c>
      <c r="T54" s="85">
        <v>5466416.0599999996</v>
      </c>
      <c r="U54" s="81">
        <v>5626417.6100000003</v>
      </c>
      <c r="V54" s="81">
        <v>6701549.0599999996</v>
      </c>
      <c r="W54" s="81">
        <v>7814939.4500000002</v>
      </c>
      <c r="X54" s="81">
        <v>8013045.5899999999</v>
      </c>
      <c r="Y54" s="81">
        <f t="shared" si="7"/>
        <v>198106.13999999966</v>
      </c>
      <c r="Z54" s="83">
        <f t="shared" si="8"/>
        <v>2.5349670495527596</v>
      </c>
      <c r="AA54" s="69"/>
      <c r="AB54" s="83">
        <v>45</v>
      </c>
      <c r="AC54" s="86" t="s">
        <v>127</v>
      </c>
      <c r="AD54" s="87">
        <v>35</v>
      </c>
      <c r="AE54" s="81">
        <v>34</v>
      </c>
      <c r="AF54" s="81">
        <f t="shared" si="12"/>
        <v>-1</v>
      </c>
      <c r="AG54" s="69"/>
      <c r="AH54" s="79">
        <v>45</v>
      </c>
      <c r="AI54" s="80" t="s">
        <v>127</v>
      </c>
      <c r="AJ54" s="79">
        <v>0.72745700000000002</v>
      </c>
      <c r="AK54" s="79">
        <v>0.73002400000000001</v>
      </c>
      <c r="AL54" s="79">
        <v>0.739174</v>
      </c>
      <c r="AM54" s="103">
        <v>0.75862178659485202</v>
      </c>
      <c r="AN54" s="739">
        <f t="shared" si="13"/>
        <v>2.566999999999986E-3</v>
      </c>
      <c r="AO54" s="83">
        <f t="shared" si="14"/>
        <v>0.35287309078062151</v>
      </c>
    </row>
    <row r="55" spans="1:41" x14ac:dyDescent="0.2">
      <c r="A55" s="79">
        <v>46</v>
      </c>
      <c r="B55" s="80" t="s">
        <v>119</v>
      </c>
      <c r="C55" s="81">
        <v>14387</v>
      </c>
      <c r="D55" s="82">
        <v>14936</v>
      </c>
      <c r="E55" s="82">
        <f t="shared" si="10"/>
        <v>549</v>
      </c>
      <c r="F55" s="83">
        <f t="shared" si="11"/>
        <v>3.8159449503023564</v>
      </c>
      <c r="G55" s="69"/>
      <c r="H55" s="79">
        <v>46</v>
      </c>
      <c r="I55" s="80" t="s">
        <v>119</v>
      </c>
      <c r="J55" s="81">
        <v>10635125</v>
      </c>
      <c r="K55" s="81">
        <v>11609444</v>
      </c>
      <c r="L55" s="81">
        <v>11727191.474068001</v>
      </c>
      <c r="M55" s="81">
        <v>12264290</v>
      </c>
      <c r="N55" s="81">
        <v>14213978.3823773</v>
      </c>
      <c r="O55" s="81">
        <v>15033143.18419065</v>
      </c>
      <c r="P55" s="84">
        <f t="shared" si="5"/>
        <v>819164.80181334913</v>
      </c>
      <c r="Q55" s="79">
        <v>46</v>
      </c>
      <c r="R55" s="80" t="s">
        <v>119</v>
      </c>
      <c r="S55" s="81">
        <v>1385990.81</v>
      </c>
      <c r="T55" s="85">
        <v>1427997.82</v>
      </c>
      <c r="U55" s="81">
        <v>1510825.68</v>
      </c>
      <c r="V55" s="81">
        <v>1224448.81</v>
      </c>
      <c r="W55" s="81">
        <v>1303862.55</v>
      </c>
      <c r="X55" s="81">
        <v>1332823.3899999999</v>
      </c>
      <c r="Y55" s="81">
        <f t="shared" si="7"/>
        <v>28960.839999999851</v>
      </c>
      <c r="Z55" s="83">
        <f t="shared" si="8"/>
        <v>2.2211574371853731</v>
      </c>
      <c r="AA55" s="69"/>
      <c r="AB55" s="83">
        <v>46</v>
      </c>
      <c r="AC55" s="86" t="s">
        <v>119</v>
      </c>
      <c r="AD55" s="87">
        <v>46</v>
      </c>
      <c r="AE55" s="81">
        <v>45</v>
      </c>
      <c r="AF55" s="81">
        <f t="shared" si="12"/>
        <v>-1</v>
      </c>
      <c r="AG55" s="69"/>
      <c r="AH55" s="79">
        <v>46</v>
      </c>
      <c r="AI55" s="80" t="s">
        <v>119</v>
      </c>
      <c r="AJ55" s="79">
        <v>0.42489199999999999</v>
      </c>
      <c r="AK55" s="79">
        <v>0.43107000000000001</v>
      </c>
      <c r="AL55" s="79">
        <v>0.43483500000000003</v>
      </c>
      <c r="AM55" s="103">
        <v>0.43975165961392254</v>
      </c>
      <c r="AN55" s="739">
        <f t="shared" si="13"/>
        <v>6.1780000000000168E-3</v>
      </c>
      <c r="AO55" s="83">
        <f t="shared" si="14"/>
        <v>1.4540165500880264</v>
      </c>
    </row>
    <row r="56" spans="1:41" x14ac:dyDescent="0.2">
      <c r="A56" s="79">
        <v>47</v>
      </c>
      <c r="B56" s="80" t="s">
        <v>121</v>
      </c>
      <c r="C56" s="81">
        <v>21548</v>
      </c>
      <c r="D56" s="82">
        <v>19834</v>
      </c>
      <c r="E56" s="82">
        <f t="shared" si="10"/>
        <v>-1714</v>
      </c>
      <c r="F56" s="83">
        <f t="shared" si="11"/>
        <v>-7.9543345090031563</v>
      </c>
      <c r="G56" s="69"/>
      <c r="H56" s="79">
        <v>47</v>
      </c>
      <c r="I56" s="80" t="s">
        <v>121</v>
      </c>
      <c r="J56" s="81">
        <v>14578769</v>
      </c>
      <c r="K56" s="81">
        <v>15612020</v>
      </c>
      <c r="L56" s="81">
        <v>15524942.693748601</v>
      </c>
      <c r="M56" s="81">
        <v>15915781</v>
      </c>
      <c r="N56" s="81">
        <v>18333706.347029101</v>
      </c>
      <c r="O56" s="81">
        <v>19390294.905295737</v>
      </c>
      <c r="P56" s="84">
        <f t="shared" si="5"/>
        <v>1056588.558266636</v>
      </c>
      <c r="Q56" s="79">
        <v>47</v>
      </c>
      <c r="R56" s="80" t="s">
        <v>121</v>
      </c>
      <c r="S56" s="81">
        <v>1522865.4</v>
      </c>
      <c r="T56" s="85">
        <v>1652704.72</v>
      </c>
      <c r="U56" s="81">
        <v>1673400.06</v>
      </c>
      <c r="V56" s="81">
        <v>2479372.66</v>
      </c>
      <c r="W56" s="81">
        <v>2618650.0099999998</v>
      </c>
      <c r="X56" s="81">
        <v>2688385.65</v>
      </c>
      <c r="Y56" s="81">
        <f t="shared" si="7"/>
        <v>69735.64000000013</v>
      </c>
      <c r="Z56" s="83">
        <f t="shared" si="8"/>
        <v>2.6630378146639053</v>
      </c>
      <c r="AA56" s="69"/>
      <c r="AB56" s="83">
        <v>47</v>
      </c>
      <c r="AC56" s="86" t="s">
        <v>121</v>
      </c>
      <c r="AD56" s="87">
        <v>73</v>
      </c>
      <c r="AE56" s="81">
        <v>69</v>
      </c>
      <c r="AF56" s="81">
        <f t="shared" si="12"/>
        <v>-4</v>
      </c>
      <c r="AG56" s="69"/>
      <c r="AH56" s="79">
        <v>47</v>
      </c>
      <c r="AI56" s="80" t="s">
        <v>121</v>
      </c>
      <c r="AJ56" s="79">
        <v>0.56184000000000001</v>
      </c>
      <c r="AK56" s="79">
        <v>0.55855900000000003</v>
      </c>
      <c r="AL56" s="79">
        <v>0.56086599999999998</v>
      </c>
      <c r="AM56" s="103">
        <v>0.56506675679437246</v>
      </c>
      <c r="AN56" s="739">
        <f t="shared" si="13"/>
        <v>-3.2809999999999784E-3</v>
      </c>
      <c r="AO56" s="83">
        <f t="shared" si="14"/>
        <v>-0.58397408514879301</v>
      </c>
    </row>
    <row r="57" spans="1:41" x14ac:dyDescent="0.2">
      <c r="A57" s="79">
        <v>48</v>
      </c>
      <c r="B57" s="80" t="s">
        <v>47</v>
      </c>
      <c r="C57" s="81">
        <v>5571</v>
      </c>
      <c r="D57" s="82">
        <v>5745</v>
      </c>
      <c r="E57" s="82">
        <f t="shared" si="10"/>
        <v>174</v>
      </c>
      <c r="F57" s="83">
        <f t="shared" si="11"/>
        <v>3.1233171782444802</v>
      </c>
      <c r="G57" s="69"/>
      <c r="H57" s="79">
        <v>48</v>
      </c>
      <c r="I57" s="80" t="s">
        <v>47</v>
      </c>
      <c r="J57" s="81">
        <v>10477281</v>
      </c>
      <c r="K57" s="81">
        <v>10696399</v>
      </c>
      <c r="L57" s="81">
        <v>10177089.926827401</v>
      </c>
      <c r="M57" s="81">
        <v>10079923</v>
      </c>
      <c r="N57" s="81">
        <v>11157238.362616001</v>
      </c>
      <c r="O57" s="81">
        <v>11800240.392464969</v>
      </c>
      <c r="P57" s="84">
        <f t="shared" si="5"/>
        <v>643002.02984896861</v>
      </c>
      <c r="Q57" s="79">
        <v>48</v>
      </c>
      <c r="R57" s="80" t="s">
        <v>47</v>
      </c>
      <c r="S57" s="81">
        <v>670112.51</v>
      </c>
      <c r="T57" s="85">
        <v>729065.47</v>
      </c>
      <c r="U57" s="81">
        <v>795861.41</v>
      </c>
      <c r="V57" s="81">
        <v>939081.11</v>
      </c>
      <c r="W57" s="81">
        <v>943987.89</v>
      </c>
      <c r="X57" s="81">
        <v>998337.23999999987</v>
      </c>
      <c r="Y57" s="81">
        <f t="shared" si="7"/>
        <v>54349.34999999986</v>
      </c>
      <c r="Z57" s="83">
        <f t="shared" si="8"/>
        <v>5.757420256736542</v>
      </c>
      <c r="AA57" s="69"/>
      <c r="AB57" s="83">
        <v>48</v>
      </c>
      <c r="AC57" s="86" t="s">
        <v>47</v>
      </c>
      <c r="AD57" s="87">
        <v>9</v>
      </c>
      <c r="AE57" s="81">
        <v>10</v>
      </c>
      <c r="AF57" s="81">
        <f t="shared" si="12"/>
        <v>1</v>
      </c>
      <c r="AG57" s="69"/>
      <c r="AH57" s="79">
        <v>48</v>
      </c>
      <c r="AI57" s="80" t="s">
        <v>47</v>
      </c>
      <c r="AJ57" s="79">
        <v>0.36706100000000003</v>
      </c>
      <c r="AK57" s="79">
        <v>0.35283199999999998</v>
      </c>
      <c r="AL57" s="79">
        <v>0.34132299999999999</v>
      </c>
      <c r="AM57" s="103">
        <v>0.33107766841330077</v>
      </c>
      <c r="AN57" s="739">
        <f t="shared" si="13"/>
        <v>-1.4229000000000047E-2</v>
      </c>
      <c r="AO57" s="83">
        <f t="shared" si="14"/>
        <v>-3.8764673991516521</v>
      </c>
    </row>
    <row r="58" spans="1:41" x14ac:dyDescent="0.2">
      <c r="A58" s="79">
        <v>49</v>
      </c>
      <c r="B58" s="80" t="s">
        <v>115</v>
      </c>
      <c r="C58" s="81">
        <v>18030</v>
      </c>
      <c r="D58" s="82">
        <v>19086</v>
      </c>
      <c r="E58" s="82">
        <f t="shared" si="10"/>
        <v>1056</v>
      </c>
      <c r="F58" s="83">
        <f t="shared" si="11"/>
        <v>5.8569051580698828</v>
      </c>
      <c r="G58" s="69"/>
      <c r="H58" s="79">
        <v>49</v>
      </c>
      <c r="I58" s="80" t="s">
        <v>115</v>
      </c>
      <c r="J58" s="81">
        <v>33177407</v>
      </c>
      <c r="K58" s="81">
        <v>35787290</v>
      </c>
      <c r="L58" s="81">
        <v>35782723.179218799</v>
      </c>
      <c r="M58" s="81">
        <v>37128247</v>
      </c>
      <c r="N58" s="81">
        <v>42975518.343958497</v>
      </c>
      <c r="O58" s="81">
        <v>45452237.459466897</v>
      </c>
      <c r="P58" s="84">
        <f t="shared" si="5"/>
        <v>2476719.1155083999</v>
      </c>
      <c r="Q58" s="79">
        <v>49</v>
      </c>
      <c r="R58" s="80" t="s">
        <v>115</v>
      </c>
      <c r="S58" s="81">
        <v>1401318.09</v>
      </c>
      <c r="T58" s="85">
        <v>1439547.05</v>
      </c>
      <c r="U58" s="81">
        <v>1560482.79</v>
      </c>
      <c r="V58" s="81">
        <v>2066174.92</v>
      </c>
      <c r="W58" s="81">
        <v>2097237.0099999998</v>
      </c>
      <c r="X58" s="81">
        <v>2112051.91</v>
      </c>
      <c r="Y58" s="81">
        <f t="shared" si="7"/>
        <v>14814.900000000373</v>
      </c>
      <c r="Z58" s="83">
        <f t="shared" si="8"/>
        <v>0.70640084689333105</v>
      </c>
      <c r="AA58" s="69"/>
      <c r="AB58" s="83">
        <v>49</v>
      </c>
      <c r="AC58" s="86" t="s">
        <v>115</v>
      </c>
      <c r="AD58" s="87">
        <v>297</v>
      </c>
      <c r="AE58" s="81">
        <v>284</v>
      </c>
      <c r="AF58" s="81">
        <f t="shared" si="12"/>
        <v>-13</v>
      </c>
      <c r="AG58" s="69"/>
      <c r="AH58" s="79">
        <v>49</v>
      </c>
      <c r="AI58" s="80" t="s">
        <v>115</v>
      </c>
      <c r="AJ58" s="79">
        <v>1.2954810000000001</v>
      </c>
      <c r="AK58" s="79">
        <v>1.304246</v>
      </c>
      <c r="AL58" s="79">
        <v>1.31471</v>
      </c>
      <c r="AM58" s="103">
        <v>1.3257661762058637</v>
      </c>
      <c r="AN58" s="739">
        <f t="shared" si="13"/>
        <v>8.7649999999999118E-3</v>
      </c>
      <c r="AO58" s="83">
        <f t="shared" si="14"/>
        <v>0.67658267469765376</v>
      </c>
    </row>
    <row r="59" spans="1:41" x14ac:dyDescent="0.2">
      <c r="A59" s="79">
        <v>50</v>
      </c>
      <c r="B59" s="80" t="s">
        <v>69</v>
      </c>
      <c r="C59" s="81">
        <v>88535</v>
      </c>
      <c r="D59" s="82">
        <v>89311</v>
      </c>
      <c r="E59" s="82">
        <f t="shared" si="10"/>
        <v>776</v>
      </c>
      <c r="F59" s="83">
        <f t="shared" si="11"/>
        <v>0.87648952391709489</v>
      </c>
      <c r="G59" s="69"/>
      <c r="H59" s="79">
        <v>50</v>
      </c>
      <c r="I59" s="80" t="s">
        <v>69</v>
      </c>
      <c r="J59" s="81">
        <v>29514790</v>
      </c>
      <c r="K59" s="81">
        <v>31086908</v>
      </c>
      <c r="L59" s="81">
        <v>31206301.5571035</v>
      </c>
      <c r="M59" s="81">
        <v>32748368</v>
      </c>
      <c r="N59" s="81">
        <v>38754130.042008199</v>
      </c>
      <c r="O59" s="81">
        <v>40987566.621218912</v>
      </c>
      <c r="P59" s="84">
        <f t="shared" si="5"/>
        <v>2233436.5792107135</v>
      </c>
      <c r="Q59" s="79">
        <v>50</v>
      </c>
      <c r="R59" s="80" t="s">
        <v>69</v>
      </c>
      <c r="S59" s="81">
        <v>549675.01</v>
      </c>
      <c r="T59" s="85">
        <v>5440445.8899999997</v>
      </c>
      <c r="U59" s="81">
        <v>7818279.1100000003</v>
      </c>
      <c r="V59" s="81">
        <v>10466417.5</v>
      </c>
      <c r="W59" s="81">
        <v>10095377.09</v>
      </c>
      <c r="X59" s="81">
        <v>11341062.929999998</v>
      </c>
      <c r="Y59" s="81">
        <f t="shared" si="7"/>
        <v>1245685.839999998</v>
      </c>
      <c r="Z59" s="83">
        <f t="shared" si="8"/>
        <v>12.339170977911415</v>
      </c>
      <c r="AA59" s="69"/>
      <c r="AB59" s="83">
        <v>50</v>
      </c>
      <c r="AC59" s="86" t="s">
        <v>69</v>
      </c>
      <c r="AD59" s="87">
        <v>141</v>
      </c>
      <c r="AE59" s="81">
        <v>137</v>
      </c>
      <c r="AF59" s="81">
        <f t="shared" si="12"/>
        <v>-4</v>
      </c>
      <c r="AG59" s="69"/>
      <c r="AH59" s="79">
        <v>50</v>
      </c>
      <c r="AI59" s="80" t="s">
        <v>69</v>
      </c>
      <c r="AJ59" s="79">
        <v>1.130347</v>
      </c>
      <c r="AK59" s="79">
        <v>1.151397</v>
      </c>
      <c r="AL59" s="79">
        <v>1.1855690000000001</v>
      </c>
      <c r="AM59" s="103">
        <v>1.2203505352645754</v>
      </c>
      <c r="AN59" s="739">
        <f t="shared" si="13"/>
        <v>2.1050000000000013E-2</v>
      </c>
      <c r="AO59" s="83">
        <f t="shared" si="14"/>
        <v>1.8622599962666344</v>
      </c>
    </row>
    <row r="60" spans="1:41" x14ac:dyDescent="0.2">
      <c r="A60" s="79">
        <v>51</v>
      </c>
      <c r="B60" s="80" t="s">
        <v>126</v>
      </c>
      <c r="C60" s="81">
        <v>13750</v>
      </c>
      <c r="D60" s="82">
        <v>13983</v>
      </c>
      <c r="E60" s="82">
        <f t="shared" si="10"/>
        <v>233</v>
      </c>
      <c r="F60" s="83">
        <f t="shared" si="11"/>
        <v>1.6945454545454546</v>
      </c>
      <c r="G60" s="69"/>
      <c r="H60" s="79">
        <v>51</v>
      </c>
      <c r="I60" s="80" t="s">
        <v>126</v>
      </c>
      <c r="J60" s="81">
        <v>10254136</v>
      </c>
      <c r="K60" s="81">
        <v>10987899</v>
      </c>
      <c r="L60" s="81">
        <v>10927843.3992671</v>
      </c>
      <c r="M60" s="81">
        <v>11214491</v>
      </c>
      <c r="N60" s="81">
        <v>12932960.0677821</v>
      </c>
      <c r="O60" s="81">
        <v>13678298.591999941</v>
      </c>
      <c r="P60" s="84">
        <f t="shared" si="5"/>
        <v>745338.52421784028</v>
      </c>
      <c r="Q60" s="79">
        <v>51</v>
      </c>
      <c r="R60" s="80" t="s">
        <v>126</v>
      </c>
      <c r="S60" s="81">
        <v>1700662.58</v>
      </c>
      <c r="T60" s="85">
        <v>1782790.99</v>
      </c>
      <c r="U60" s="81">
        <v>1833752.04</v>
      </c>
      <c r="V60" s="81">
        <v>2400046.16</v>
      </c>
      <c r="W60" s="81">
        <v>2136418.16</v>
      </c>
      <c r="X60" s="81">
        <v>2216539.5600000005</v>
      </c>
      <c r="Y60" s="81">
        <f t="shared" si="7"/>
        <v>80121.400000000373</v>
      </c>
      <c r="Z60" s="83">
        <f t="shared" si="8"/>
        <v>3.7502676910404267</v>
      </c>
      <c r="AA60" s="69"/>
      <c r="AB60" s="83">
        <v>51</v>
      </c>
      <c r="AC60" s="86" t="s">
        <v>126</v>
      </c>
      <c r="AD60" s="87">
        <v>32</v>
      </c>
      <c r="AE60" s="81">
        <v>28</v>
      </c>
      <c r="AF60" s="81">
        <f t="shared" si="12"/>
        <v>-4</v>
      </c>
      <c r="AG60" s="69"/>
      <c r="AH60" s="79">
        <v>51</v>
      </c>
      <c r="AI60" s="80" t="s">
        <v>126</v>
      </c>
      <c r="AJ60" s="79">
        <v>0.39547599999999999</v>
      </c>
      <c r="AK60" s="79">
        <v>0.39360200000000001</v>
      </c>
      <c r="AL60" s="79">
        <v>0.395646</v>
      </c>
      <c r="AM60" s="103">
        <v>0.39701967346675782</v>
      </c>
      <c r="AN60" s="739">
        <f t="shared" si="13"/>
        <v>-1.8739999999999868E-3</v>
      </c>
      <c r="AO60" s="83">
        <f t="shared" si="14"/>
        <v>-0.47385934923989997</v>
      </c>
    </row>
    <row r="61" spans="1:41" x14ac:dyDescent="0.2">
      <c r="A61" s="79">
        <v>52</v>
      </c>
      <c r="B61" s="80" t="s">
        <v>58</v>
      </c>
      <c r="C61" s="81">
        <v>183185</v>
      </c>
      <c r="D61" s="82">
        <v>196003</v>
      </c>
      <c r="E61" s="82">
        <f t="shared" si="10"/>
        <v>12818</v>
      </c>
      <c r="F61" s="83">
        <f t="shared" si="11"/>
        <v>6.997297813685619</v>
      </c>
      <c r="G61" s="69"/>
      <c r="H61" s="79">
        <v>52</v>
      </c>
      <c r="I61" s="80" t="s">
        <v>58</v>
      </c>
      <c r="J61" s="81">
        <v>80557803</v>
      </c>
      <c r="K61" s="81">
        <v>86777092</v>
      </c>
      <c r="L61" s="81">
        <v>85946856.690486297</v>
      </c>
      <c r="M61" s="81">
        <v>90270989</v>
      </c>
      <c r="N61" s="81">
        <v>102844598.50749899</v>
      </c>
      <c r="O61" s="81">
        <v>108771628.4274563</v>
      </c>
      <c r="P61" s="84">
        <f t="shared" si="5"/>
        <v>5927029.91995731</v>
      </c>
      <c r="Q61" s="79">
        <v>52</v>
      </c>
      <c r="R61" s="80" t="s">
        <v>58</v>
      </c>
      <c r="S61" s="81">
        <v>41004884.399999999</v>
      </c>
      <c r="T61" s="85">
        <v>37818901.119999997</v>
      </c>
      <c r="U61" s="81">
        <v>52919394.5</v>
      </c>
      <c r="V61" s="81">
        <v>38658644.960000001</v>
      </c>
      <c r="W61" s="81">
        <v>31336611.859999999</v>
      </c>
      <c r="X61" s="81">
        <v>32782594.950000003</v>
      </c>
      <c r="Y61" s="81">
        <f t="shared" si="7"/>
        <v>1445983.0900000036</v>
      </c>
      <c r="Z61" s="83">
        <f t="shared" si="8"/>
        <v>4.614356831108938</v>
      </c>
      <c r="AA61" s="69"/>
      <c r="AB61" s="83">
        <v>52</v>
      </c>
      <c r="AC61" s="86" t="s">
        <v>58</v>
      </c>
      <c r="AD61" s="87">
        <v>165</v>
      </c>
      <c r="AE61" s="81">
        <v>170</v>
      </c>
      <c r="AF61" s="81">
        <f t="shared" si="12"/>
        <v>5</v>
      </c>
      <c r="AG61" s="69"/>
      <c r="AH61" s="79">
        <v>52</v>
      </c>
      <c r="AI61" s="80" t="s">
        <v>58</v>
      </c>
      <c r="AJ61" s="79">
        <v>3.1092050000000002</v>
      </c>
      <c r="AK61" s="79">
        <v>3.1743700000000001</v>
      </c>
      <c r="AL61" s="79">
        <v>3.1462289999999999</v>
      </c>
      <c r="AM61" s="103">
        <v>3.1017637037112524</v>
      </c>
      <c r="AN61" s="739">
        <f t="shared" si="13"/>
        <v>6.5164999999999917E-2</v>
      </c>
      <c r="AO61" s="83">
        <f t="shared" si="14"/>
        <v>2.0958733824241218</v>
      </c>
    </row>
    <row r="62" spans="1:41" x14ac:dyDescent="0.2">
      <c r="A62" s="79">
        <v>53</v>
      </c>
      <c r="B62" s="80" t="s">
        <v>103</v>
      </c>
      <c r="C62" s="81">
        <v>784776</v>
      </c>
      <c r="D62" s="89">
        <v>849053</v>
      </c>
      <c r="E62" s="82">
        <f t="shared" si="10"/>
        <v>64277</v>
      </c>
      <c r="F62" s="83">
        <f t="shared" si="11"/>
        <v>8.1904900251791588</v>
      </c>
      <c r="G62" s="69"/>
      <c r="H62" s="79">
        <v>53</v>
      </c>
      <c r="I62" s="80" t="s">
        <v>103</v>
      </c>
      <c r="J62" s="81">
        <v>193094726</v>
      </c>
      <c r="K62" s="81">
        <v>208527269</v>
      </c>
      <c r="L62" s="81">
        <v>208462475.33365601</v>
      </c>
      <c r="M62" s="81">
        <v>215018561</v>
      </c>
      <c r="N62" s="81">
        <v>243530933.701805</v>
      </c>
      <c r="O62" s="81">
        <v>257565848.04278985</v>
      </c>
      <c r="P62" s="84">
        <f t="shared" si="5"/>
        <v>14034914.340984851</v>
      </c>
      <c r="Q62" s="79">
        <v>53</v>
      </c>
      <c r="R62" s="80" t="s">
        <v>103</v>
      </c>
      <c r="S62" s="81">
        <v>108597050.51000001</v>
      </c>
      <c r="T62" s="85">
        <v>111087015.72</v>
      </c>
      <c r="U62" s="81">
        <v>114920268.65000001</v>
      </c>
      <c r="V62" s="81">
        <v>95358583.75</v>
      </c>
      <c r="W62" s="81">
        <v>93671776.829999998</v>
      </c>
      <c r="X62" s="81">
        <v>102156237.09999999</v>
      </c>
      <c r="Y62" s="81">
        <f t="shared" si="7"/>
        <v>8484460.2699999958</v>
      </c>
      <c r="Z62" s="83">
        <f t="shared" si="8"/>
        <v>9.0576484797528689</v>
      </c>
      <c r="AA62" s="69"/>
      <c r="AB62" s="83">
        <v>53</v>
      </c>
      <c r="AC62" s="86" t="s">
        <v>103</v>
      </c>
      <c r="AD62" s="87">
        <v>290</v>
      </c>
      <c r="AE62" s="81">
        <v>256</v>
      </c>
      <c r="AF62" s="81">
        <f t="shared" si="12"/>
        <v>-34</v>
      </c>
      <c r="AG62" s="69"/>
      <c r="AH62" s="79">
        <v>53</v>
      </c>
      <c r="AI62" s="80" t="s">
        <v>103</v>
      </c>
      <c r="AJ62" s="79">
        <v>7.5472099999999998</v>
      </c>
      <c r="AK62" s="79">
        <v>7.5495349999999997</v>
      </c>
      <c r="AL62" s="79">
        <v>7.4501150000000003</v>
      </c>
      <c r="AM62" s="103">
        <v>7.4116678420694235</v>
      </c>
      <c r="AN62" s="739">
        <f t="shared" si="13"/>
        <v>2.3249999999999105E-3</v>
      </c>
      <c r="AO62" s="83">
        <f t="shared" si="14"/>
        <v>3.080608595759109E-2</v>
      </c>
    </row>
    <row r="63" spans="1:41" x14ac:dyDescent="0.2">
      <c r="A63" s="79">
        <v>54</v>
      </c>
      <c r="B63" s="80" t="s">
        <v>94</v>
      </c>
      <c r="C63" s="81">
        <v>7806</v>
      </c>
      <c r="D63" s="82">
        <v>7983</v>
      </c>
      <c r="E63" s="82">
        <f t="shared" si="10"/>
        <v>177</v>
      </c>
      <c r="F63" s="83">
        <f t="shared" si="11"/>
        <v>2.2674865488086087</v>
      </c>
      <c r="G63" s="69"/>
      <c r="H63" s="79">
        <v>54</v>
      </c>
      <c r="I63" s="80" t="s">
        <v>94</v>
      </c>
      <c r="J63" s="81">
        <v>8057238</v>
      </c>
      <c r="K63" s="81">
        <v>8583636</v>
      </c>
      <c r="L63" s="81">
        <v>8494661.5957364496</v>
      </c>
      <c r="M63" s="81">
        <v>8732323</v>
      </c>
      <c r="N63" s="81">
        <v>10074081.7913225</v>
      </c>
      <c r="O63" s="81">
        <v>10654660.49997393</v>
      </c>
      <c r="P63" s="84">
        <f t="shared" si="5"/>
        <v>580578.7086514309</v>
      </c>
      <c r="Q63" s="79">
        <v>54</v>
      </c>
      <c r="R63" s="80" t="s">
        <v>94</v>
      </c>
      <c r="S63" s="81">
        <v>874086.89</v>
      </c>
      <c r="T63" s="85">
        <v>932360.62</v>
      </c>
      <c r="U63" s="81">
        <v>952357.67</v>
      </c>
      <c r="V63" s="81">
        <v>1336897.3</v>
      </c>
      <c r="W63" s="81">
        <v>1208276.99</v>
      </c>
      <c r="X63" s="81">
        <v>1233194.25</v>
      </c>
      <c r="Y63" s="81">
        <f t="shared" si="7"/>
        <v>24917.260000000009</v>
      </c>
      <c r="Z63" s="83">
        <f t="shared" si="8"/>
        <v>2.0622142278816393</v>
      </c>
      <c r="AA63" s="69"/>
      <c r="AB63" s="83">
        <v>54</v>
      </c>
      <c r="AC63" s="86" t="s">
        <v>94</v>
      </c>
      <c r="AD63" s="87">
        <v>31</v>
      </c>
      <c r="AE63" s="81">
        <v>32</v>
      </c>
      <c r="AF63" s="81">
        <f t="shared" si="12"/>
        <v>1</v>
      </c>
      <c r="AG63" s="69"/>
      <c r="AH63" s="79">
        <v>54</v>
      </c>
      <c r="AI63" s="80" t="s">
        <v>94</v>
      </c>
      <c r="AJ63" s="79">
        <v>0.30730600000000002</v>
      </c>
      <c r="AK63" s="79">
        <v>0.30653599999999998</v>
      </c>
      <c r="AL63" s="79">
        <v>0.30818699999999999</v>
      </c>
      <c r="AM63" s="103">
        <v>0.30953220868407583</v>
      </c>
      <c r="AN63" s="739">
        <f t="shared" si="13"/>
        <v>-7.7000000000004842E-4</v>
      </c>
      <c r="AO63" s="83">
        <f t="shared" si="14"/>
        <v>-0.25056458383502056</v>
      </c>
    </row>
    <row r="64" spans="1:41" s="67" customFormat="1" ht="12.75" x14ac:dyDescent="0.2">
      <c r="A64" s="79">
        <v>55</v>
      </c>
      <c r="B64" s="80" t="s">
        <v>131</v>
      </c>
      <c r="C64" s="81">
        <v>45484</v>
      </c>
      <c r="D64" s="82">
        <v>45732</v>
      </c>
      <c r="E64" s="82">
        <f t="shared" si="10"/>
        <v>248</v>
      </c>
      <c r="F64" s="83">
        <f t="shared" si="11"/>
        <v>0.54524668015126199</v>
      </c>
      <c r="G64" s="69"/>
      <c r="H64" s="79">
        <v>55</v>
      </c>
      <c r="I64" s="80" t="s">
        <v>131</v>
      </c>
      <c r="J64" s="81">
        <v>20356685</v>
      </c>
      <c r="K64" s="81">
        <v>22186311</v>
      </c>
      <c r="L64" s="81">
        <v>22388594.1248192</v>
      </c>
      <c r="M64" s="81">
        <v>23290178</v>
      </c>
      <c r="N64" s="81">
        <v>26493860.675597701</v>
      </c>
      <c r="O64" s="81">
        <v>28020726.521721777</v>
      </c>
      <c r="P64" s="84">
        <f t="shared" si="5"/>
        <v>1526865.8461240754</v>
      </c>
      <c r="Q64" s="79">
        <v>55</v>
      </c>
      <c r="R64" s="80" t="s">
        <v>131</v>
      </c>
      <c r="S64" s="81">
        <v>6893419.3300000001</v>
      </c>
      <c r="T64" s="85">
        <v>7163304.3399999999</v>
      </c>
      <c r="U64" s="81">
        <v>7735151.5199999996</v>
      </c>
      <c r="V64" s="81">
        <v>5210054.0199999996</v>
      </c>
      <c r="W64" s="81">
        <v>4185130.69</v>
      </c>
      <c r="X64" s="81">
        <v>4938706.76</v>
      </c>
      <c r="Y64" s="81">
        <f t="shared" si="7"/>
        <v>753576.06999999983</v>
      </c>
      <c r="Z64" s="83">
        <f t="shared" si="8"/>
        <v>18.006034358750213</v>
      </c>
      <c r="AA64" s="69"/>
      <c r="AB64" s="83">
        <v>55</v>
      </c>
      <c r="AC64" s="86" t="s">
        <v>131</v>
      </c>
      <c r="AD64" s="87">
        <v>52</v>
      </c>
      <c r="AE64" s="81">
        <v>45</v>
      </c>
      <c r="AF64" s="81">
        <f t="shared" si="12"/>
        <v>-7</v>
      </c>
      <c r="AG64" s="69"/>
      <c r="AH64" s="79">
        <v>55</v>
      </c>
      <c r="AI64" s="80" t="s">
        <v>131</v>
      </c>
      <c r="AJ64" s="79">
        <v>0.81111</v>
      </c>
      <c r="AK64" s="79">
        <v>0.81826600000000005</v>
      </c>
      <c r="AL64" s="79">
        <v>0.81050199999999994</v>
      </c>
      <c r="AM64" s="103">
        <v>0.8007295617869904</v>
      </c>
      <c r="AN64" s="739">
        <f t="shared" si="13"/>
        <v>7.1560000000000512E-3</v>
      </c>
      <c r="AO64" s="83">
        <f t="shared" si="14"/>
        <v>0.88224778390108016</v>
      </c>
    </row>
    <row r="65" spans="1:41" s="67" customFormat="1" ht="12.75" x14ac:dyDescent="0.2">
      <c r="A65" s="79">
        <v>56</v>
      </c>
      <c r="B65" s="80" t="s">
        <v>80</v>
      </c>
      <c r="C65" s="81">
        <v>28074</v>
      </c>
      <c r="D65" s="82">
        <v>32598</v>
      </c>
      <c r="E65" s="82">
        <f t="shared" si="10"/>
        <v>4524</v>
      </c>
      <c r="F65" s="83">
        <f t="shared" si="11"/>
        <v>16.114554391964095</v>
      </c>
      <c r="G65" s="69"/>
      <c r="H65" s="79">
        <v>56</v>
      </c>
      <c r="I65" s="80" t="s">
        <v>80</v>
      </c>
      <c r="J65" s="81">
        <v>11299817</v>
      </c>
      <c r="K65" s="81">
        <v>12173802</v>
      </c>
      <c r="L65" s="81">
        <v>12146546.5457728</v>
      </c>
      <c r="M65" s="81">
        <v>12704592</v>
      </c>
      <c r="N65" s="81">
        <v>14880687.141071901</v>
      </c>
      <c r="O65" s="81">
        <v>15738274.989093091</v>
      </c>
      <c r="P65" s="84">
        <f t="shared" si="5"/>
        <v>857587.84802119061</v>
      </c>
      <c r="Q65" s="79">
        <v>56</v>
      </c>
      <c r="R65" s="80" t="s">
        <v>80</v>
      </c>
      <c r="S65" s="81">
        <v>2028295.87</v>
      </c>
      <c r="T65" s="85">
        <v>2012621.49</v>
      </c>
      <c r="U65" s="81">
        <v>2271035.15</v>
      </c>
      <c r="V65" s="81">
        <v>2749278.73</v>
      </c>
      <c r="W65" s="81">
        <v>2945820.04</v>
      </c>
      <c r="X65" s="81">
        <v>3056213.45</v>
      </c>
      <c r="Y65" s="81">
        <f t="shared" si="7"/>
        <v>110393.41000000015</v>
      </c>
      <c r="Z65" s="83">
        <f t="shared" si="8"/>
        <v>3.7474594001336259</v>
      </c>
      <c r="AA65" s="69"/>
      <c r="AB65" s="83">
        <v>56</v>
      </c>
      <c r="AC65" s="86" t="s">
        <v>80</v>
      </c>
      <c r="AD65" s="87">
        <v>10</v>
      </c>
      <c r="AE65" s="81">
        <v>15</v>
      </c>
      <c r="AF65" s="81">
        <f t="shared" si="12"/>
        <v>5</v>
      </c>
      <c r="AG65" s="69"/>
      <c r="AH65" s="79">
        <v>56</v>
      </c>
      <c r="AI65" s="80" t="s">
        <v>80</v>
      </c>
      <c r="AJ65" s="79">
        <v>0.43968200000000002</v>
      </c>
      <c r="AK65" s="79">
        <v>0.44658399999999998</v>
      </c>
      <c r="AL65" s="79">
        <v>0.455231</v>
      </c>
      <c r="AM65" s="103">
        <v>0.46610128436770443</v>
      </c>
      <c r="AN65" s="739">
        <f t="shared" si="13"/>
        <v>6.9019999999999637E-3</v>
      </c>
      <c r="AO65" s="83">
        <f t="shared" si="14"/>
        <v>1.5697708798631655</v>
      </c>
    </row>
    <row r="66" spans="1:41" x14ac:dyDescent="0.2">
      <c r="A66" s="79">
        <v>57</v>
      </c>
      <c r="B66" s="80" t="s">
        <v>65</v>
      </c>
      <c r="C66" s="81">
        <v>8195</v>
      </c>
      <c r="D66" s="82">
        <v>8196</v>
      </c>
      <c r="E66" s="82">
        <f t="shared" si="10"/>
        <v>1</v>
      </c>
      <c r="F66" s="83">
        <f t="shared" si="11"/>
        <v>1.2202562538133007E-2</v>
      </c>
      <c r="G66" s="69"/>
      <c r="H66" s="79">
        <v>57</v>
      </c>
      <c r="I66" s="80" t="s">
        <v>65</v>
      </c>
      <c r="J66" s="81">
        <v>20859733</v>
      </c>
      <c r="K66" s="81">
        <v>21943879</v>
      </c>
      <c r="L66" s="81">
        <v>21462089.3275216</v>
      </c>
      <c r="M66" s="81">
        <v>21759706</v>
      </c>
      <c r="N66" s="81">
        <v>24606900.987207599</v>
      </c>
      <c r="O66" s="81">
        <v>26025019.590470638</v>
      </c>
      <c r="P66" s="84">
        <f t="shared" si="5"/>
        <v>1418118.6032630391</v>
      </c>
      <c r="Q66" s="79">
        <v>57</v>
      </c>
      <c r="R66" s="80" t="s">
        <v>65</v>
      </c>
      <c r="S66" s="81">
        <v>760377.81</v>
      </c>
      <c r="T66" s="85">
        <v>802426.74</v>
      </c>
      <c r="U66" s="81">
        <v>874912.84</v>
      </c>
      <c r="V66" s="81">
        <v>992972.76</v>
      </c>
      <c r="W66" s="81">
        <v>1183121.73</v>
      </c>
      <c r="X66" s="81">
        <v>1270935.83</v>
      </c>
      <c r="Y66" s="81">
        <f t="shared" si="7"/>
        <v>87814.100000000093</v>
      </c>
      <c r="Z66" s="83">
        <f t="shared" si="8"/>
        <v>7.4222371015026569</v>
      </c>
      <c r="AA66" s="69"/>
      <c r="AB66" s="83">
        <v>57</v>
      </c>
      <c r="AC66" s="86" t="s">
        <v>65</v>
      </c>
      <c r="AD66" s="87">
        <v>142</v>
      </c>
      <c r="AE66" s="81">
        <v>130</v>
      </c>
      <c r="AF66" s="81">
        <f t="shared" si="12"/>
        <v>-12</v>
      </c>
      <c r="AG66" s="69"/>
      <c r="AH66" s="79">
        <v>57</v>
      </c>
      <c r="AI66" s="80" t="s">
        <v>65</v>
      </c>
      <c r="AJ66" s="79">
        <v>0.775729</v>
      </c>
      <c r="AK66" s="79">
        <v>0.76302800000000004</v>
      </c>
      <c r="AL66" s="79">
        <v>0.752776</v>
      </c>
      <c r="AM66" s="103">
        <v>0.74496295182822125</v>
      </c>
      <c r="AN66" s="739">
        <f t="shared" si="13"/>
        <v>-1.2700999999999962E-2</v>
      </c>
      <c r="AO66" s="83">
        <f t="shared" si="14"/>
        <v>-1.6372985926786239</v>
      </c>
    </row>
    <row r="67" spans="1:41" x14ac:dyDescent="0.2">
      <c r="A67" s="79">
        <v>58</v>
      </c>
      <c r="B67" s="80" t="s">
        <v>134</v>
      </c>
      <c r="C67" s="81">
        <v>19595</v>
      </c>
      <c r="D67" s="82">
        <v>20981</v>
      </c>
      <c r="E67" s="82">
        <f t="shared" si="10"/>
        <v>1386</v>
      </c>
      <c r="F67" s="83">
        <f t="shared" si="11"/>
        <v>7.073232967593774</v>
      </c>
      <c r="G67" s="69"/>
      <c r="H67" s="79">
        <v>58</v>
      </c>
      <c r="I67" s="80" t="s">
        <v>134</v>
      </c>
      <c r="J67" s="81">
        <v>12417077</v>
      </c>
      <c r="K67" s="81">
        <v>13461061</v>
      </c>
      <c r="L67" s="81">
        <v>13525291.9797334</v>
      </c>
      <c r="M67" s="81">
        <v>14148284</v>
      </c>
      <c r="N67" s="81">
        <v>16371988.719281601</v>
      </c>
      <c r="O67" s="81">
        <v>17315521.66507167</v>
      </c>
      <c r="P67" s="84">
        <f t="shared" si="5"/>
        <v>943532.94579006918</v>
      </c>
      <c r="Q67" s="79">
        <v>58</v>
      </c>
      <c r="R67" s="80" t="s">
        <v>134</v>
      </c>
      <c r="S67" s="81">
        <v>1736222.65</v>
      </c>
      <c r="T67" s="85">
        <v>1838535.5</v>
      </c>
      <c r="U67" s="81">
        <v>1880491.53</v>
      </c>
      <c r="V67" s="81">
        <v>1394250.26</v>
      </c>
      <c r="W67" s="81">
        <v>1367436.01</v>
      </c>
      <c r="X67" s="81">
        <v>1508681.7400000002</v>
      </c>
      <c r="Y67" s="81">
        <f t="shared" si="7"/>
        <v>141245.73000000021</v>
      </c>
      <c r="Z67" s="83">
        <f t="shared" si="8"/>
        <v>10.329238733445393</v>
      </c>
      <c r="AA67" s="69"/>
      <c r="AB67" s="83">
        <v>58</v>
      </c>
      <c r="AC67" s="86" t="s">
        <v>134</v>
      </c>
      <c r="AD67" s="87">
        <v>59</v>
      </c>
      <c r="AE67" s="81">
        <v>63</v>
      </c>
      <c r="AF67" s="81">
        <f t="shared" si="12"/>
        <v>4</v>
      </c>
      <c r="AG67" s="69"/>
      <c r="AH67" s="79">
        <v>58</v>
      </c>
      <c r="AI67" s="80" t="s">
        <v>134</v>
      </c>
      <c r="AJ67" s="79">
        <v>0.48984899999999998</v>
      </c>
      <c r="AK67" s="79">
        <v>0.49731500000000001</v>
      </c>
      <c r="AL67" s="79">
        <v>0.50085299999999999</v>
      </c>
      <c r="AM67" s="103">
        <v>0.50506420394199469</v>
      </c>
      <c r="AN67" s="739">
        <f t="shared" si="13"/>
        <v>7.4660000000000282E-3</v>
      </c>
      <c r="AO67" s="83">
        <f t="shared" si="14"/>
        <v>1.5241431543189896</v>
      </c>
    </row>
    <row r="68" spans="1:41" x14ac:dyDescent="0.2">
      <c r="A68" s="79">
        <v>59</v>
      </c>
      <c r="B68" s="80" t="s">
        <v>136</v>
      </c>
      <c r="C68" s="81">
        <v>7988</v>
      </c>
      <c r="D68" s="82">
        <v>9027</v>
      </c>
      <c r="E68" s="82">
        <f t="shared" si="10"/>
        <v>1039</v>
      </c>
      <c r="F68" s="83">
        <f t="shared" si="11"/>
        <v>13.007010515773661</v>
      </c>
      <c r="G68" s="69"/>
      <c r="H68" s="79">
        <v>59</v>
      </c>
      <c r="I68" s="80" t="s">
        <v>136</v>
      </c>
      <c r="J68" s="81">
        <v>8711329</v>
      </c>
      <c r="K68" s="81">
        <v>9369823</v>
      </c>
      <c r="L68" s="81">
        <v>9348965.2659537308</v>
      </c>
      <c r="M68" s="81">
        <v>9669285</v>
      </c>
      <c r="N68" s="81">
        <v>11170182.8943107</v>
      </c>
      <c r="O68" s="81">
        <v>11813930.92956741</v>
      </c>
      <c r="P68" s="84">
        <f t="shared" si="5"/>
        <v>643748.0352567099</v>
      </c>
      <c r="Q68" s="79">
        <v>59</v>
      </c>
      <c r="R68" s="80" t="s">
        <v>136</v>
      </c>
      <c r="S68" s="81">
        <v>903647.39</v>
      </c>
      <c r="T68" s="85">
        <v>953589.6</v>
      </c>
      <c r="U68" s="81">
        <v>1082707.56</v>
      </c>
      <c r="V68" s="81">
        <v>1260789.74</v>
      </c>
      <c r="W68" s="81">
        <v>849427.23</v>
      </c>
      <c r="X68" s="81">
        <v>905578.64</v>
      </c>
      <c r="Y68" s="81">
        <f t="shared" si="7"/>
        <v>56151.410000000033</v>
      </c>
      <c r="Z68" s="83">
        <f t="shared" si="8"/>
        <v>6.6105027030979482</v>
      </c>
      <c r="AA68" s="69"/>
      <c r="AB68" s="83">
        <v>59</v>
      </c>
      <c r="AC68" s="86" t="s">
        <v>136</v>
      </c>
      <c r="AD68" s="87">
        <v>40</v>
      </c>
      <c r="AE68" s="81">
        <v>36</v>
      </c>
      <c r="AF68" s="81">
        <f t="shared" si="12"/>
        <v>-4</v>
      </c>
      <c r="AG68" s="69"/>
      <c r="AH68" s="79">
        <v>59</v>
      </c>
      <c r="AI68" s="80" t="s">
        <v>136</v>
      </c>
      <c r="AJ68" s="79">
        <v>0.33841900000000003</v>
      </c>
      <c r="AK68" s="79">
        <v>0.33957900000000002</v>
      </c>
      <c r="AL68" s="79">
        <v>0.34171899999999999</v>
      </c>
      <c r="AM68" s="103">
        <v>0.34171027683264776</v>
      </c>
      <c r="AN68" s="739">
        <f t="shared" si="13"/>
        <v>1.1599999999999944E-3</v>
      </c>
      <c r="AO68" s="83">
        <f t="shared" si="14"/>
        <v>0.34277035272842077</v>
      </c>
    </row>
    <row r="69" spans="1:41" x14ac:dyDescent="0.2">
      <c r="A69" s="79">
        <v>60</v>
      </c>
      <c r="B69" s="80" t="s">
        <v>137</v>
      </c>
      <c r="C69" s="81">
        <v>9794</v>
      </c>
      <c r="D69" s="82">
        <v>9437</v>
      </c>
      <c r="E69" s="82">
        <f t="shared" si="10"/>
        <v>-357</v>
      </c>
      <c r="F69" s="83">
        <f t="shared" si="11"/>
        <v>-3.6450888298958546</v>
      </c>
      <c r="G69" s="69"/>
      <c r="H69" s="79">
        <v>60</v>
      </c>
      <c r="I69" s="80" t="s">
        <v>137</v>
      </c>
      <c r="J69" s="81">
        <v>10359457</v>
      </c>
      <c r="K69" s="81">
        <v>11259200</v>
      </c>
      <c r="L69" s="81">
        <v>11335835.132828699</v>
      </c>
      <c r="M69" s="81">
        <v>11649228</v>
      </c>
      <c r="N69" s="81">
        <v>13431324.5380242</v>
      </c>
      <c r="O69" s="81">
        <v>14205384.270443877</v>
      </c>
      <c r="P69" s="84">
        <f t="shared" si="5"/>
        <v>774059.73241967708</v>
      </c>
      <c r="Q69" s="79">
        <v>60</v>
      </c>
      <c r="R69" s="80" t="s">
        <v>137</v>
      </c>
      <c r="S69" s="81">
        <v>1519975.74</v>
      </c>
      <c r="T69" s="85">
        <v>1596378.47</v>
      </c>
      <c r="U69" s="81">
        <v>1618553.75</v>
      </c>
      <c r="V69" s="81">
        <v>2112494.89</v>
      </c>
      <c r="W69" s="81">
        <v>1728603.93</v>
      </c>
      <c r="X69" s="81">
        <v>1875819.14</v>
      </c>
      <c r="Y69" s="81">
        <f t="shared" si="7"/>
        <v>147215.20999999996</v>
      </c>
      <c r="Z69" s="83">
        <f t="shared" si="8"/>
        <v>8.5164222668404985</v>
      </c>
      <c r="AA69" s="69"/>
      <c r="AB69" s="83">
        <v>60</v>
      </c>
      <c r="AC69" s="86" t="s">
        <v>137</v>
      </c>
      <c r="AD69" s="87">
        <v>24</v>
      </c>
      <c r="AE69" s="81">
        <v>16</v>
      </c>
      <c r="AF69" s="81">
        <f t="shared" si="12"/>
        <v>-8</v>
      </c>
      <c r="AG69" s="69"/>
      <c r="AH69" s="79">
        <v>60</v>
      </c>
      <c r="AI69" s="80" t="s">
        <v>137</v>
      </c>
      <c r="AJ69" s="79">
        <v>0.41061399999999998</v>
      </c>
      <c r="AK69" s="79">
        <v>0.40887600000000002</v>
      </c>
      <c r="AL69" s="79">
        <v>0.41089199999999998</v>
      </c>
      <c r="AM69" s="103">
        <v>0.41128634002251341</v>
      </c>
      <c r="AN69" s="739">
        <f t="shared" si="13"/>
        <v>-1.7379999999999618E-3</v>
      </c>
      <c r="AO69" s="83">
        <f t="shared" si="14"/>
        <v>-0.42326856853394235</v>
      </c>
    </row>
    <row r="70" spans="1:41" x14ac:dyDescent="0.2">
      <c r="A70" s="79">
        <v>61</v>
      </c>
      <c r="B70" s="80" t="s">
        <v>135</v>
      </c>
      <c r="C70" s="81">
        <v>24424</v>
      </c>
      <c r="D70" s="82">
        <v>24774</v>
      </c>
      <c r="E70" s="82">
        <f t="shared" si="10"/>
        <v>350</v>
      </c>
      <c r="F70" s="83">
        <f t="shared" si="11"/>
        <v>1.4330167048804454</v>
      </c>
      <c r="G70" s="69"/>
      <c r="H70" s="79">
        <v>61</v>
      </c>
      <c r="I70" s="80" t="s">
        <v>135</v>
      </c>
      <c r="J70" s="81">
        <v>15161473</v>
      </c>
      <c r="K70" s="81">
        <v>16323445</v>
      </c>
      <c r="L70" s="81">
        <v>16297802.2047686</v>
      </c>
      <c r="M70" s="81">
        <v>16827834</v>
      </c>
      <c r="N70" s="81">
        <v>19471059.972741</v>
      </c>
      <c r="O70" s="81">
        <v>20593195.278887399</v>
      </c>
      <c r="P70" s="84">
        <f t="shared" si="5"/>
        <v>1122135.3061463982</v>
      </c>
      <c r="Q70" s="79">
        <v>61</v>
      </c>
      <c r="R70" s="80" t="s">
        <v>135</v>
      </c>
      <c r="S70" s="81">
        <v>1394425.43</v>
      </c>
      <c r="T70" s="85">
        <v>1455119.15</v>
      </c>
      <c r="U70" s="81">
        <v>1524902.52</v>
      </c>
      <c r="V70" s="81">
        <v>2159509.27</v>
      </c>
      <c r="W70" s="81">
        <v>1639420.42</v>
      </c>
      <c r="X70" s="81">
        <v>1625851.0299999998</v>
      </c>
      <c r="Y70" s="81">
        <f t="shared" si="7"/>
        <v>-13569.39000000013</v>
      </c>
      <c r="Z70" s="83">
        <f t="shared" si="8"/>
        <v>-0.82769433846628127</v>
      </c>
      <c r="AA70" s="69"/>
      <c r="AB70" s="83">
        <v>61</v>
      </c>
      <c r="AC70" s="86" t="s">
        <v>135</v>
      </c>
      <c r="AD70" s="87">
        <v>40</v>
      </c>
      <c r="AE70" s="81">
        <v>39</v>
      </c>
      <c r="AF70" s="81">
        <f t="shared" si="12"/>
        <v>-1</v>
      </c>
      <c r="AG70" s="69"/>
      <c r="AH70" s="79">
        <v>61</v>
      </c>
      <c r="AI70" s="80" t="s">
        <v>135</v>
      </c>
      <c r="AJ70" s="79">
        <v>0.58998399999999995</v>
      </c>
      <c r="AK70" s="79">
        <v>0.59089899999999995</v>
      </c>
      <c r="AL70" s="79">
        <v>0.59565999999999997</v>
      </c>
      <c r="AM70" s="103">
        <v>0.5977290567080864</v>
      </c>
      <c r="AN70" s="739">
        <f t="shared" si="13"/>
        <v>9.1499999999999915E-4</v>
      </c>
      <c r="AO70" s="83">
        <f t="shared" si="14"/>
        <v>0.15508895156478805</v>
      </c>
    </row>
    <row r="71" spans="1:41" x14ac:dyDescent="0.2">
      <c r="A71" s="79">
        <v>62</v>
      </c>
      <c r="B71" s="80" t="s">
        <v>113</v>
      </c>
      <c r="C71" s="81">
        <v>19440</v>
      </c>
      <c r="D71" s="82">
        <v>21028</v>
      </c>
      <c r="E71" s="82">
        <f t="shared" si="10"/>
        <v>1588</v>
      </c>
      <c r="F71" s="83">
        <f t="shared" si="11"/>
        <v>8.1687242798353914</v>
      </c>
      <c r="G71" s="69"/>
      <c r="H71" s="79">
        <v>62</v>
      </c>
      <c r="I71" s="80" t="s">
        <v>113</v>
      </c>
      <c r="J71" s="81">
        <v>12415481</v>
      </c>
      <c r="K71" s="81">
        <v>13272405</v>
      </c>
      <c r="L71" s="81">
        <v>13170875.735747799</v>
      </c>
      <c r="M71" s="81">
        <v>13578423</v>
      </c>
      <c r="N71" s="81">
        <v>15734699.3508019</v>
      </c>
      <c r="O71" s="81">
        <v>16641504.717220228</v>
      </c>
      <c r="P71" s="84">
        <f t="shared" si="5"/>
        <v>906805.36641832814</v>
      </c>
      <c r="Q71" s="79">
        <v>62</v>
      </c>
      <c r="R71" s="80" t="s">
        <v>113</v>
      </c>
      <c r="S71" s="81">
        <v>2176930.0299999998</v>
      </c>
      <c r="T71" s="85">
        <v>2270370.84</v>
      </c>
      <c r="U71" s="81">
        <v>2309249.39</v>
      </c>
      <c r="V71" s="81">
        <v>3033385.07</v>
      </c>
      <c r="W71" s="81">
        <v>3104905.51</v>
      </c>
      <c r="X71" s="81">
        <v>3262804.1</v>
      </c>
      <c r="Y71" s="81">
        <f t="shared" si="7"/>
        <v>157898.59000000032</v>
      </c>
      <c r="Z71" s="83">
        <f t="shared" si="8"/>
        <v>5.0854555635092522</v>
      </c>
      <c r="AA71" s="69"/>
      <c r="AB71" s="83">
        <v>62</v>
      </c>
      <c r="AC71" s="86" t="s">
        <v>113</v>
      </c>
      <c r="AD71" s="87">
        <v>17</v>
      </c>
      <c r="AE71" s="81">
        <v>18</v>
      </c>
      <c r="AF71" s="81">
        <f t="shared" si="12"/>
        <v>1</v>
      </c>
      <c r="AG71" s="69"/>
      <c r="AH71" s="79">
        <v>62</v>
      </c>
      <c r="AI71" s="80" t="s">
        <v>113</v>
      </c>
      <c r="AJ71" s="79">
        <v>0.47657100000000002</v>
      </c>
      <c r="AK71" s="79">
        <v>0.47675600000000001</v>
      </c>
      <c r="AL71" s="79">
        <v>0.48135699999999998</v>
      </c>
      <c r="AM71" s="103">
        <v>0.4876549686791623</v>
      </c>
      <c r="AN71" s="739">
        <f t="shared" si="13"/>
        <v>1.8499999999999073E-4</v>
      </c>
      <c r="AO71" s="83">
        <f t="shared" si="14"/>
        <v>3.8818979753277208E-2</v>
      </c>
    </row>
    <row r="72" spans="1:41" x14ac:dyDescent="0.2">
      <c r="A72" s="79">
        <v>63</v>
      </c>
      <c r="B72" s="80" t="s">
        <v>123</v>
      </c>
      <c r="C72" s="81">
        <v>15705</v>
      </c>
      <c r="D72" s="82">
        <v>14889</v>
      </c>
      <c r="E72" s="82">
        <f t="shared" si="10"/>
        <v>-816</v>
      </c>
      <c r="F72" s="83">
        <f t="shared" si="11"/>
        <v>-5.1957975167144221</v>
      </c>
      <c r="G72" s="69"/>
      <c r="H72" s="79">
        <v>63</v>
      </c>
      <c r="I72" s="80" t="s">
        <v>123</v>
      </c>
      <c r="J72" s="81">
        <v>10562001</v>
      </c>
      <c r="K72" s="81">
        <v>11313386</v>
      </c>
      <c r="L72" s="81">
        <v>11250644.744908899</v>
      </c>
      <c r="M72" s="81">
        <v>11528940</v>
      </c>
      <c r="N72" s="81">
        <v>13315575.581633899</v>
      </c>
      <c r="O72" s="81">
        <v>14082964.59397989</v>
      </c>
      <c r="P72" s="84">
        <f t="shared" si="5"/>
        <v>767389.01234599017</v>
      </c>
      <c r="Q72" s="79">
        <v>63</v>
      </c>
      <c r="R72" s="80" t="s">
        <v>123</v>
      </c>
      <c r="S72" s="81">
        <v>1626342.85</v>
      </c>
      <c r="T72" s="85">
        <v>1724180.31</v>
      </c>
      <c r="U72" s="81">
        <v>1702801.93</v>
      </c>
      <c r="V72" s="81">
        <v>2485280.2999999998</v>
      </c>
      <c r="W72" s="81">
        <v>2774312.48</v>
      </c>
      <c r="X72" s="81">
        <v>3049918.2800000003</v>
      </c>
      <c r="Y72" s="81">
        <f t="shared" si="7"/>
        <v>275605.80000000028</v>
      </c>
      <c r="Z72" s="83">
        <f t="shared" si="8"/>
        <v>9.9342017882571128</v>
      </c>
      <c r="AA72" s="69"/>
      <c r="AB72" s="83">
        <v>63</v>
      </c>
      <c r="AC72" s="86" t="s">
        <v>123</v>
      </c>
      <c r="AD72" s="87">
        <v>32</v>
      </c>
      <c r="AE72" s="81">
        <v>30</v>
      </c>
      <c r="AF72" s="81">
        <f t="shared" si="12"/>
        <v>-2</v>
      </c>
      <c r="AG72" s="69"/>
      <c r="AH72" s="79">
        <v>63</v>
      </c>
      <c r="AI72" s="80" t="s">
        <v>123</v>
      </c>
      <c r="AJ72" s="79">
        <v>0.40715600000000002</v>
      </c>
      <c r="AK72" s="79">
        <v>0.40459000000000001</v>
      </c>
      <c r="AL72" s="79">
        <v>0.40735100000000002</v>
      </c>
      <c r="AM72" s="103">
        <v>0.4129758696272649</v>
      </c>
      <c r="AN72" s="739">
        <f t="shared" si="13"/>
        <v>-2.5660000000000127E-3</v>
      </c>
      <c r="AO72" s="83">
        <f t="shared" si="14"/>
        <v>-0.63022526992111438</v>
      </c>
    </row>
    <row r="73" spans="1:41" x14ac:dyDescent="0.2">
      <c r="A73" s="79">
        <v>64</v>
      </c>
      <c r="B73" s="80" t="s">
        <v>74</v>
      </c>
      <c r="C73" s="81">
        <v>26789</v>
      </c>
      <c r="D73" s="82">
        <v>26832</v>
      </c>
      <c r="E73" s="82">
        <f t="shared" ref="E73:E104" si="15">D73-C73</f>
        <v>43</v>
      </c>
      <c r="F73" s="83">
        <f t="shared" ref="F73:F104" si="16">E73/C73%</f>
        <v>0.16051364365971107</v>
      </c>
      <c r="G73" s="69"/>
      <c r="H73" s="79">
        <v>64</v>
      </c>
      <c r="I73" s="80" t="s">
        <v>74</v>
      </c>
      <c r="J73" s="81">
        <v>16595240</v>
      </c>
      <c r="K73" s="81">
        <v>18040864</v>
      </c>
      <c r="L73" s="81">
        <v>18134464.965981599</v>
      </c>
      <c r="M73" s="81">
        <v>18948541</v>
      </c>
      <c r="N73" s="81">
        <v>22014366.256827701</v>
      </c>
      <c r="O73" s="81">
        <v>23283074.670946348</v>
      </c>
      <c r="P73" s="84">
        <f t="shared" si="5"/>
        <v>1268708.4141186476</v>
      </c>
      <c r="Q73" s="79">
        <v>64</v>
      </c>
      <c r="R73" s="80" t="s">
        <v>74</v>
      </c>
      <c r="S73" s="81">
        <v>3474505.33</v>
      </c>
      <c r="T73" s="85">
        <v>3425627.82</v>
      </c>
      <c r="U73" s="81">
        <v>3750901.23</v>
      </c>
      <c r="V73" s="81">
        <v>3642712.22</v>
      </c>
      <c r="W73" s="81">
        <v>3569920.52</v>
      </c>
      <c r="X73" s="81">
        <v>3627283.8199999994</v>
      </c>
      <c r="Y73" s="81">
        <f t="shared" si="7"/>
        <v>57363.299999999348</v>
      </c>
      <c r="Z73" s="83">
        <f t="shared" si="8"/>
        <v>1.6068508998625928</v>
      </c>
      <c r="AA73" s="69"/>
      <c r="AB73" s="83">
        <v>64</v>
      </c>
      <c r="AC73" s="86" t="s">
        <v>74</v>
      </c>
      <c r="AD73" s="87">
        <v>80</v>
      </c>
      <c r="AE73" s="81">
        <v>84</v>
      </c>
      <c r="AF73" s="81">
        <f t="shared" ref="AF73:AF104" si="17">AE73-AD73</f>
        <v>4</v>
      </c>
      <c r="AG73" s="69"/>
      <c r="AH73" s="79">
        <v>64</v>
      </c>
      <c r="AI73" s="80" t="s">
        <v>74</v>
      </c>
      <c r="AJ73" s="79">
        <v>0.65679200000000004</v>
      </c>
      <c r="AK73" s="79">
        <v>0.66598400000000002</v>
      </c>
      <c r="AL73" s="79">
        <v>0.67346499999999998</v>
      </c>
      <c r="AM73" s="103">
        <v>0.68225829122070769</v>
      </c>
      <c r="AN73" s="739">
        <f t="shared" si="13"/>
        <v>9.191999999999978E-3</v>
      </c>
      <c r="AO73" s="83">
        <f t="shared" si="14"/>
        <v>1.3995298359297885</v>
      </c>
    </row>
    <row r="74" spans="1:41" x14ac:dyDescent="0.2">
      <c r="A74" s="79">
        <v>65</v>
      </c>
      <c r="B74" s="80" t="s">
        <v>89</v>
      </c>
      <c r="C74" s="81">
        <v>37464</v>
      </c>
      <c r="D74" s="82">
        <v>39657</v>
      </c>
      <c r="E74" s="82">
        <f t="shared" si="15"/>
        <v>2193</v>
      </c>
      <c r="F74" s="83">
        <f t="shared" si="16"/>
        <v>5.8536194746957078</v>
      </c>
      <c r="G74" s="69"/>
      <c r="H74" s="79">
        <v>65</v>
      </c>
      <c r="I74" s="80" t="s">
        <v>89</v>
      </c>
      <c r="J74" s="81">
        <v>14911778</v>
      </c>
      <c r="K74" s="81">
        <v>16191051</v>
      </c>
      <c r="L74" s="81">
        <v>16272084.305086801</v>
      </c>
      <c r="M74" s="81">
        <v>16988315</v>
      </c>
      <c r="N74" s="81">
        <v>19861030.3341465</v>
      </c>
      <c r="O74" s="81">
        <v>21005639.995130099</v>
      </c>
      <c r="P74" s="84">
        <f t="shared" ref="P74:P122" si="18">O74-N74</f>
        <v>1144609.6609835997</v>
      </c>
      <c r="Q74" s="79">
        <v>65</v>
      </c>
      <c r="R74" s="80" t="s">
        <v>89</v>
      </c>
      <c r="S74" s="81">
        <v>3326271.7</v>
      </c>
      <c r="T74" s="85">
        <v>3376210.22</v>
      </c>
      <c r="U74" s="81">
        <v>3431207.72</v>
      </c>
      <c r="V74" s="81">
        <v>4048712.9</v>
      </c>
      <c r="W74" s="81">
        <v>3508500.26</v>
      </c>
      <c r="X74" s="81">
        <v>3600353.4899999998</v>
      </c>
      <c r="Y74" s="81">
        <f t="shared" si="7"/>
        <v>91853.229999999981</v>
      </c>
      <c r="Z74" s="83">
        <f t="shared" si="8"/>
        <v>2.6180197575359445</v>
      </c>
      <c r="AA74" s="69"/>
      <c r="AB74" s="83">
        <v>65</v>
      </c>
      <c r="AC74" s="86" t="s">
        <v>89</v>
      </c>
      <c r="AD74" s="87">
        <v>15</v>
      </c>
      <c r="AE74" s="81">
        <v>22</v>
      </c>
      <c r="AF74" s="81">
        <f t="shared" si="17"/>
        <v>7</v>
      </c>
      <c r="AG74" s="69"/>
      <c r="AH74" s="79">
        <v>65</v>
      </c>
      <c r="AI74" s="80" t="s">
        <v>89</v>
      </c>
      <c r="AJ74" s="79">
        <v>0.58933599999999997</v>
      </c>
      <c r="AK74" s="79">
        <v>0.59704800000000002</v>
      </c>
      <c r="AL74" s="79">
        <v>0.60758999999999996</v>
      </c>
      <c r="AM74" s="103">
        <v>0.61610637638404275</v>
      </c>
      <c r="AN74" s="739">
        <f t="shared" ref="AN74:AN105" si="19">AK74-AJ74</f>
        <v>7.7120000000000521E-3</v>
      </c>
      <c r="AO74" s="83">
        <f t="shared" ref="AO74:AO105" si="20">AN74/AJ74%</f>
        <v>1.3085913638399915</v>
      </c>
    </row>
    <row r="75" spans="1:41" x14ac:dyDescent="0.2">
      <c r="A75" s="79">
        <v>66</v>
      </c>
      <c r="B75" s="80" t="s">
        <v>118</v>
      </c>
      <c r="C75" s="81">
        <v>93265</v>
      </c>
      <c r="D75" s="82">
        <v>98382</v>
      </c>
      <c r="E75" s="82">
        <f t="shared" si="15"/>
        <v>5117</v>
      </c>
      <c r="F75" s="83">
        <f t="shared" si="16"/>
        <v>5.4865169141693029</v>
      </c>
      <c r="G75" s="69"/>
      <c r="H75" s="79">
        <v>66</v>
      </c>
      <c r="I75" s="80" t="s">
        <v>118</v>
      </c>
      <c r="J75" s="81">
        <v>34389891</v>
      </c>
      <c r="K75" s="81">
        <v>36832474</v>
      </c>
      <c r="L75" s="81">
        <v>36608788.126071602</v>
      </c>
      <c r="M75" s="81">
        <v>37683130</v>
      </c>
      <c r="N75" s="81">
        <v>43919651.952380598</v>
      </c>
      <c r="O75" s="81">
        <v>46450782.366360269</v>
      </c>
      <c r="P75" s="84">
        <f t="shared" si="18"/>
        <v>2531130.4139796719</v>
      </c>
      <c r="Q75" s="79">
        <v>66</v>
      </c>
      <c r="R75" s="80" t="s">
        <v>118</v>
      </c>
      <c r="S75" s="81">
        <v>9488541.7200000007</v>
      </c>
      <c r="T75" s="85">
        <v>9845849.6600000001</v>
      </c>
      <c r="U75" s="81">
        <v>10085291.550000001</v>
      </c>
      <c r="V75" s="81">
        <v>13647524.1</v>
      </c>
      <c r="W75" s="81">
        <v>8438063.5</v>
      </c>
      <c r="X75" s="81">
        <v>9060673.1100000013</v>
      </c>
      <c r="Y75" s="81">
        <f t="shared" ref="Y75:Y122" si="21">X75-W75</f>
        <v>622609.61000000127</v>
      </c>
      <c r="Z75" s="83">
        <f t="shared" ref="Z75:Z122" si="22">Y75/W75%</f>
        <v>7.3785840791551438</v>
      </c>
      <c r="AA75" s="69"/>
      <c r="AB75" s="83">
        <v>66</v>
      </c>
      <c r="AC75" s="86" t="s">
        <v>118</v>
      </c>
      <c r="AD75" s="87">
        <v>82</v>
      </c>
      <c r="AE75" s="81">
        <v>81</v>
      </c>
      <c r="AF75" s="81">
        <f t="shared" si="17"/>
        <v>-1</v>
      </c>
      <c r="AG75" s="69"/>
      <c r="AH75" s="79">
        <v>66</v>
      </c>
      <c r="AI75" s="80" t="s">
        <v>118</v>
      </c>
      <c r="AJ75" s="79">
        <v>1.3247960000000001</v>
      </c>
      <c r="AK75" s="79">
        <v>1.3229230000000001</v>
      </c>
      <c r="AL75" s="79">
        <v>1.343593</v>
      </c>
      <c r="AM75" s="103">
        <v>1.3354363653582235</v>
      </c>
      <c r="AN75" s="739">
        <f t="shared" si="19"/>
        <v>-1.8730000000000135E-3</v>
      </c>
      <c r="AO75" s="83">
        <f t="shared" si="20"/>
        <v>-0.14138025779063443</v>
      </c>
    </row>
    <row r="76" spans="1:41" x14ac:dyDescent="0.2">
      <c r="A76" s="79">
        <v>67</v>
      </c>
      <c r="B76" s="80" t="s">
        <v>120</v>
      </c>
      <c r="C76" s="81">
        <v>16920</v>
      </c>
      <c r="D76" s="82">
        <v>16621</v>
      </c>
      <c r="E76" s="82">
        <f t="shared" si="15"/>
        <v>-299</v>
      </c>
      <c r="F76" s="83">
        <f t="shared" si="16"/>
        <v>-1.7671394799054374</v>
      </c>
      <c r="G76" s="69"/>
      <c r="H76" s="79">
        <v>67</v>
      </c>
      <c r="I76" s="80" t="s">
        <v>120</v>
      </c>
      <c r="J76" s="81">
        <v>12537055</v>
      </c>
      <c r="K76" s="81">
        <v>13497882</v>
      </c>
      <c r="L76" s="81">
        <v>13474271.191515701</v>
      </c>
      <c r="M76" s="81">
        <v>13918382</v>
      </c>
      <c r="N76" s="81">
        <v>16051676.9362629</v>
      </c>
      <c r="O76" s="81">
        <v>16976750.015913058</v>
      </c>
      <c r="P76" s="84">
        <f t="shared" si="18"/>
        <v>925073.07965015806</v>
      </c>
      <c r="Q76" s="79">
        <v>67</v>
      </c>
      <c r="R76" s="80" t="s">
        <v>120</v>
      </c>
      <c r="S76" s="81">
        <v>1983823.56</v>
      </c>
      <c r="T76" s="85">
        <v>2045899.81</v>
      </c>
      <c r="U76" s="81">
        <v>2095088.8</v>
      </c>
      <c r="V76" s="81">
        <v>2298605.0099999998</v>
      </c>
      <c r="W76" s="81">
        <v>2511191.0499999998</v>
      </c>
      <c r="X76" s="81">
        <v>2672626.83</v>
      </c>
      <c r="Y76" s="81">
        <f t="shared" si="21"/>
        <v>161435.78000000026</v>
      </c>
      <c r="Z76" s="83">
        <f t="shared" si="22"/>
        <v>6.4286538453535931</v>
      </c>
      <c r="AA76" s="69"/>
      <c r="AB76" s="83">
        <v>67</v>
      </c>
      <c r="AC76" s="86" t="s">
        <v>120</v>
      </c>
      <c r="AD76" s="87">
        <v>55</v>
      </c>
      <c r="AE76" s="81">
        <v>54</v>
      </c>
      <c r="AF76" s="81">
        <f t="shared" si="17"/>
        <v>-1</v>
      </c>
      <c r="AG76" s="69"/>
      <c r="AH76" s="79">
        <v>67</v>
      </c>
      <c r="AI76" s="80" t="s">
        <v>120</v>
      </c>
      <c r="AJ76" s="79">
        <v>0.48776399999999998</v>
      </c>
      <c r="AK76" s="79">
        <v>0.48875299999999999</v>
      </c>
      <c r="AL76" s="79">
        <v>0.49105399999999999</v>
      </c>
      <c r="AM76" s="103">
        <v>0.49589875707761588</v>
      </c>
      <c r="AN76" s="739">
        <f t="shared" si="19"/>
        <v>9.8900000000001764E-4</v>
      </c>
      <c r="AO76" s="83">
        <f t="shared" si="20"/>
        <v>0.20276199145488755</v>
      </c>
    </row>
    <row r="77" spans="1:41" x14ac:dyDescent="0.2">
      <c r="A77" s="79">
        <v>68</v>
      </c>
      <c r="B77" s="80" t="s">
        <v>144</v>
      </c>
      <c r="C77" s="81">
        <v>27832</v>
      </c>
      <c r="D77" s="82">
        <v>29389</v>
      </c>
      <c r="E77" s="82">
        <f t="shared" si="15"/>
        <v>1557</v>
      </c>
      <c r="F77" s="83">
        <f t="shared" si="16"/>
        <v>5.5942799655073294</v>
      </c>
      <c r="G77" s="69"/>
      <c r="H77" s="79">
        <v>68</v>
      </c>
      <c r="I77" s="80" t="s">
        <v>144</v>
      </c>
      <c r="J77" s="81">
        <v>16562648</v>
      </c>
      <c r="K77" s="81">
        <v>18084612</v>
      </c>
      <c r="L77" s="81">
        <v>18295888.100319501</v>
      </c>
      <c r="M77" s="81">
        <v>19096270</v>
      </c>
      <c r="N77" s="81">
        <v>22192647.761530701</v>
      </c>
      <c r="O77" s="81">
        <v>23471630.70467541</v>
      </c>
      <c r="P77" s="84">
        <f t="shared" si="18"/>
        <v>1278982.9431447089</v>
      </c>
      <c r="Q77" s="79">
        <v>68</v>
      </c>
      <c r="R77" s="80" t="s">
        <v>144</v>
      </c>
      <c r="S77" s="81">
        <v>3468964.04</v>
      </c>
      <c r="T77" s="85">
        <v>3728579.21</v>
      </c>
      <c r="U77" s="81">
        <v>3980036.3</v>
      </c>
      <c r="V77" s="81">
        <v>4020953.72</v>
      </c>
      <c r="W77" s="81">
        <v>2054978.5600000001</v>
      </c>
      <c r="X77" s="81">
        <v>2148085.71</v>
      </c>
      <c r="Y77" s="81">
        <f t="shared" si="21"/>
        <v>93107.149999999907</v>
      </c>
      <c r="Z77" s="83">
        <f t="shared" si="22"/>
        <v>4.5308088275139919</v>
      </c>
      <c r="AA77" s="69"/>
      <c r="AB77" s="83">
        <v>68</v>
      </c>
      <c r="AC77" s="86" t="s">
        <v>144</v>
      </c>
      <c r="AD77" s="87">
        <v>91</v>
      </c>
      <c r="AE77" s="81">
        <v>81</v>
      </c>
      <c r="AF77" s="81">
        <f t="shared" si="17"/>
        <v>-10</v>
      </c>
      <c r="AG77" s="69"/>
      <c r="AH77" s="79">
        <v>68</v>
      </c>
      <c r="AI77" s="80" t="s">
        <v>144</v>
      </c>
      <c r="AJ77" s="79">
        <v>0.66296500000000003</v>
      </c>
      <c r="AK77" s="79">
        <v>0.67108999999999996</v>
      </c>
      <c r="AL77" s="79">
        <v>0.67891900000000005</v>
      </c>
      <c r="AM77" s="103">
        <v>0.67575333767614432</v>
      </c>
      <c r="AN77" s="739">
        <f t="shared" si="19"/>
        <v>8.1249999999999378E-3</v>
      </c>
      <c r="AO77" s="83">
        <f t="shared" si="20"/>
        <v>1.2255548935464071</v>
      </c>
    </row>
    <row r="78" spans="1:41" x14ac:dyDescent="0.2">
      <c r="A78" s="79">
        <v>69</v>
      </c>
      <c r="B78" s="80" t="s">
        <v>84</v>
      </c>
      <c r="C78" s="81">
        <v>103702</v>
      </c>
      <c r="D78" s="82">
        <v>106490</v>
      </c>
      <c r="E78" s="82">
        <f t="shared" si="15"/>
        <v>2788</v>
      </c>
      <c r="F78" s="83">
        <f t="shared" si="16"/>
        <v>2.6884727391950012</v>
      </c>
      <c r="G78" s="69"/>
      <c r="H78" s="79">
        <v>69</v>
      </c>
      <c r="I78" s="80" t="s">
        <v>84</v>
      </c>
      <c r="J78" s="81">
        <v>52118339</v>
      </c>
      <c r="K78" s="81">
        <v>55340812</v>
      </c>
      <c r="L78" s="81">
        <v>54562374.433647797</v>
      </c>
      <c r="M78" s="81">
        <v>55432471</v>
      </c>
      <c r="N78" s="81">
        <v>63471484.4953674</v>
      </c>
      <c r="O78" s="81">
        <v>67129405.213884354</v>
      </c>
      <c r="P78" s="84">
        <f t="shared" si="18"/>
        <v>3657920.7185169533</v>
      </c>
      <c r="Q78" s="79">
        <v>69</v>
      </c>
      <c r="R78" s="80" t="s">
        <v>84</v>
      </c>
      <c r="S78" s="81">
        <v>14204439.35</v>
      </c>
      <c r="T78" s="85">
        <v>14598125.060000001</v>
      </c>
      <c r="U78" s="81">
        <v>14799289.210000001</v>
      </c>
      <c r="V78" s="81">
        <v>18266602.289999999</v>
      </c>
      <c r="W78" s="81">
        <v>16582238.58</v>
      </c>
      <c r="X78" s="81">
        <v>17529581.409999996</v>
      </c>
      <c r="Y78" s="81">
        <f t="shared" si="21"/>
        <v>947342.82999999635</v>
      </c>
      <c r="Z78" s="83">
        <f t="shared" si="22"/>
        <v>5.7129972254927983</v>
      </c>
      <c r="AA78" s="69"/>
      <c r="AB78" s="83">
        <v>69</v>
      </c>
      <c r="AC78" s="86" t="s">
        <v>84</v>
      </c>
      <c r="AD78" s="87">
        <v>104</v>
      </c>
      <c r="AE78" s="81">
        <v>81</v>
      </c>
      <c r="AF78" s="81">
        <f t="shared" si="17"/>
        <v>-23</v>
      </c>
      <c r="AG78" s="69"/>
      <c r="AH78" s="79">
        <v>69</v>
      </c>
      <c r="AI78" s="80" t="s">
        <v>84</v>
      </c>
      <c r="AJ78" s="79">
        <v>1.973301</v>
      </c>
      <c r="AK78" s="79">
        <v>1.944034</v>
      </c>
      <c r="AL78" s="79">
        <v>1.941724</v>
      </c>
      <c r="AM78" s="103">
        <v>1.9379143566293788</v>
      </c>
      <c r="AN78" s="739">
        <f t="shared" si="19"/>
        <v>-2.9266999999999932E-2</v>
      </c>
      <c r="AO78" s="83">
        <f t="shared" si="20"/>
        <v>-1.483149301601729</v>
      </c>
    </row>
    <row r="79" spans="1:41" x14ac:dyDescent="0.2">
      <c r="A79" s="79">
        <v>70</v>
      </c>
      <c r="B79" s="80" t="s">
        <v>53</v>
      </c>
      <c r="C79" s="81">
        <v>15255</v>
      </c>
      <c r="D79" s="82">
        <v>15503</v>
      </c>
      <c r="E79" s="82">
        <f t="shared" si="15"/>
        <v>248</v>
      </c>
      <c r="F79" s="83">
        <f t="shared" si="16"/>
        <v>1.6256964929531299</v>
      </c>
      <c r="G79" s="69"/>
      <c r="H79" s="79">
        <v>70</v>
      </c>
      <c r="I79" s="80" t="s">
        <v>53</v>
      </c>
      <c r="J79" s="81">
        <v>13226250</v>
      </c>
      <c r="K79" s="81">
        <v>13706034</v>
      </c>
      <c r="L79" s="81">
        <v>13224970.209351299</v>
      </c>
      <c r="M79" s="81">
        <v>13248420</v>
      </c>
      <c r="N79" s="81">
        <v>15044880.0266829</v>
      </c>
      <c r="O79" s="81">
        <v>15911930.463501059</v>
      </c>
      <c r="P79" s="84">
        <f t="shared" si="18"/>
        <v>867050.43681815825</v>
      </c>
      <c r="Q79" s="79">
        <v>70</v>
      </c>
      <c r="R79" s="80" t="s">
        <v>53</v>
      </c>
      <c r="S79" s="81">
        <v>2120535.4700000002</v>
      </c>
      <c r="T79" s="85">
        <v>2229203.04</v>
      </c>
      <c r="U79" s="81">
        <v>2284734.63</v>
      </c>
      <c r="V79" s="81">
        <v>3544564.27</v>
      </c>
      <c r="W79" s="81">
        <v>2716904.59</v>
      </c>
      <c r="X79" s="81">
        <v>2813910.15</v>
      </c>
      <c r="Y79" s="81">
        <f t="shared" si="21"/>
        <v>97005.560000000056</v>
      </c>
      <c r="Z79" s="83">
        <f t="shared" si="22"/>
        <v>3.5704441133871421</v>
      </c>
      <c r="AA79" s="69"/>
      <c r="AB79" s="83">
        <v>70</v>
      </c>
      <c r="AC79" s="86" t="s">
        <v>53</v>
      </c>
      <c r="AD79" s="87">
        <v>8</v>
      </c>
      <c r="AE79" s="81">
        <v>10</v>
      </c>
      <c r="AF79" s="81">
        <f t="shared" si="17"/>
        <v>2</v>
      </c>
      <c r="AG79" s="69"/>
      <c r="AH79" s="79">
        <v>70</v>
      </c>
      <c r="AI79" s="80" t="s">
        <v>53</v>
      </c>
      <c r="AJ79" s="79">
        <v>0.47751100000000002</v>
      </c>
      <c r="AK79" s="79">
        <v>0.464144</v>
      </c>
      <c r="AL79" s="79">
        <v>0.460254</v>
      </c>
      <c r="AM79" s="103">
        <v>0.45276028726874407</v>
      </c>
      <c r="AN79" s="739">
        <f t="shared" si="19"/>
        <v>-1.3367000000000018E-2</v>
      </c>
      <c r="AO79" s="83">
        <f t="shared" si="20"/>
        <v>-2.7993072410897377</v>
      </c>
    </row>
    <row r="80" spans="1:41" x14ac:dyDescent="0.2">
      <c r="A80" s="79">
        <v>71</v>
      </c>
      <c r="B80" s="80" t="s">
        <v>143</v>
      </c>
      <c r="C80" s="81">
        <v>67644</v>
      </c>
      <c r="D80" s="82">
        <v>69260</v>
      </c>
      <c r="E80" s="82">
        <f t="shared" si="15"/>
        <v>1616</v>
      </c>
      <c r="F80" s="83">
        <f t="shared" si="16"/>
        <v>2.3889775885518301</v>
      </c>
      <c r="G80" s="69"/>
      <c r="H80" s="79">
        <v>71</v>
      </c>
      <c r="I80" s="80" t="s">
        <v>143</v>
      </c>
      <c r="J80" s="81">
        <v>25480045</v>
      </c>
      <c r="K80" s="81">
        <v>27441377</v>
      </c>
      <c r="L80" s="81">
        <v>27418418.3551904</v>
      </c>
      <c r="M80" s="81">
        <v>28320943</v>
      </c>
      <c r="N80" s="81">
        <v>33062164.487844002</v>
      </c>
      <c r="O80" s="81">
        <v>34967567.795181595</v>
      </c>
      <c r="P80" s="84">
        <f t="shared" si="18"/>
        <v>1905403.3073375933</v>
      </c>
      <c r="Q80" s="79">
        <v>71</v>
      </c>
      <c r="R80" s="80" t="s">
        <v>143</v>
      </c>
      <c r="S80" s="81">
        <v>7889686.1900000004</v>
      </c>
      <c r="T80" s="85">
        <v>8256278.8799999999</v>
      </c>
      <c r="U80" s="81">
        <v>8460568.1600000001</v>
      </c>
      <c r="V80" s="81">
        <v>10858264.449999999</v>
      </c>
      <c r="W80" s="81">
        <v>10329735.99</v>
      </c>
      <c r="X80" s="81">
        <v>11370084.970000001</v>
      </c>
      <c r="Y80" s="81">
        <f t="shared" si="21"/>
        <v>1040348.9800000004</v>
      </c>
      <c r="Z80" s="83">
        <f t="shared" si="22"/>
        <v>10.071399511150531</v>
      </c>
      <c r="AA80" s="69"/>
      <c r="AB80" s="83">
        <v>71</v>
      </c>
      <c r="AC80" s="86" t="s">
        <v>143</v>
      </c>
      <c r="AD80" s="87">
        <v>49</v>
      </c>
      <c r="AE80" s="81">
        <v>50</v>
      </c>
      <c r="AF80" s="81">
        <f t="shared" si="17"/>
        <v>1</v>
      </c>
      <c r="AG80" s="69"/>
      <c r="AH80" s="79">
        <v>71</v>
      </c>
      <c r="AI80" s="80" t="s">
        <v>143</v>
      </c>
      <c r="AJ80" s="79">
        <v>0.99260800000000005</v>
      </c>
      <c r="AK80" s="79">
        <v>0.99449900000000002</v>
      </c>
      <c r="AL80" s="79">
        <v>1.0114399999999999</v>
      </c>
      <c r="AM80" s="103">
        <v>1.0293232730224757</v>
      </c>
      <c r="AN80" s="739">
        <f t="shared" si="19"/>
        <v>1.890999999999976E-3</v>
      </c>
      <c r="AO80" s="83">
        <f t="shared" si="20"/>
        <v>0.19050823688706681</v>
      </c>
    </row>
    <row r="81" spans="1:41" x14ac:dyDescent="0.2">
      <c r="A81" s="79">
        <v>72</v>
      </c>
      <c r="B81" s="80" t="s">
        <v>132</v>
      </c>
      <c r="C81" s="81">
        <v>13836</v>
      </c>
      <c r="D81" s="82">
        <v>13961</v>
      </c>
      <c r="E81" s="82">
        <f t="shared" si="15"/>
        <v>125</v>
      </c>
      <c r="F81" s="83">
        <f t="shared" si="16"/>
        <v>0.90344030066493197</v>
      </c>
      <c r="G81" s="69"/>
      <c r="H81" s="79">
        <v>72</v>
      </c>
      <c r="I81" s="80" t="s">
        <v>132</v>
      </c>
      <c r="J81" s="81">
        <v>9747721</v>
      </c>
      <c r="K81" s="81">
        <v>10462384</v>
      </c>
      <c r="L81" s="81">
        <v>10420472.0841024</v>
      </c>
      <c r="M81" s="81">
        <v>10709161</v>
      </c>
      <c r="N81" s="81">
        <v>12354607.5443666</v>
      </c>
      <c r="O81" s="81">
        <v>13066615.074440669</v>
      </c>
      <c r="P81" s="84">
        <f t="shared" si="18"/>
        <v>712007.53007406928</v>
      </c>
      <c r="Q81" s="79">
        <v>72</v>
      </c>
      <c r="R81" s="80" t="s">
        <v>132</v>
      </c>
      <c r="S81" s="81">
        <v>1211331.67</v>
      </c>
      <c r="T81" s="85">
        <v>1278179.8700000001</v>
      </c>
      <c r="U81" s="81">
        <v>1318477.33</v>
      </c>
      <c r="V81" s="81">
        <v>1805051.93</v>
      </c>
      <c r="W81" s="81">
        <v>1631875.09</v>
      </c>
      <c r="X81" s="81">
        <v>1741160.3200000003</v>
      </c>
      <c r="Y81" s="81">
        <f t="shared" si="21"/>
        <v>109285.23000000021</v>
      </c>
      <c r="Z81" s="83">
        <f t="shared" si="22"/>
        <v>6.6969114652029038</v>
      </c>
      <c r="AA81" s="69"/>
      <c r="AB81" s="83">
        <v>72</v>
      </c>
      <c r="AC81" s="86" t="s">
        <v>132</v>
      </c>
      <c r="AD81" s="87">
        <v>35</v>
      </c>
      <c r="AE81" s="81">
        <v>31</v>
      </c>
      <c r="AF81" s="81">
        <f t="shared" si="17"/>
        <v>-4</v>
      </c>
      <c r="AG81" s="69"/>
      <c r="AH81" s="79">
        <v>72</v>
      </c>
      <c r="AI81" s="80" t="s">
        <v>132</v>
      </c>
      <c r="AJ81" s="79">
        <v>0.37715599999999999</v>
      </c>
      <c r="AK81" s="79">
        <v>0.37590699999999999</v>
      </c>
      <c r="AL81" s="79">
        <v>0.37795299999999998</v>
      </c>
      <c r="AM81" s="103">
        <v>0.37959975135420537</v>
      </c>
      <c r="AN81" s="739">
        <f t="shared" si="19"/>
        <v>-1.2490000000000001E-3</v>
      </c>
      <c r="AO81" s="83">
        <f t="shared" si="20"/>
        <v>-0.33116270190584274</v>
      </c>
    </row>
    <row r="82" spans="1:41" x14ac:dyDescent="0.2">
      <c r="A82" s="79">
        <v>73</v>
      </c>
      <c r="B82" s="80" t="s">
        <v>85</v>
      </c>
      <c r="C82" s="81">
        <v>27862</v>
      </c>
      <c r="D82" s="82">
        <v>27176</v>
      </c>
      <c r="E82" s="82">
        <f t="shared" si="15"/>
        <v>-686</v>
      </c>
      <c r="F82" s="83">
        <f t="shared" si="16"/>
        <v>-2.4621348072643743</v>
      </c>
      <c r="G82" s="69"/>
      <c r="H82" s="79">
        <v>73</v>
      </c>
      <c r="I82" s="80" t="s">
        <v>85</v>
      </c>
      <c r="J82" s="81">
        <v>14030525</v>
      </c>
      <c r="K82" s="81">
        <v>15008202</v>
      </c>
      <c r="L82" s="81">
        <v>14886912.5191558</v>
      </c>
      <c r="M82" s="81">
        <v>15218101</v>
      </c>
      <c r="N82" s="81">
        <v>17586715.341258898</v>
      </c>
      <c r="O82" s="81">
        <v>18600254.112707462</v>
      </c>
      <c r="P82" s="84">
        <f t="shared" si="18"/>
        <v>1013538.7714485638</v>
      </c>
      <c r="Q82" s="79">
        <v>73</v>
      </c>
      <c r="R82" s="80" t="s">
        <v>85</v>
      </c>
      <c r="S82" s="81">
        <v>2322834.06</v>
      </c>
      <c r="T82" s="85">
        <v>2332346.4</v>
      </c>
      <c r="U82" s="81">
        <v>2449511.69</v>
      </c>
      <c r="V82" s="81">
        <v>3737344.49</v>
      </c>
      <c r="W82" s="81">
        <v>4004461.55</v>
      </c>
      <c r="X82" s="81">
        <v>4207485.91</v>
      </c>
      <c r="Y82" s="81">
        <f t="shared" si="21"/>
        <v>203024.36000000034</v>
      </c>
      <c r="Z82" s="83">
        <f t="shared" si="22"/>
        <v>5.0699540366419633</v>
      </c>
      <c r="AA82" s="69"/>
      <c r="AB82" s="83">
        <v>73</v>
      </c>
      <c r="AC82" s="86" t="s">
        <v>85</v>
      </c>
      <c r="AD82" s="87">
        <v>18</v>
      </c>
      <c r="AE82" s="81">
        <v>16</v>
      </c>
      <c r="AF82" s="81">
        <f t="shared" si="17"/>
        <v>-2</v>
      </c>
      <c r="AG82" s="69"/>
      <c r="AH82" s="79">
        <v>73</v>
      </c>
      <c r="AI82" s="80" t="s">
        <v>85</v>
      </c>
      <c r="AJ82" s="79">
        <v>0.53864299999999998</v>
      </c>
      <c r="AK82" s="79">
        <v>0.53395700000000001</v>
      </c>
      <c r="AL82" s="79">
        <v>0.53801399999999999</v>
      </c>
      <c r="AM82" s="103">
        <v>0.54523736836455028</v>
      </c>
      <c r="AN82" s="739">
        <f t="shared" si="19"/>
        <v>-4.685999999999968E-3</v>
      </c>
      <c r="AO82" s="83">
        <f t="shared" si="20"/>
        <v>-0.86996396500093154</v>
      </c>
    </row>
    <row r="83" spans="1:41" x14ac:dyDescent="0.2">
      <c r="A83" s="79">
        <v>74</v>
      </c>
      <c r="B83" s="81" t="s">
        <v>133</v>
      </c>
      <c r="C83" s="81">
        <v>10450</v>
      </c>
      <c r="D83" s="82">
        <v>10553</v>
      </c>
      <c r="E83" s="82">
        <f t="shared" si="15"/>
        <v>103</v>
      </c>
      <c r="F83" s="83">
        <f t="shared" si="16"/>
        <v>0.9856459330143541</v>
      </c>
      <c r="G83" s="69"/>
      <c r="H83" s="79">
        <v>74</v>
      </c>
      <c r="I83" s="81" t="s">
        <v>133</v>
      </c>
      <c r="J83" s="81">
        <v>7527040</v>
      </c>
      <c r="K83" s="81">
        <v>8146325</v>
      </c>
      <c r="L83" s="81">
        <v>8170163.9737690799</v>
      </c>
      <c r="M83" s="81">
        <v>8441076</v>
      </c>
      <c r="N83" s="81">
        <v>9813033.7354813498</v>
      </c>
      <c r="O83" s="81">
        <v>10378568.001741389</v>
      </c>
      <c r="P83" s="84">
        <f t="shared" si="18"/>
        <v>565534.26626003906</v>
      </c>
      <c r="Q83" s="79">
        <v>74</v>
      </c>
      <c r="R83" s="81" t="s">
        <v>133</v>
      </c>
      <c r="S83" s="81">
        <v>982033.9</v>
      </c>
      <c r="T83" s="85">
        <v>1021011.96</v>
      </c>
      <c r="U83" s="81">
        <v>1045969.54</v>
      </c>
      <c r="V83" s="81">
        <v>1568214.73</v>
      </c>
      <c r="W83" s="81">
        <v>1393623.34</v>
      </c>
      <c r="X83" s="81">
        <v>1407699</v>
      </c>
      <c r="Y83" s="81">
        <f t="shared" si="21"/>
        <v>14075.659999999916</v>
      </c>
      <c r="Z83" s="83">
        <f t="shared" si="22"/>
        <v>1.0100046114325205</v>
      </c>
      <c r="AA83" s="69"/>
      <c r="AB83" s="83">
        <v>74</v>
      </c>
      <c r="AC83" s="81" t="s">
        <v>133</v>
      </c>
      <c r="AD83" s="87">
        <v>14</v>
      </c>
      <c r="AE83" s="81">
        <v>12</v>
      </c>
      <c r="AF83" s="81">
        <f t="shared" si="17"/>
        <v>-2</v>
      </c>
      <c r="AG83" s="69"/>
      <c r="AH83" s="79">
        <v>74</v>
      </c>
      <c r="AI83" s="81" t="s">
        <v>133</v>
      </c>
      <c r="AJ83" s="79">
        <v>0.29586000000000001</v>
      </c>
      <c r="AK83" s="79">
        <v>0.29641000000000001</v>
      </c>
      <c r="AL83" s="79">
        <v>0.300201</v>
      </c>
      <c r="AM83" s="103">
        <v>0.30331668753372276</v>
      </c>
      <c r="AN83" s="739">
        <f t="shared" si="19"/>
        <v>5.4999999999999494E-4</v>
      </c>
      <c r="AO83" s="83">
        <f t="shared" si="20"/>
        <v>0.18589873588859424</v>
      </c>
    </row>
    <row r="84" spans="1:41" x14ac:dyDescent="0.2">
      <c r="A84" s="79">
        <v>75</v>
      </c>
      <c r="B84" s="80" t="s">
        <v>146</v>
      </c>
      <c r="C84" s="81">
        <v>69723</v>
      </c>
      <c r="D84" s="82">
        <v>78935</v>
      </c>
      <c r="E84" s="82">
        <f t="shared" si="15"/>
        <v>9212</v>
      </c>
      <c r="F84" s="83">
        <f t="shared" si="16"/>
        <v>13.212282890868149</v>
      </c>
      <c r="G84" s="69"/>
      <c r="H84" s="79">
        <v>75</v>
      </c>
      <c r="I84" s="80" t="s">
        <v>146</v>
      </c>
      <c r="J84" s="81">
        <v>24982203</v>
      </c>
      <c r="K84" s="81">
        <v>27107295</v>
      </c>
      <c r="L84" s="81">
        <v>27268073.917115901</v>
      </c>
      <c r="M84" s="81">
        <v>28383653</v>
      </c>
      <c r="N84" s="81">
        <v>33088413.1215581</v>
      </c>
      <c r="O84" s="81">
        <v>34995329.162083767</v>
      </c>
      <c r="P84" s="84">
        <f t="shared" si="18"/>
        <v>1906916.0405256674</v>
      </c>
      <c r="Q84" s="79">
        <v>75</v>
      </c>
      <c r="R84" s="80" t="s">
        <v>146</v>
      </c>
      <c r="S84" s="81">
        <v>8204097.8399999999</v>
      </c>
      <c r="T84" s="85">
        <v>8631224.5399999991</v>
      </c>
      <c r="U84" s="81">
        <v>8979930.6400000006</v>
      </c>
      <c r="V84" s="81">
        <v>9926541.5299999993</v>
      </c>
      <c r="W84" s="81">
        <v>9431860.2400000002</v>
      </c>
      <c r="X84" s="81">
        <v>9833400.4499999993</v>
      </c>
      <c r="Y84" s="81">
        <f t="shared" si="21"/>
        <v>401540.20999999903</v>
      </c>
      <c r="Z84" s="83">
        <f t="shared" si="22"/>
        <v>4.2572748088133148</v>
      </c>
      <c r="AA84" s="69"/>
      <c r="AB84" s="83">
        <v>75</v>
      </c>
      <c r="AC84" s="86" t="s">
        <v>146</v>
      </c>
      <c r="AD84" s="87">
        <v>55</v>
      </c>
      <c r="AE84" s="81">
        <v>48</v>
      </c>
      <c r="AF84" s="81">
        <f t="shared" si="17"/>
        <v>-7</v>
      </c>
      <c r="AG84" s="69"/>
      <c r="AH84" s="79">
        <v>75</v>
      </c>
      <c r="AI84" s="80" t="s">
        <v>146</v>
      </c>
      <c r="AJ84" s="79">
        <v>0.98766100000000001</v>
      </c>
      <c r="AK84" s="79">
        <v>0.99728600000000001</v>
      </c>
      <c r="AL84" s="79">
        <v>1.012243</v>
      </c>
      <c r="AM84" s="103">
        <v>1.0285737238417199</v>
      </c>
      <c r="AN84" s="739">
        <f t="shared" si="19"/>
        <v>9.6249999999999947E-3</v>
      </c>
      <c r="AO84" s="83">
        <f t="shared" si="20"/>
        <v>0.97452465977698766</v>
      </c>
    </row>
    <row r="85" spans="1:41" x14ac:dyDescent="0.2">
      <c r="A85" s="79">
        <v>76</v>
      </c>
      <c r="B85" s="80" t="s">
        <v>148</v>
      </c>
      <c r="C85" s="81">
        <v>76587</v>
      </c>
      <c r="D85" s="82">
        <v>78477</v>
      </c>
      <c r="E85" s="82">
        <f t="shared" si="15"/>
        <v>1890</v>
      </c>
      <c r="F85" s="83">
        <f t="shared" si="16"/>
        <v>2.4677817384151357</v>
      </c>
      <c r="G85" s="69"/>
      <c r="H85" s="79">
        <v>76</v>
      </c>
      <c r="I85" s="80" t="s">
        <v>148</v>
      </c>
      <c r="J85" s="81">
        <v>44793489</v>
      </c>
      <c r="K85" s="81">
        <v>48663172</v>
      </c>
      <c r="L85" s="81">
        <v>49164962.658078901</v>
      </c>
      <c r="M85" s="81">
        <v>51228865</v>
      </c>
      <c r="N85" s="81">
        <v>59683574.564129397</v>
      </c>
      <c r="O85" s="81">
        <v>63123194.50825116</v>
      </c>
      <c r="P85" s="84">
        <f t="shared" si="18"/>
        <v>3439619.9441217631</v>
      </c>
      <c r="Q85" s="79">
        <v>76</v>
      </c>
      <c r="R85" s="80" t="s">
        <v>148</v>
      </c>
      <c r="S85" s="81">
        <v>9955051.7899999991</v>
      </c>
      <c r="T85" s="85">
        <v>11578839.16</v>
      </c>
      <c r="U85" s="81">
        <v>12196965.92</v>
      </c>
      <c r="V85" s="81">
        <v>13514546.210000001</v>
      </c>
      <c r="W85" s="81">
        <v>12157872.529999999</v>
      </c>
      <c r="X85" s="81">
        <v>13436825.489999998</v>
      </c>
      <c r="Y85" s="81">
        <f t="shared" si="21"/>
        <v>1278952.959999999</v>
      </c>
      <c r="Z85" s="83">
        <f t="shared" si="22"/>
        <v>10.519545725159853</v>
      </c>
      <c r="AA85" s="69"/>
      <c r="AB85" s="83">
        <v>76</v>
      </c>
      <c r="AC85" s="86" t="s">
        <v>148</v>
      </c>
      <c r="AD85" s="87">
        <v>36</v>
      </c>
      <c r="AE85" s="81">
        <v>33</v>
      </c>
      <c r="AF85" s="81">
        <f t="shared" si="17"/>
        <v>-3</v>
      </c>
      <c r="AG85" s="69"/>
      <c r="AH85" s="79">
        <v>76</v>
      </c>
      <c r="AI85" s="80" t="s">
        <v>148</v>
      </c>
      <c r="AJ85" s="79">
        <v>1.78139</v>
      </c>
      <c r="AK85" s="79">
        <v>1.800073</v>
      </c>
      <c r="AL85" s="79">
        <v>1.825844</v>
      </c>
      <c r="AM85" s="103">
        <v>1.8486226542644943</v>
      </c>
      <c r="AN85" s="739">
        <f t="shared" si="19"/>
        <v>1.8683000000000005E-2</v>
      </c>
      <c r="AO85" s="83">
        <f t="shared" si="20"/>
        <v>1.0487877444018439</v>
      </c>
    </row>
    <row r="86" spans="1:41" x14ac:dyDescent="0.2">
      <c r="A86" s="79">
        <v>77</v>
      </c>
      <c r="B86" s="80" t="s">
        <v>45</v>
      </c>
      <c r="C86" s="81">
        <v>17845</v>
      </c>
      <c r="D86" s="82">
        <v>17677</v>
      </c>
      <c r="E86" s="82">
        <f t="shared" si="15"/>
        <v>-168</v>
      </c>
      <c r="F86" s="83">
        <f t="shared" si="16"/>
        <v>-0.94144017932193902</v>
      </c>
      <c r="G86" s="69"/>
      <c r="H86" s="79">
        <v>77</v>
      </c>
      <c r="I86" s="80" t="s">
        <v>45</v>
      </c>
      <c r="J86" s="81">
        <v>15705488</v>
      </c>
      <c r="K86" s="81">
        <v>17247997</v>
      </c>
      <c r="L86" s="81">
        <v>17269786.6112106</v>
      </c>
      <c r="M86" s="81">
        <v>17903310</v>
      </c>
      <c r="N86" s="81">
        <v>20469063.753467899</v>
      </c>
      <c r="O86" s="81">
        <v>21648714.946247492</v>
      </c>
      <c r="P86" s="84">
        <f t="shared" si="18"/>
        <v>1179651.1927795932</v>
      </c>
      <c r="Q86" s="79">
        <v>77</v>
      </c>
      <c r="R86" s="80" t="s">
        <v>45</v>
      </c>
      <c r="S86" s="81">
        <v>4562711</v>
      </c>
      <c r="T86" s="85">
        <v>3183469.69</v>
      </c>
      <c r="U86" s="81">
        <v>3534473.55</v>
      </c>
      <c r="V86" s="81">
        <v>2506527.6</v>
      </c>
      <c r="W86" s="81">
        <v>2586765.02</v>
      </c>
      <c r="X86" s="81">
        <v>2896397.6799999997</v>
      </c>
      <c r="Y86" s="81">
        <f t="shared" si="21"/>
        <v>309632.65999999968</v>
      </c>
      <c r="Z86" s="83">
        <f t="shared" si="22"/>
        <v>11.969879660735465</v>
      </c>
      <c r="AA86" s="69"/>
      <c r="AB86" s="83">
        <v>77</v>
      </c>
      <c r="AC86" s="86" t="s">
        <v>45</v>
      </c>
      <c r="AD86" s="87">
        <v>83</v>
      </c>
      <c r="AE86" s="81">
        <v>78</v>
      </c>
      <c r="AF86" s="81">
        <f t="shared" si="17"/>
        <v>-5</v>
      </c>
      <c r="AG86" s="69"/>
      <c r="AH86" s="79">
        <v>77</v>
      </c>
      <c r="AI86" s="80" t="s">
        <v>45</v>
      </c>
      <c r="AJ86" s="79">
        <v>0.62523200000000001</v>
      </c>
      <c r="AK86" s="79">
        <v>0.62886500000000001</v>
      </c>
      <c r="AL86" s="79">
        <v>0.62619100000000005</v>
      </c>
      <c r="AM86" s="103">
        <v>0.62617785985321539</v>
      </c>
      <c r="AN86" s="739">
        <f t="shared" si="19"/>
        <v>3.6329999999999973E-3</v>
      </c>
      <c r="AO86" s="83">
        <f t="shared" si="20"/>
        <v>0.58106430892852523</v>
      </c>
    </row>
    <row r="87" spans="1:41" x14ac:dyDescent="0.2">
      <c r="A87" s="79">
        <v>78</v>
      </c>
      <c r="B87" s="80" t="s">
        <v>141</v>
      </c>
      <c r="C87" s="81">
        <v>12466</v>
      </c>
      <c r="D87" s="82">
        <v>12812</v>
      </c>
      <c r="E87" s="82">
        <f t="shared" si="15"/>
        <v>346</v>
      </c>
      <c r="F87" s="83">
        <f t="shared" si="16"/>
        <v>2.7755494946253809</v>
      </c>
      <c r="G87" s="69"/>
      <c r="H87" s="79">
        <v>78</v>
      </c>
      <c r="I87" s="80" t="s">
        <v>141</v>
      </c>
      <c r="J87" s="81">
        <v>10261307</v>
      </c>
      <c r="K87" s="81">
        <v>11044230</v>
      </c>
      <c r="L87" s="81">
        <v>11026514.023214299</v>
      </c>
      <c r="M87" s="81">
        <v>11425098</v>
      </c>
      <c r="N87" s="81">
        <v>13270204.344280099</v>
      </c>
      <c r="O87" s="81">
        <v>14034978.569994569</v>
      </c>
      <c r="P87" s="84">
        <f t="shared" si="18"/>
        <v>764774.22571446933</v>
      </c>
      <c r="Q87" s="79">
        <v>78</v>
      </c>
      <c r="R87" s="80" t="s">
        <v>141</v>
      </c>
      <c r="S87" s="81">
        <v>1205699.48</v>
      </c>
      <c r="T87" s="85">
        <v>1274317.45</v>
      </c>
      <c r="U87" s="81">
        <v>1329354.54</v>
      </c>
      <c r="V87" s="81">
        <v>1791716.28</v>
      </c>
      <c r="W87" s="81">
        <v>1441647.66</v>
      </c>
      <c r="X87" s="81">
        <v>1701822.68</v>
      </c>
      <c r="Y87" s="81">
        <f t="shared" si="21"/>
        <v>260175.02000000002</v>
      </c>
      <c r="Z87" s="83">
        <f t="shared" si="22"/>
        <v>18.047060125634307</v>
      </c>
      <c r="AA87" s="69"/>
      <c r="AB87" s="83">
        <v>78</v>
      </c>
      <c r="AC87" s="86" t="s">
        <v>141</v>
      </c>
      <c r="AD87" s="87">
        <v>18</v>
      </c>
      <c r="AE87" s="81">
        <v>21</v>
      </c>
      <c r="AF87" s="81">
        <f t="shared" si="17"/>
        <v>3</v>
      </c>
      <c r="AG87" s="69"/>
      <c r="AH87" s="79">
        <v>78</v>
      </c>
      <c r="AI87" s="80" t="s">
        <v>141</v>
      </c>
      <c r="AJ87" s="79">
        <v>0.39916299999999999</v>
      </c>
      <c r="AK87" s="79">
        <v>0.40129999999999999</v>
      </c>
      <c r="AL87" s="79">
        <v>0.40596300000000002</v>
      </c>
      <c r="AM87" s="103">
        <v>0.40891820863295053</v>
      </c>
      <c r="AN87" s="739">
        <f t="shared" si="19"/>
        <v>2.137E-3</v>
      </c>
      <c r="AO87" s="83">
        <f t="shared" si="20"/>
        <v>0.53537026227380802</v>
      </c>
    </row>
    <row r="88" spans="1:41" x14ac:dyDescent="0.2">
      <c r="A88" s="79">
        <v>79</v>
      </c>
      <c r="B88" s="80" t="s">
        <v>138</v>
      </c>
      <c r="C88" s="81">
        <v>49588</v>
      </c>
      <c r="D88" s="82">
        <v>49896</v>
      </c>
      <c r="E88" s="82">
        <f t="shared" si="15"/>
        <v>308</v>
      </c>
      <c r="F88" s="83">
        <f t="shared" si="16"/>
        <v>0.6211180124223602</v>
      </c>
      <c r="G88" s="69"/>
      <c r="H88" s="79">
        <v>79</v>
      </c>
      <c r="I88" s="80" t="s">
        <v>138</v>
      </c>
      <c r="J88" s="81">
        <v>20723038</v>
      </c>
      <c r="K88" s="81">
        <v>22496553</v>
      </c>
      <c r="L88" s="81">
        <v>22625941.1457371</v>
      </c>
      <c r="M88" s="81">
        <v>23421455</v>
      </c>
      <c r="N88" s="81">
        <v>27315053.921132401</v>
      </c>
      <c r="O88" s="81">
        <v>28889245.898205362</v>
      </c>
      <c r="P88" s="84">
        <f t="shared" si="18"/>
        <v>1574191.9770729616</v>
      </c>
      <c r="Q88" s="79">
        <v>79</v>
      </c>
      <c r="R88" s="80" t="s">
        <v>138</v>
      </c>
      <c r="S88" s="81">
        <v>4111323.65</v>
      </c>
      <c r="T88" s="85">
        <v>4291252.04</v>
      </c>
      <c r="U88" s="81">
        <v>4543678.08</v>
      </c>
      <c r="V88" s="81">
        <v>6157172.9500000002</v>
      </c>
      <c r="W88" s="81">
        <v>5166141.93</v>
      </c>
      <c r="X88" s="81">
        <v>5388421.0199999996</v>
      </c>
      <c r="Y88" s="81">
        <f t="shared" si="21"/>
        <v>222279.08999999985</v>
      </c>
      <c r="Z88" s="83">
        <f t="shared" si="22"/>
        <v>4.302612917179375</v>
      </c>
      <c r="AA88" s="69"/>
      <c r="AB88" s="83">
        <v>79</v>
      </c>
      <c r="AC88" s="86" t="s">
        <v>138</v>
      </c>
      <c r="AD88" s="87">
        <v>95</v>
      </c>
      <c r="AE88" s="81">
        <v>81</v>
      </c>
      <c r="AF88" s="81">
        <f t="shared" si="17"/>
        <v>-14</v>
      </c>
      <c r="AG88" s="69"/>
      <c r="AH88" s="79">
        <v>79</v>
      </c>
      <c r="AI88" s="80" t="s">
        <v>138</v>
      </c>
      <c r="AJ88" s="79">
        <v>0.81950699999999999</v>
      </c>
      <c r="AK88" s="79">
        <v>0.82256499999999999</v>
      </c>
      <c r="AL88" s="79">
        <v>0.83562400000000003</v>
      </c>
      <c r="AM88" s="103">
        <v>0.84433441017591815</v>
      </c>
      <c r="AN88" s="739">
        <f t="shared" si="19"/>
        <v>3.0580000000000052E-3</v>
      </c>
      <c r="AO88" s="83">
        <f t="shared" si="20"/>
        <v>0.37315117503572331</v>
      </c>
    </row>
    <row r="89" spans="1:41" x14ac:dyDescent="0.2">
      <c r="A89" s="79">
        <v>80</v>
      </c>
      <c r="B89" s="80" t="s">
        <v>93</v>
      </c>
      <c r="C89" s="81">
        <v>19146</v>
      </c>
      <c r="D89" s="82">
        <v>19833</v>
      </c>
      <c r="E89" s="82">
        <f t="shared" si="15"/>
        <v>687</v>
      </c>
      <c r="F89" s="83">
        <f t="shared" si="16"/>
        <v>3.5882168599185209</v>
      </c>
      <c r="G89" s="69"/>
      <c r="H89" s="79">
        <v>80</v>
      </c>
      <c r="I89" s="80" t="s">
        <v>93</v>
      </c>
      <c r="J89" s="81">
        <v>11632901</v>
      </c>
      <c r="K89" s="81">
        <v>12398927</v>
      </c>
      <c r="L89" s="81">
        <v>12268642.091541</v>
      </c>
      <c r="M89" s="81">
        <v>12880419</v>
      </c>
      <c r="N89" s="81">
        <v>14993494.1584407</v>
      </c>
      <c r="O89" s="81">
        <v>15857583.179851981</v>
      </c>
      <c r="P89" s="84">
        <f t="shared" si="18"/>
        <v>864089.02141128108</v>
      </c>
      <c r="Q89" s="79">
        <v>80</v>
      </c>
      <c r="R89" s="80" t="s">
        <v>93</v>
      </c>
      <c r="S89" s="81">
        <v>163052.26</v>
      </c>
      <c r="T89" s="85">
        <v>172275.92</v>
      </c>
      <c r="U89" s="81">
        <v>1462217.22</v>
      </c>
      <c r="V89" s="81">
        <v>1217018.19</v>
      </c>
      <c r="W89" s="81">
        <v>1011181.33</v>
      </c>
      <c r="X89" s="81">
        <v>1012659.7500000002</v>
      </c>
      <c r="Y89" s="81">
        <f t="shared" si="21"/>
        <v>1478.4200000002747</v>
      </c>
      <c r="Z89" s="83">
        <f t="shared" si="22"/>
        <v>0.14620720894839651</v>
      </c>
      <c r="AA89" s="69"/>
      <c r="AB89" s="83">
        <v>80</v>
      </c>
      <c r="AC89" s="86" t="s">
        <v>93</v>
      </c>
      <c r="AD89" s="87">
        <v>55</v>
      </c>
      <c r="AE89" s="81">
        <v>61</v>
      </c>
      <c r="AF89" s="81">
        <f t="shared" si="17"/>
        <v>6</v>
      </c>
      <c r="AG89" s="69"/>
      <c r="AH89" s="79">
        <v>80</v>
      </c>
      <c r="AI89" s="80" t="s">
        <v>93</v>
      </c>
      <c r="AJ89" s="79">
        <v>0.44383099999999998</v>
      </c>
      <c r="AK89" s="79">
        <v>0.45292300000000002</v>
      </c>
      <c r="AL89" s="79">
        <v>0.45868199999999998</v>
      </c>
      <c r="AM89" s="103">
        <v>0.46363146233053276</v>
      </c>
      <c r="AN89" s="739">
        <f t="shared" si="19"/>
        <v>9.0920000000000445E-3</v>
      </c>
      <c r="AO89" s="83">
        <f t="shared" si="20"/>
        <v>2.0485274800543549</v>
      </c>
    </row>
    <row r="90" spans="1:41" x14ac:dyDescent="0.2">
      <c r="A90" s="79">
        <v>81</v>
      </c>
      <c r="B90" s="80" t="s">
        <v>116</v>
      </c>
      <c r="C90" s="81">
        <v>8804</v>
      </c>
      <c r="D90" s="82">
        <v>9076</v>
      </c>
      <c r="E90" s="82">
        <f t="shared" si="15"/>
        <v>272</v>
      </c>
      <c r="F90" s="83">
        <f t="shared" si="16"/>
        <v>3.0895047705588365</v>
      </c>
      <c r="G90" s="69"/>
      <c r="H90" s="79">
        <v>81</v>
      </c>
      <c r="I90" s="80" t="s">
        <v>116</v>
      </c>
      <c r="J90" s="81">
        <v>11207313</v>
      </c>
      <c r="K90" s="81">
        <v>11981637</v>
      </c>
      <c r="L90" s="81">
        <v>11890824.6732908</v>
      </c>
      <c r="M90" s="81">
        <v>12232124</v>
      </c>
      <c r="N90" s="81">
        <v>14050308.5081478</v>
      </c>
      <c r="O90" s="81">
        <v>14860040.862796919</v>
      </c>
      <c r="P90" s="84">
        <f t="shared" si="18"/>
        <v>809732.35464911908</v>
      </c>
      <c r="Q90" s="79">
        <v>81</v>
      </c>
      <c r="R90" s="80" t="s">
        <v>116</v>
      </c>
      <c r="S90" s="81">
        <v>401451.5</v>
      </c>
      <c r="T90" s="85">
        <v>435030.56</v>
      </c>
      <c r="U90" s="81">
        <v>458924.62</v>
      </c>
      <c r="V90" s="81">
        <v>652468.31999999995</v>
      </c>
      <c r="W90" s="81">
        <v>911363.83</v>
      </c>
      <c r="X90" s="81">
        <v>963508.09</v>
      </c>
      <c r="Y90" s="81">
        <f t="shared" si="21"/>
        <v>52144.260000000009</v>
      </c>
      <c r="Z90" s="83">
        <f t="shared" si="22"/>
        <v>5.7215634726254185</v>
      </c>
      <c r="AA90" s="69"/>
      <c r="AB90" s="83">
        <v>81</v>
      </c>
      <c r="AC90" s="86" t="s">
        <v>116</v>
      </c>
      <c r="AD90" s="87">
        <v>81</v>
      </c>
      <c r="AE90" s="81">
        <v>76</v>
      </c>
      <c r="AF90" s="81">
        <f t="shared" si="17"/>
        <v>-5</v>
      </c>
      <c r="AG90" s="69"/>
      <c r="AH90" s="79">
        <v>81</v>
      </c>
      <c r="AI90" s="80" t="s">
        <v>116</v>
      </c>
      <c r="AJ90" s="79">
        <v>0.430257</v>
      </c>
      <c r="AK90" s="79">
        <v>0.42940899999999999</v>
      </c>
      <c r="AL90" s="79">
        <v>0.42982799999999999</v>
      </c>
      <c r="AM90" s="103">
        <v>0.43223034802393295</v>
      </c>
      <c r="AN90" s="739">
        <f t="shared" si="19"/>
        <v>-8.4800000000001541E-4</v>
      </c>
      <c r="AO90" s="83">
        <f t="shared" si="20"/>
        <v>-0.1970915057744593</v>
      </c>
    </row>
    <row r="91" spans="1:41" x14ac:dyDescent="0.2">
      <c r="A91" s="79">
        <v>82</v>
      </c>
      <c r="B91" s="80" t="s">
        <v>152</v>
      </c>
      <c r="C91" s="81">
        <v>76661</v>
      </c>
      <c r="D91" s="82">
        <v>79540</v>
      </c>
      <c r="E91" s="82">
        <f t="shared" si="15"/>
        <v>2879</v>
      </c>
      <c r="F91" s="83">
        <f t="shared" si="16"/>
        <v>3.7554949713674488</v>
      </c>
      <c r="G91" s="69"/>
      <c r="H91" s="79">
        <v>82</v>
      </c>
      <c r="I91" s="80" t="s">
        <v>152</v>
      </c>
      <c r="J91" s="81">
        <v>32170636</v>
      </c>
      <c r="K91" s="81">
        <v>34918861</v>
      </c>
      <c r="L91" s="81">
        <v>35154744.414324202</v>
      </c>
      <c r="M91" s="81">
        <v>36781750</v>
      </c>
      <c r="N91" s="81">
        <v>42545374.1708038</v>
      </c>
      <c r="O91" s="81">
        <v>44997303.677317888</v>
      </c>
      <c r="P91" s="84">
        <f t="shared" si="18"/>
        <v>2451929.5065140873</v>
      </c>
      <c r="Q91" s="79">
        <v>82</v>
      </c>
      <c r="R91" s="80" t="s">
        <v>152</v>
      </c>
      <c r="S91" s="81">
        <v>6864434.2300000004</v>
      </c>
      <c r="T91" s="85">
        <v>7407804.9699999997</v>
      </c>
      <c r="U91" s="81">
        <v>7809758.7199999997</v>
      </c>
      <c r="V91" s="81">
        <v>6358953.4299999997</v>
      </c>
      <c r="W91" s="81">
        <v>5251306.9800000004</v>
      </c>
      <c r="X91" s="81">
        <v>6515790.2699999996</v>
      </c>
      <c r="Y91" s="81">
        <f t="shared" si="21"/>
        <v>1264483.2899999991</v>
      </c>
      <c r="Z91" s="83">
        <f t="shared" si="22"/>
        <v>24.079401467403816</v>
      </c>
      <c r="AA91" s="69"/>
      <c r="AB91" s="83">
        <v>82</v>
      </c>
      <c r="AC91" s="86" t="s">
        <v>152</v>
      </c>
      <c r="AD91" s="87">
        <v>182</v>
      </c>
      <c r="AE91" s="81">
        <v>189</v>
      </c>
      <c r="AF91" s="81">
        <f t="shared" si="17"/>
        <v>7</v>
      </c>
      <c r="AG91" s="69"/>
      <c r="AH91" s="79">
        <v>82</v>
      </c>
      <c r="AI91" s="80" t="s">
        <v>152</v>
      </c>
      <c r="AJ91" s="79">
        <v>1.2734019999999999</v>
      </c>
      <c r="AK91" s="79">
        <v>1.2928919999999999</v>
      </c>
      <c r="AL91" s="79">
        <v>1.3015509999999999</v>
      </c>
      <c r="AM91" s="103">
        <v>1.3068993201693828</v>
      </c>
      <c r="AN91" s="739">
        <f t="shared" si="19"/>
        <v>1.9490000000000007E-2</v>
      </c>
      <c r="AO91" s="83">
        <f t="shared" si="20"/>
        <v>1.5305457349682197</v>
      </c>
    </row>
    <row r="92" spans="1:41" x14ac:dyDescent="0.2">
      <c r="A92" s="79">
        <v>83</v>
      </c>
      <c r="B92" s="80" t="s">
        <v>153</v>
      </c>
      <c r="C92" s="81">
        <v>31100</v>
      </c>
      <c r="D92" s="82">
        <v>33453</v>
      </c>
      <c r="E92" s="82">
        <f t="shared" si="15"/>
        <v>2353</v>
      </c>
      <c r="F92" s="83">
        <f t="shared" si="16"/>
        <v>7.565916398713826</v>
      </c>
      <c r="G92" s="69"/>
      <c r="H92" s="79">
        <v>83</v>
      </c>
      <c r="I92" s="80" t="s">
        <v>153</v>
      </c>
      <c r="J92" s="81">
        <v>20103215</v>
      </c>
      <c r="K92" s="81">
        <v>21956565</v>
      </c>
      <c r="L92" s="81">
        <v>22219771.1957017</v>
      </c>
      <c r="M92" s="81">
        <v>23325314</v>
      </c>
      <c r="N92" s="81">
        <v>27312079.293899499</v>
      </c>
      <c r="O92" s="81">
        <v>28886099.840436868</v>
      </c>
      <c r="P92" s="84">
        <f t="shared" si="18"/>
        <v>1574020.5465373695</v>
      </c>
      <c r="Q92" s="79">
        <v>83</v>
      </c>
      <c r="R92" s="80" t="s">
        <v>153</v>
      </c>
      <c r="S92" s="81">
        <v>3003783.22</v>
      </c>
      <c r="T92" s="85">
        <v>3287918.23</v>
      </c>
      <c r="U92" s="81">
        <v>3631485.4</v>
      </c>
      <c r="V92" s="81">
        <v>4023494.64</v>
      </c>
      <c r="W92" s="81">
        <v>3413656.5</v>
      </c>
      <c r="X92" s="81">
        <v>3720493.2700000005</v>
      </c>
      <c r="Y92" s="81">
        <f t="shared" si="21"/>
        <v>306836.77000000048</v>
      </c>
      <c r="Z92" s="83">
        <f t="shared" si="22"/>
        <v>8.9885074845697126</v>
      </c>
      <c r="AA92" s="69"/>
      <c r="AB92" s="83">
        <v>83</v>
      </c>
      <c r="AC92" s="86" t="s">
        <v>153</v>
      </c>
      <c r="AD92" s="87">
        <v>129</v>
      </c>
      <c r="AE92" s="81">
        <v>126</v>
      </c>
      <c r="AF92" s="81">
        <f t="shared" si="17"/>
        <v>-3</v>
      </c>
      <c r="AG92" s="69"/>
      <c r="AH92" s="79">
        <v>83</v>
      </c>
      <c r="AI92" s="80" t="s">
        <v>153</v>
      </c>
      <c r="AJ92" s="79">
        <v>0.80516799999999999</v>
      </c>
      <c r="AK92" s="79">
        <v>0.82008700000000001</v>
      </c>
      <c r="AL92" s="79">
        <v>0.83553299999999997</v>
      </c>
      <c r="AM92" s="103">
        <v>0.84827516433348948</v>
      </c>
      <c r="AN92" s="739">
        <f t="shared" si="19"/>
        <v>1.4919000000000016E-2</v>
      </c>
      <c r="AO92" s="83">
        <f t="shared" si="20"/>
        <v>1.8529052321999899</v>
      </c>
    </row>
    <row r="93" spans="1:41" x14ac:dyDescent="0.2">
      <c r="A93" s="79">
        <v>84</v>
      </c>
      <c r="B93" s="80" t="s">
        <v>107</v>
      </c>
      <c r="C93" s="81">
        <v>29268</v>
      </c>
      <c r="D93" s="82">
        <v>31716</v>
      </c>
      <c r="E93" s="82">
        <f t="shared" si="15"/>
        <v>2448</v>
      </c>
      <c r="F93" s="83">
        <f t="shared" si="16"/>
        <v>8.3640836408364088</v>
      </c>
      <c r="G93" s="69"/>
      <c r="H93" s="79">
        <v>84</v>
      </c>
      <c r="I93" s="80" t="s">
        <v>107</v>
      </c>
      <c r="J93" s="81">
        <v>12455216</v>
      </c>
      <c r="K93" s="81">
        <v>13399080</v>
      </c>
      <c r="L93" s="81">
        <v>13363608.9228021</v>
      </c>
      <c r="M93" s="81">
        <v>13862449</v>
      </c>
      <c r="N93" s="81">
        <v>16214594.981631299</v>
      </c>
      <c r="O93" s="81">
        <v>17149057.17984882</v>
      </c>
      <c r="P93" s="84">
        <f t="shared" si="18"/>
        <v>934462.19821752049</v>
      </c>
      <c r="Q93" s="79">
        <v>84</v>
      </c>
      <c r="R93" s="80" t="s">
        <v>107</v>
      </c>
      <c r="S93" s="81">
        <v>2086705.77</v>
      </c>
      <c r="T93" s="85">
        <v>2136419.4700000002</v>
      </c>
      <c r="U93" s="81">
        <v>2211724.35</v>
      </c>
      <c r="V93" s="81">
        <v>3256233.71</v>
      </c>
      <c r="W93" s="81">
        <v>3450585.12</v>
      </c>
      <c r="X93" s="81">
        <v>3624020.09</v>
      </c>
      <c r="Y93" s="81">
        <f t="shared" si="21"/>
        <v>173434.96999999974</v>
      </c>
      <c r="Z93" s="83">
        <f t="shared" si="22"/>
        <v>5.026248128027623</v>
      </c>
      <c r="AA93" s="69"/>
      <c r="AB93" s="83">
        <v>84</v>
      </c>
      <c r="AC93" s="86" t="s">
        <v>107</v>
      </c>
      <c r="AD93" s="87">
        <v>22</v>
      </c>
      <c r="AE93" s="81">
        <v>25</v>
      </c>
      <c r="AF93" s="81">
        <f t="shared" si="17"/>
        <v>3</v>
      </c>
      <c r="AG93" s="69"/>
      <c r="AH93" s="79">
        <v>84</v>
      </c>
      <c r="AI93" s="80" t="s">
        <v>107</v>
      </c>
      <c r="AJ93" s="79">
        <v>0.48372500000000002</v>
      </c>
      <c r="AK93" s="79">
        <v>0.48695899999999998</v>
      </c>
      <c r="AL93" s="79">
        <v>0.49603799999999998</v>
      </c>
      <c r="AM93" s="103">
        <v>0.507337165908475</v>
      </c>
      <c r="AN93" s="739">
        <f t="shared" si="19"/>
        <v>3.2339999999999591E-3</v>
      </c>
      <c r="AO93" s="83">
        <f t="shared" si="20"/>
        <v>0.66856168277429506</v>
      </c>
    </row>
    <row r="94" spans="1:41" x14ac:dyDescent="0.2">
      <c r="A94" s="79">
        <v>85</v>
      </c>
      <c r="B94" s="80" t="s">
        <v>124</v>
      </c>
      <c r="C94" s="81">
        <v>33621</v>
      </c>
      <c r="D94" s="82">
        <v>35256</v>
      </c>
      <c r="E94" s="82">
        <f t="shared" si="15"/>
        <v>1635</v>
      </c>
      <c r="F94" s="83">
        <f t="shared" si="16"/>
        <v>4.8630320335504598</v>
      </c>
      <c r="G94" s="69"/>
      <c r="H94" s="79">
        <v>85</v>
      </c>
      <c r="I94" s="80" t="s">
        <v>124</v>
      </c>
      <c r="J94" s="81">
        <v>16839033</v>
      </c>
      <c r="K94" s="81">
        <v>18087764</v>
      </c>
      <c r="L94" s="81">
        <v>18020485.076273099</v>
      </c>
      <c r="M94" s="81">
        <v>18512559</v>
      </c>
      <c r="N94" s="81">
        <v>21549637.956064802</v>
      </c>
      <c r="O94" s="81">
        <v>22791563.645730719</v>
      </c>
      <c r="P94" s="84">
        <f t="shared" si="18"/>
        <v>1241925.6896659173</v>
      </c>
      <c r="Q94" s="79">
        <v>85</v>
      </c>
      <c r="R94" s="80" t="s">
        <v>124</v>
      </c>
      <c r="S94" s="81">
        <v>3612531.9</v>
      </c>
      <c r="T94" s="85">
        <v>3733441.89</v>
      </c>
      <c r="U94" s="81">
        <v>3854980.86</v>
      </c>
      <c r="V94" s="81">
        <v>5695848.0499999998</v>
      </c>
      <c r="W94" s="81">
        <v>4825664.91</v>
      </c>
      <c r="X94" s="81">
        <v>5134457.0399999991</v>
      </c>
      <c r="Y94" s="81">
        <f t="shared" si="21"/>
        <v>308792.12999999896</v>
      </c>
      <c r="Z94" s="83">
        <f t="shared" si="22"/>
        <v>6.3989550820261769</v>
      </c>
      <c r="AA94" s="69"/>
      <c r="AB94" s="83">
        <v>85</v>
      </c>
      <c r="AC94" s="86" t="s">
        <v>124</v>
      </c>
      <c r="AD94" s="87">
        <v>50</v>
      </c>
      <c r="AE94" s="81">
        <v>41</v>
      </c>
      <c r="AF94" s="81">
        <f t="shared" si="17"/>
        <v>-9</v>
      </c>
      <c r="AG94" s="69"/>
      <c r="AH94" s="79">
        <v>85</v>
      </c>
      <c r="AI94" s="80" t="s">
        <v>124</v>
      </c>
      <c r="AJ94" s="79">
        <v>0.65224000000000004</v>
      </c>
      <c r="AK94" s="79">
        <v>0.64979600000000004</v>
      </c>
      <c r="AL94" s="79">
        <v>0.65924799999999995</v>
      </c>
      <c r="AM94" s="103">
        <v>0.66500248282771346</v>
      </c>
      <c r="AN94" s="739">
        <f t="shared" si="19"/>
        <v>-2.4440000000000017E-3</v>
      </c>
      <c r="AO94" s="83">
        <f t="shared" si="20"/>
        <v>-0.37470869618545344</v>
      </c>
    </row>
    <row r="95" spans="1:41" x14ac:dyDescent="0.2">
      <c r="A95" s="79">
        <v>86</v>
      </c>
      <c r="B95" s="80" t="s">
        <v>129</v>
      </c>
      <c r="C95" s="81">
        <v>15352</v>
      </c>
      <c r="D95" s="82">
        <v>15534</v>
      </c>
      <c r="E95" s="82">
        <f t="shared" si="15"/>
        <v>182</v>
      </c>
      <c r="F95" s="83">
        <f t="shared" si="16"/>
        <v>1.1855132881709223</v>
      </c>
      <c r="G95" s="69"/>
      <c r="H95" s="79">
        <v>86</v>
      </c>
      <c r="I95" s="80" t="s">
        <v>129</v>
      </c>
      <c r="J95" s="81">
        <v>10188079</v>
      </c>
      <c r="K95" s="81">
        <v>10920086</v>
      </c>
      <c r="L95" s="81">
        <v>10866248.963839199</v>
      </c>
      <c r="M95" s="81">
        <v>11140246</v>
      </c>
      <c r="N95" s="81">
        <v>12803155.1805113</v>
      </c>
      <c r="O95" s="81">
        <v>13541012.928278251</v>
      </c>
      <c r="P95" s="84">
        <f t="shared" si="18"/>
        <v>737857.7477669511</v>
      </c>
      <c r="Q95" s="79">
        <v>86</v>
      </c>
      <c r="R95" s="80" t="s">
        <v>129</v>
      </c>
      <c r="S95" s="81">
        <v>2125319.9300000002</v>
      </c>
      <c r="T95" s="85">
        <v>2242071.96</v>
      </c>
      <c r="U95" s="81">
        <v>2186691.6</v>
      </c>
      <c r="V95" s="81">
        <v>2576783.15</v>
      </c>
      <c r="W95" s="81">
        <v>2150772.09</v>
      </c>
      <c r="X95" s="81">
        <v>2398079.15</v>
      </c>
      <c r="Y95" s="81">
        <f t="shared" si="21"/>
        <v>247307.06000000006</v>
      </c>
      <c r="Z95" s="83">
        <f t="shared" si="22"/>
        <v>11.498524699564985</v>
      </c>
      <c r="AA95" s="69"/>
      <c r="AB95" s="83">
        <v>86</v>
      </c>
      <c r="AC95" s="86" t="s">
        <v>129</v>
      </c>
      <c r="AD95" s="87">
        <v>18</v>
      </c>
      <c r="AE95" s="81">
        <v>16</v>
      </c>
      <c r="AF95" s="81">
        <f t="shared" si="17"/>
        <v>-2</v>
      </c>
      <c r="AG95" s="69"/>
      <c r="AH95" s="79">
        <v>86</v>
      </c>
      <c r="AI95" s="80" t="s">
        <v>129</v>
      </c>
      <c r="AJ95" s="79">
        <v>0.39326299999999997</v>
      </c>
      <c r="AK95" s="79">
        <v>0.390963</v>
      </c>
      <c r="AL95" s="79">
        <v>0.391675</v>
      </c>
      <c r="AM95" s="103">
        <v>0.39091547256178361</v>
      </c>
      <c r="AN95" s="739">
        <f t="shared" si="19"/>
        <v>-2.2999999999999687E-3</v>
      </c>
      <c r="AO95" s="83">
        <f t="shared" si="20"/>
        <v>-0.58485034188315943</v>
      </c>
    </row>
    <row r="96" spans="1:41" x14ac:dyDescent="0.2">
      <c r="A96" s="79">
        <v>87</v>
      </c>
      <c r="B96" s="80" t="s">
        <v>154</v>
      </c>
      <c r="C96" s="81">
        <v>14819</v>
      </c>
      <c r="D96" s="82">
        <v>15589</v>
      </c>
      <c r="E96" s="82">
        <f t="shared" si="15"/>
        <v>770</v>
      </c>
      <c r="F96" s="83">
        <f t="shared" si="16"/>
        <v>5.1960321209258389</v>
      </c>
      <c r="G96" s="69"/>
      <c r="H96" s="79">
        <v>87</v>
      </c>
      <c r="I96" s="80" t="s">
        <v>154</v>
      </c>
      <c r="J96" s="81">
        <v>9054971</v>
      </c>
      <c r="K96" s="81">
        <v>9819184</v>
      </c>
      <c r="L96" s="81">
        <v>9870908.8685916308</v>
      </c>
      <c r="M96" s="81">
        <v>10240570</v>
      </c>
      <c r="N96" s="81">
        <v>11798973.3278393</v>
      </c>
      <c r="O96" s="81">
        <v>12478959.140937451</v>
      </c>
      <c r="P96" s="84">
        <f t="shared" si="18"/>
        <v>679985.81309815124</v>
      </c>
      <c r="Q96" s="79">
        <v>87</v>
      </c>
      <c r="R96" s="80" t="s">
        <v>154</v>
      </c>
      <c r="S96" s="81">
        <v>1417585.86</v>
      </c>
      <c r="T96" s="85">
        <v>1512471.19</v>
      </c>
      <c r="U96" s="81">
        <v>1460387.32</v>
      </c>
      <c r="V96" s="81">
        <v>1310372.5</v>
      </c>
      <c r="W96" s="81">
        <v>1394326.74</v>
      </c>
      <c r="X96" s="81">
        <v>1531010.8100000003</v>
      </c>
      <c r="Y96" s="81">
        <f t="shared" si="21"/>
        <v>136684.0700000003</v>
      </c>
      <c r="Z96" s="83">
        <f t="shared" si="22"/>
        <v>9.8028723167139642</v>
      </c>
      <c r="AA96" s="69"/>
      <c r="AB96" s="83">
        <v>87</v>
      </c>
      <c r="AC96" s="86" t="s">
        <v>154</v>
      </c>
      <c r="AD96" s="87">
        <v>23</v>
      </c>
      <c r="AE96" s="81">
        <v>21</v>
      </c>
      <c r="AF96" s="81">
        <f t="shared" si="17"/>
        <v>-2</v>
      </c>
      <c r="AG96" s="69"/>
      <c r="AH96" s="79">
        <v>87</v>
      </c>
      <c r="AI96" s="80" t="s">
        <v>154</v>
      </c>
      <c r="AJ96" s="79">
        <v>0.35751100000000002</v>
      </c>
      <c r="AK96" s="79">
        <v>0.35971599999999998</v>
      </c>
      <c r="AL96" s="79">
        <v>0.36095500000000003</v>
      </c>
      <c r="AM96" s="103">
        <v>0.36351683981881644</v>
      </c>
      <c r="AN96" s="739">
        <f t="shared" si="19"/>
        <v>2.204999999999957E-3</v>
      </c>
      <c r="AO96" s="83">
        <f t="shared" si="20"/>
        <v>0.61676423942199177</v>
      </c>
    </row>
    <row r="97" spans="1:41" x14ac:dyDescent="0.2">
      <c r="A97" s="79">
        <v>88</v>
      </c>
      <c r="B97" s="80" t="s">
        <v>99</v>
      </c>
      <c r="C97" s="81">
        <v>105400</v>
      </c>
      <c r="D97" s="82">
        <v>114513</v>
      </c>
      <c r="E97" s="82">
        <f t="shared" si="15"/>
        <v>9113</v>
      </c>
      <c r="F97" s="83">
        <f t="shared" si="16"/>
        <v>8.6461100569259965</v>
      </c>
      <c r="G97" s="69"/>
      <c r="H97" s="79">
        <v>88</v>
      </c>
      <c r="I97" s="80" t="s">
        <v>99</v>
      </c>
      <c r="J97" s="81">
        <v>33675834</v>
      </c>
      <c r="K97" s="81">
        <v>37475209</v>
      </c>
      <c r="L97" s="81">
        <v>38451980.974050798</v>
      </c>
      <c r="M97" s="81">
        <v>40955731</v>
      </c>
      <c r="N97" s="81">
        <v>48722955.792783603</v>
      </c>
      <c r="O97" s="81">
        <v>51530905.077077046</v>
      </c>
      <c r="P97" s="84">
        <f t="shared" si="18"/>
        <v>2807949.284293443</v>
      </c>
      <c r="Q97" s="79">
        <v>88</v>
      </c>
      <c r="R97" s="80" t="s">
        <v>99</v>
      </c>
      <c r="S97" s="81">
        <v>8978287.9900000002</v>
      </c>
      <c r="T97" s="85">
        <v>9169802.5600000005</v>
      </c>
      <c r="U97" s="81">
        <v>9821469.3499999996</v>
      </c>
      <c r="V97" s="81">
        <v>11174022.779999999</v>
      </c>
      <c r="W97" s="81">
        <v>6329485.7999999998</v>
      </c>
      <c r="X97" s="81">
        <v>6236923.7000000002</v>
      </c>
      <c r="Y97" s="81">
        <f t="shared" si="21"/>
        <v>-92562.099999999627</v>
      </c>
      <c r="Z97" s="83">
        <f t="shared" si="22"/>
        <v>-1.4623952549194379</v>
      </c>
      <c r="AA97" s="69"/>
      <c r="AB97" s="83">
        <v>88</v>
      </c>
      <c r="AC97" s="86" t="s">
        <v>99</v>
      </c>
      <c r="AD97" s="87">
        <v>100</v>
      </c>
      <c r="AE97" s="81">
        <v>106</v>
      </c>
      <c r="AF97" s="81">
        <f t="shared" si="17"/>
        <v>6</v>
      </c>
      <c r="AG97" s="69"/>
      <c r="AH97" s="79">
        <v>88</v>
      </c>
      <c r="AI97" s="80" t="s">
        <v>99</v>
      </c>
      <c r="AJ97" s="79">
        <v>1.394749</v>
      </c>
      <c r="AK97" s="79">
        <v>1.441505</v>
      </c>
      <c r="AL97" s="79">
        <v>1.4905360000000001</v>
      </c>
      <c r="AM97" s="103">
        <v>1.5108870163420212</v>
      </c>
      <c r="AN97" s="739">
        <f t="shared" si="19"/>
        <v>4.675600000000002E-2</v>
      </c>
      <c r="AO97" s="83">
        <f t="shared" si="20"/>
        <v>3.3522877593029299</v>
      </c>
    </row>
    <row r="98" spans="1:41" x14ac:dyDescent="0.2">
      <c r="A98" s="79">
        <v>89</v>
      </c>
      <c r="B98" s="80" t="s">
        <v>55</v>
      </c>
      <c r="C98" s="81">
        <v>23842</v>
      </c>
      <c r="D98" s="82">
        <v>24074</v>
      </c>
      <c r="E98" s="82">
        <f t="shared" si="15"/>
        <v>232</v>
      </c>
      <c r="F98" s="83">
        <f t="shared" si="16"/>
        <v>0.97307272879791973</v>
      </c>
      <c r="G98" s="69"/>
      <c r="H98" s="79">
        <v>89</v>
      </c>
      <c r="I98" s="80" t="s">
        <v>55</v>
      </c>
      <c r="J98" s="81">
        <v>24571556</v>
      </c>
      <c r="K98" s="81">
        <v>25638898</v>
      </c>
      <c r="L98" s="81">
        <v>24857554.6343209</v>
      </c>
      <c r="M98" s="81">
        <v>24890338</v>
      </c>
      <c r="N98" s="81">
        <v>27736731.847547401</v>
      </c>
      <c r="O98" s="81">
        <v>29335225.51593636</v>
      </c>
      <c r="P98" s="84">
        <f t="shared" si="18"/>
        <v>1598493.668388959</v>
      </c>
      <c r="Q98" s="79">
        <v>89</v>
      </c>
      <c r="R98" s="80" t="s">
        <v>55</v>
      </c>
      <c r="S98" s="81">
        <v>2544974.36</v>
      </c>
      <c r="T98" s="85">
        <v>2460115.65</v>
      </c>
      <c r="U98" s="81">
        <v>2480588.79</v>
      </c>
      <c r="V98" s="81">
        <v>2234276.7000000002</v>
      </c>
      <c r="W98" s="81">
        <v>2407735.64</v>
      </c>
      <c r="X98" s="81">
        <v>2378788.5099999998</v>
      </c>
      <c r="Y98" s="81">
        <f t="shared" si="21"/>
        <v>-28947.130000000354</v>
      </c>
      <c r="Z98" s="83">
        <f t="shared" si="22"/>
        <v>-1.2022553273332097</v>
      </c>
      <c r="AA98" s="69"/>
      <c r="AB98" s="83">
        <v>89</v>
      </c>
      <c r="AC98" s="86" t="s">
        <v>55</v>
      </c>
      <c r="AD98" s="87">
        <v>81</v>
      </c>
      <c r="AE98" s="81">
        <v>66</v>
      </c>
      <c r="AF98" s="81">
        <f t="shared" si="17"/>
        <v>-15</v>
      </c>
      <c r="AG98" s="69"/>
      <c r="AH98" s="79">
        <v>89</v>
      </c>
      <c r="AI98" s="80" t="s">
        <v>55</v>
      </c>
      <c r="AJ98" s="79">
        <v>0.89785099999999995</v>
      </c>
      <c r="AK98" s="79">
        <v>0.871946</v>
      </c>
      <c r="AL98" s="79">
        <v>0.84852399999999994</v>
      </c>
      <c r="AM98" s="103">
        <v>0.82914339634287348</v>
      </c>
      <c r="AN98" s="739">
        <f t="shared" si="19"/>
        <v>-2.5904999999999956E-2</v>
      </c>
      <c r="AO98" s="83">
        <f t="shared" si="20"/>
        <v>-2.8852226037505058</v>
      </c>
    </row>
    <row r="99" spans="1:41" x14ac:dyDescent="0.2">
      <c r="A99" s="79">
        <v>90</v>
      </c>
      <c r="B99" s="80" t="s">
        <v>147</v>
      </c>
      <c r="C99" s="81">
        <v>15010</v>
      </c>
      <c r="D99" s="82">
        <v>16325</v>
      </c>
      <c r="E99" s="82">
        <f t="shared" si="15"/>
        <v>1315</v>
      </c>
      <c r="F99" s="83">
        <f t="shared" si="16"/>
        <v>8.7608261159227183</v>
      </c>
      <c r="G99" s="69"/>
      <c r="H99" s="79">
        <v>90</v>
      </c>
      <c r="I99" s="80" t="s">
        <v>147</v>
      </c>
      <c r="J99" s="81">
        <v>8476329</v>
      </c>
      <c r="K99" s="81">
        <v>9196265</v>
      </c>
      <c r="L99" s="81">
        <v>9245964.4626204707</v>
      </c>
      <c r="M99" s="81">
        <v>9640357</v>
      </c>
      <c r="N99" s="81">
        <v>11258081.494630801</v>
      </c>
      <c r="O99" s="81">
        <v>11906895.20802312</v>
      </c>
      <c r="P99" s="84">
        <f t="shared" si="18"/>
        <v>648813.71339231916</v>
      </c>
      <c r="Q99" s="79">
        <v>90</v>
      </c>
      <c r="R99" s="80" t="s">
        <v>147</v>
      </c>
      <c r="S99" s="81">
        <v>1445921.09</v>
      </c>
      <c r="T99" s="85">
        <v>1521286.47</v>
      </c>
      <c r="U99" s="81">
        <v>1560111.57</v>
      </c>
      <c r="V99" s="81">
        <v>1923343.94</v>
      </c>
      <c r="W99" s="81">
        <v>1969018.9</v>
      </c>
      <c r="X99" s="81">
        <v>2084015.57</v>
      </c>
      <c r="Y99" s="81">
        <f t="shared" si="21"/>
        <v>114996.67000000016</v>
      </c>
      <c r="Z99" s="83">
        <f t="shared" si="22"/>
        <v>5.8403030057253469</v>
      </c>
      <c r="AA99" s="69"/>
      <c r="AB99" s="83">
        <v>90</v>
      </c>
      <c r="AC99" s="86" t="s">
        <v>147</v>
      </c>
      <c r="AD99" s="87">
        <v>14</v>
      </c>
      <c r="AE99" s="81">
        <v>14</v>
      </c>
      <c r="AF99" s="81">
        <f t="shared" si="17"/>
        <v>0</v>
      </c>
      <c r="AG99" s="69"/>
      <c r="AH99" s="79">
        <v>90</v>
      </c>
      <c r="AI99" s="80" t="s">
        <v>147</v>
      </c>
      <c r="AJ99" s="79">
        <v>0.33487899999999998</v>
      </c>
      <c r="AK99" s="79">
        <v>0.33877000000000002</v>
      </c>
      <c r="AL99" s="79">
        <v>0.34440799999999999</v>
      </c>
      <c r="AM99" s="103">
        <v>0.35099479266211236</v>
      </c>
      <c r="AN99" s="739">
        <f t="shared" si="19"/>
        <v>3.8910000000000333E-3</v>
      </c>
      <c r="AO99" s="83">
        <f t="shared" si="20"/>
        <v>1.1619122130680137</v>
      </c>
    </row>
    <row r="100" spans="1:41" x14ac:dyDescent="0.2">
      <c r="A100" s="79">
        <v>91</v>
      </c>
      <c r="B100" s="80" t="s">
        <v>151</v>
      </c>
      <c r="C100" s="81">
        <v>14532</v>
      </c>
      <c r="D100" s="82">
        <v>14934</v>
      </c>
      <c r="E100" s="82">
        <f t="shared" si="15"/>
        <v>402</v>
      </c>
      <c r="F100" s="83">
        <f t="shared" si="16"/>
        <v>2.7663088356729975</v>
      </c>
      <c r="G100" s="69"/>
      <c r="H100" s="79">
        <v>91</v>
      </c>
      <c r="I100" s="80" t="s">
        <v>151</v>
      </c>
      <c r="J100" s="81">
        <v>9641724</v>
      </c>
      <c r="K100" s="81">
        <v>10428888</v>
      </c>
      <c r="L100" s="81">
        <v>10460899.417923</v>
      </c>
      <c r="M100" s="81">
        <v>10845114</v>
      </c>
      <c r="N100" s="81">
        <v>12648409.1879804</v>
      </c>
      <c r="O100" s="81">
        <v>13377348.780189989</v>
      </c>
      <c r="P100" s="84">
        <f t="shared" si="18"/>
        <v>728939.59220958874</v>
      </c>
      <c r="Q100" s="79">
        <v>91</v>
      </c>
      <c r="R100" s="80" t="s">
        <v>151</v>
      </c>
      <c r="S100" s="81">
        <v>1654450.34</v>
      </c>
      <c r="T100" s="85">
        <v>1760267.95</v>
      </c>
      <c r="U100" s="81">
        <v>1826020.05</v>
      </c>
      <c r="V100" s="81">
        <v>2488649.09</v>
      </c>
      <c r="W100" s="81">
        <v>2309268.7599999998</v>
      </c>
      <c r="X100" s="81">
        <v>2295691.84</v>
      </c>
      <c r="Y100" s="81">
        <f t="shared" si="21"/>
        <v>-13576.919999999925</v>
      </c>
      <c r="Z100" s="83">
        <f t="shared" si="22"/>
        <v>-0.58793156670079094</v>
      </c>
      <c r="AA100" s="69"/>
      <c r="AB100" s="83">
        <v>91</v>
      </c>
      <c r="AC100" s="86" t="s">
        <v>151</v>
      </c>
      <c r="AD100" s="87">
        <v>24</v>
      </c>
      <c r="AE100" s="81">
        <v>23</v>
      </c>
      <c r="AF100" s="81">
        <f t="shared" si="17"/>
        <v>-1</v>
      </c>
      <c r="AG100" s="69"/>
      <c r="AH100" s="79">
        <v>91</v>
      </c>
      <c r="AI100" s="80" t="s">
        <v>151</v>
      </c>
      <c r="AJ100" s="79">
        <v>0.37881900000000002</v>
      </c>
      <c r="AK100" s="79">
        <v>0.38093500000000002</v>
      </c>
      <c r="AL100" s="79">
        <v>0.38694099999999998</v>
      </c>
      <c r="AM100" s="103">
        <v>0.39259764043880002</v>
      </c>
      <c r="AN100" s="739">
        <f t="shared" si="19"/>
        <v>2.1160000000000068E-3</v>
      </c>
      <c r="AO100" s="83">
        <f t="shared" si="20"/>
        <v>0.55857810722271228</v>
      </c>
    </row>
    <row r="101" spans="1:41" x14ac:dyDescent="0.2">
      <c r="A101" s="79">
        <v>92</v>
      </c>
      <c r="B101" s="80" t="s">
        <v>56</v>
      </c>
      <c r="C101" s="81">
        <v>13731</v>
      </c>
      <c r="D101" s="82">
        <v>12836</v>
      </c>
      <c r="E101" s="82">
        <f t="shared" si="15"/>
        <v>-895</v>
      </c>
      <c r="F101" s="83">
        <f t="shared" si="16"/>
        <v>-6.5180977350520717</v>
      </c>
      <c r="G101" s="69"/>
      <c r="H101" s="79">
        <v>92</v>
      </c>
      <c r="I101" s="80" t="s">
        <v>56</v>
      </c>
      <c r="J101" s="81">
        <v>40244051</v>
      </c>
      <c r="K101" s="81">
        <v>42004207</v>
      </c>
      <c r="L101" s="81">
        <v>40780325.316897802</v>
      </c>
      <c r="M101" s="81">
        <v>40939810</v>
      </c>
      <c r="N101" s="81">
        <v>45933572.653654099</v>
      </c>
      <c r="O101" s="81">
        <v>48580767.19181817</v>
      </c>
      <c r="P101" s="84">
        <f t="shared" si="18"/>
        <v>2647194.5381640717</v>
      </c>
      <c r="Q101" s="79">
        <v>92</v>
      </c>
      <c r="R101" s="80" t="s">
        <v>56</v>
      </c>
      <c r="S101" s="81">
        <v>38892.019999999997</v>
      </c>
      <c r="T101" s="85">
        <v>35315.449999999997</v>
      </c>
      <c r="U101" s="81">
        <v>534518.98</v>
      </c>
      <c r="V101" s="81">
        <v>1199527.05</v>
      </c>
      <c r="W101" s="81">
        <v>1562773.16</v>
      </c>
      <c r="X101" s="81">
        <v>2675854.29</v>
      </c>
      <c r="Y101" s="81">
        <f t="shared" si="21"/>
        <v>1113081.1300000001</v>
      </c>
      <c r="Z101" s="83">
        <f t="shared" si="22"/>
        <v>71.224740639901967</v>
      </c>
      <c r="AA101" s="69"/>
      <c r="AB101" s="83">
        <v>92</v>
      </c>
      <c r="AC101" s="86" t="s">
        <v>56</v>
      </c>
      <c r="AD101" s="87">
        <v>209</v>
      </c>
      <c r="AE101" s="81">
        <v>172</v>
      </c>
      <c r="AF101" s="81">
        <f t="shared" si="17"/>
        <v>-37</v>
      </c>
      <c r="AG101" s="69"/>
      <c r="AH101" s="79">
        <v>92</v>
      </c>
      <c r="AI101" s="80" t="s">
        <v>56</v>
      </c>
      <c r="AJ101" s="79">
        <v>1.4731430000000001</v>
      </c>
      <c r="AK101" s="79">
        <v>1.434482</v>
      </c>
      <c r="AL101" s="79">
        <v>1.405203</v>
      </c>
      <c r="AM101" s="103">
        <v>1.3805548891281794</v>
      </c>
      <c r="AN101" s="739">
        <f t="shared" si="19"/>
        <v>-3.8661000000000056E-2</v>
      </c>
      <c r="AO101" s="83">
        <f t="shared" si="20"/>
        <v>-2.6243888067892973</v>
      </c>
    </row>
    <row r="102" spans="1:41" x14ac:dyDescent="0.2">
      <c r="A102" s="79">
        <v>93</v>
      </c>
      <c r="B102" s="80" t="s">
        <v>155</v>
      </c>
      <c r="C102" s="81">
        <v>27788</v>
      </c>
      <c r="D102" s="82">
        <v>28556</v>
      </c>
      <c r="E102" s="82">
        <f t="shared" si="15"/>
        <v>768</v>
      </c>
      <c r="F102" s="83">
        <f t="shared" si="16"/>
        <v>2.7637829278825392</v>
      </c>
      <c r="G102" s="69"/>
      <c r="H102" s="79">
        <v>93</v>
      </c>
      <c r="I102" s="80" t="s">
        <v>155</v>
      </c>
      <c r="J102" s="81">
        <v>15526331</v>
      </c>
      <c r="K102" s="81">
        <v>16880338</v>
      </c>
      <c r="L102" s="81">
        <v>17009357.883791499</v>
      </c>
      <c r="M102" s="81">
        <v>17741703</v>
      </c>
      <c r="N102" s="81">
        <v>20898325.344916001</v>
      </c>
      <c r="O102" s="81">
        <v>22102715.282684971</v>
      </c>
      <c r="P102" s="84">
        <f t="shared" si="18"/>
        <v>1204389.9377689697</v>
      </c>
      <c r="Q102" s="79">
        <v>93</v>
      </c>
      <c r="R102" s="80" t="s">
        <v>155</v>
      </c>
      <c r="S102" s="81">
        <v>2235813.75</v>
      </c>
      <c r="T102" s="85">
        <v>2400485.8199999998</v>
      </c>
      <c r="U102" s="81">
        <v>2406181.67</v>
      </c>
      <c r="V102" s="81">
        <v>3970475.67</v>
      </c>
      <c r="W102" s="81">
        <v>4005862.53</v>
      </c>
      <c r="X102" s="81">
        <v>4255861.2699999996</v>
      </c>
      <c r="Y102" s="81">
        <f t="shared" si="21"/>
        <v>249998.73999999976</v>
      </c>
      <c r="Z102" s="83">
        <f t="shared" si="22"/>
        <v>6.2408217488182194</v>
      </c>
      <c r="AA102" s="69"/>
      <c r="AB102" s="83">
        <v>93</v>
      </c>
      <c r="AC102" s="86" t="s">
        <v>155</v>
      </c>
      <c r="AD102" s="87">
        <v>64</v>
      </c>
      <c r="AE102" s="81">
        <v>65</v>
      </c>
      <c r="AF102" s="81">
        <f t="shared" si="17"/>
        <v>1</v>
      </c>
      <c r="AG102" s="69"/>
      <c r="AH102" s="79">
        <v>93</v>
      </c>
      <c r="AI102" s="80" t="s">
        <v>155</v>
      </c>
      <c r="AJ102" s="79">
        <v>0.61616099999999996</v>
      </c>
      <c r="AK102" s="79">
        <v>0.62346900000000005</v>
      </c>
      <c r="AL102" s="79">
        <v>0.63932299999999997</v>
      </c>
      <c r="AM102" s="103">
        <v>0.65612087150404841</v>
      </c>
      <c r="AN102" s="739">
        <f t="shared" si="19"/>
        <v>7.3080000000000922E-3</v>
      </c>
      <c r="AO102" s="83">
        <f t="shared" si="20"/>
        <v>1.1860536450700536</v>
      </c>
    </row>
    <row r="103" spans="1:41" x14ac:dyDescent="0.2">
      <c r="A103" s="79">
        <v>94</v>
      </c>
      <c r="B103" s="80" t="s">
        <v>76</v>
      </c>
      <c r="C103" s="81">
        <v>6202</v>
      </c>
      <c r="D103" s="82">
        <v>6420</v>
      </c>
      <c r="E103" s="82">
        <f t="shared" si="15"/>
        <v>218</v>
      </c>
      <c r="F103" s="83">
        <f t="shared" si="16"/>
        <v>3.5149951628506932</v>
      </c>
      <c r="G103" s="69"/>
      <c r="H103" s="79">
        <v>94</v>
      </c>
      <c r="I103" s="80" t="s">
        <v>76</v>
      </c>
      <c r="J103" s="81">
        <v>7692882</v>
      </c>
      <c r="K103" s="81">
        <v>8145537</v>
      </c>
      <c r="L103" s="81">
        <v>8013773.5339636002</v>
      </c>
      <c r="M103" s="81">
        <v>8172419</v>
      </c>
      <c r="N103" s="81">
        <v>9352914.4725187495</v>
      </c>
      <c r="O103" s="81">
        <v>9891931.6374637503</v>
      </c>
      <c r="P103" s="84">
        <f t="shared" si="18"/>
        <v>539017.16494500078</v>
      </c>
      <c r="Q103" s="79">
        <v>94</v>
      </c>
      <c r="R103" s="80" t="s">
        <v>76</v>
      </c>
      <c r="S103" s="81">
        <v>995526.42</v>
      </c>
      <c r="T103" s="85">
        <v>1035275.35</v>
      </c>
      <c r="U103" s="81">
        <v>1051539.72</v>
      </c>
      <c r="V103" s="81">
        <v>1385895.68</v>
      </c>
      <c r="W103" s="81">
        <v>1170289.1299999999</v>
      </c>
      <c r="X103" s="81">
        <v>1222263.49</v>
      </c>
      <c r="Y103" s="81">
        <f t="shared" si="21"/>
        <v>51974.360000000102</v>
      </c>
      <c r="Z103" s="83">
        <f t="shared" si="22"/>
        <v>4.4411554946255123</v>
      </c>
      <c r="AA103" s="69"/>
      <c r="AB103" s="83">
        <v>94</v>
      </c>
      <c r="AC103" s="86" t="s">
        <v>76</v>
      </c>
      <c r="AD103" s="87">
        <v>25</v>
      </c>
      <c r="AE103" s="81">
        <v>24</v>
      </c>
      <c r="AF103" s="81">
        <f t="shared" si="17"/>
        <v>-1</v>
      </c>
      <c r="AG103" s="69"/>
      <c r="AH103" s="79">
        <v>94</v>
      </c>
      <c r="AI103" s="80" t="s">
        <v>76</v>
      </c>
      <c r="AJ103" s="79">
        <v>0.28977999999999998</v>
      </c>
      <c r="AK103" s="79">
        <v>0.28670299999999999</v>
      </c>
      <c r="AL103" s="79">
        <v>0.28612500000000002</v>
      </c>
      <c r="AM103" s="103">
        <v>0.28485648595963536</v>
      </c>
      <c r="AN103" s="739">
        <f t="shared" si="19"/>
        <v>-3.0769999999999964E-3</v>
      </c>
      <c r="AO103" s="83">
        <f t="shared" si="20"/>
        <v>-1.0618400165642889</v>
      </c>
    </row>
    <row r="104" spans="1:41" x14ac:dyDescent="0.2">
      <c r="A104" s="79">
        <v>95</v>
      </c>
      <c r="B104" s="80" t="s">
        <v>100</v>
      </c>
      <c r="C104" s="81">
        <v>11994</v>
      </c>
      <c r="D104" s="82">
        <v>12325</v>
      </c>
      <c r="E104" s="82">
        <f t="shared" si="15"/>
        <v>331</v>
      </c>
      <c r="F104" s="83">
        <f t="shared" si="16"/>
        <v>2.7597131899282976</v>
      </c>
      <c r="G104" s="69"/>
      <c r="H104" s="79">
        <v>95</v>
      </c>
      <c r="I104" s="80" t="s">
        <v>100</v>
      </c>
      <c r="J104" s="81">
        <v>13059020</v>
      </c>
      <c r="K104" s="81">
        <v>13963665</v>
      </c>
      <c r="L104" s="81">
        <v>13853042.0037085</v>
      </c>
      <c r="M104" s="81">
        <v>14268906</v>
      </c>
      <c r="N104" s="81">
        <v>16400852.409903601</v>
      </c>
      <c r="O104" s="81">
        <v>17346048.797045037</v>
      </c>
      <c r="P104" s="84">
        <f t="shared" si="18"/>
        <v>945196.38714143634</v>
      </c>
      <c r="Q104" s="79">
        <v>95</v>
      </c>
      <c r="R104" s="80" t="s">
        <v>100</v>
      </c>
      <c r="S104" s="81">
        <v>1777321.03</v>
      </c>
      <c r="T104" s="85">
        <v>1817019.69</v>
      </c>
      <c r="U104" s="81">
        <v>1864350.04</v>
      </c>
      <c r="V104" s="81">
        <v>2018669.57</v>
      </c>
      <c r="W104" s="81">
        <v>1633664.31</v>
      </c>
      <c r="X104" s="81">
        <v>1841384.78</v>
      </c>
      <c r="Y104" s="81">
        <f t="shared" si="21"/>
        <v>207720.46999999997</v>
      </c>
      <c r="Z104" s="83">
        <f t="shared" si="22"/>
        <v>12.715003243230548</v>
      </c>
      <c r="AA104" s="69"/>
      <c r="AB104" s="83">
        <v>95</v>
      </c>
      <c r="AC104" s="86" t="s">
        <v>100</v>
      </c>
      <c r="AD104" s="87">
        <v>52</v>
      </c>
      <c r="AE104" s="81">
        <v>53</v>
      </c>
      <c r="AF104" s="81">
        <f t="shared" si="17"/>
        <v>1</v>
      </c>
      <c r="AG104" s="69"/>
      <c r="AH104" s="79">
        <v>95</v>
      </c>
      <c r="AI104" s="80" t="s">
        <v>100</v>
      </c>
      <c r="AJ104" s="79">
        <v>0.50124299999999999</v>
      </c>
      <c r="AK104" s="79">
        <v>0.50096399999999996</v>
      </c>
      <c r="AL104" s="79">
        <v>0.50173599999999996</v>
      </c>
      <c r="AM104" s="103">
        <v>0.50108909380549027</v>
      </c>
      <c r="AN104" s="739">
        <f t="shared" si="19"/>
        <v>-2.7900000000002922E-4</v>
      </c>
      <c r="AO104" s="83">
        <f t="shared" si="20"/>
        <v>-5.5661625199759243E-2</v>
      </c>
    </row>
    <row r="105" spans="1:41" x14ac:dyDescent="0.2">
      <c r="A105" s="79">
        <v>96</v>
      </c>
      <c r="B105" s="80" t="s">
        <v>78</v>
      </c>
      <c r="C105" s="81">
        <v>6947</v>
      </c>
      <c r="D105" s="82">
        <v>5971</v>
      </c>
      <c r="E105" s="82">
        <f t="shared" ref="E105:E122" si="23">D105-C105</f>
        <v>-976</v>
      </c>
      <c r="F105" s="83">
        <f t="shared" ref="F105:F122" si="24">E105/C105%</f>
        <v>-14.049229883402909</v>
      </c>
      <c r="G105" s="69"/>
      <c r="H105" s="79">
        <v>96</v>
      </c>
      <c r="I105" s="80" t="s">
        <v>78</v>
      </c>
      <c r="J105" s="81">
        <v>32309986</v>
      </c>
      <c r="K105" s="81">
        <v>35283592</v>
      </c>
      <c r="L105" s="81">
        <v>35649761.655931599</v>
      </c>
      <c r="M105" s="81">
        <v>36884741</v>
      </c>
      <c r="N105" s="81">
        <v>42440706.518061198</v>
      </c>
      <c r="O105" s="81">
        <v>44886603.930343114</v>
      </c>
      <c r="P105" s="84">
        <f t="shared" si="18"/>
        <v>2445897.4122819155</v>
      </c>
      <c r="Q105" s="79">
        <v>96</v>
      </c>
      <c r="R105" s="80" t="s">
        <v>78</v>
      </c>
      <c r="S105" s="81">
        <v>745518.4</v>
      </c>
      <c r="T105" s="85">
        <v>739745.09</v>
      </c>
      <c r="U105" s="81">
        <v>766806.93</v>
      </c>
      <c r="V105" s="81">
        <v>581981.9</v>
      </c>
      <c r="W105" s="81">
        <v>552579.49</v>
      </c>
      <c r="X105" s="81">
        <v>592308.84</v>
      </c>
      <c r="Y105" s="81">
        <f t="shared" si="21"/>
        <v>39729.349999999977</v>
      </c>
      <c r="Z105" s="83">
        <f t="shared" si="22"/>
        <v>7.1897981591752487</v>
      </c>
      <c r="AA105" s="69"/>
      <c r="AB105" s="83">
        <v>96</v>
      </c>
      <c r="AC105" s="86" t="s">
        <v>78</v>
      </c>
      <c r="AD105" s="87">
        <v>185</v>
      </c>
      <c r="AE105" s="81">
        <v>141</v>
      </c>
      <c r="AF105" s="81">
        <f t="shared" ref="AF105:AF122" si="25">AE105-AD105</f>
        <v>-44</v>
      </c>
      <c r="AG105" s="69"/>
      <c r="AH105" s="79">
        <v>96</v>
      </c>
      <c r="AI105" s="80" t="s">
        <v>78</v>
      </c>
      <c r="AJ105" s="79">
        <v>1.291663</v>
      </c>
      <c r="AK105" s="79">
        <v>1.295309</v>
      </c>
      <c r="AL105" s="79">
        <v>1.298349</v>
      </c>
      <c r="AM105" s="103">
        <v>1.3013699432379044</v>
      </c>
      <c r="AN105" s="739">
        <f t="shared" si="19"/>
        <v>3.6460000000000381E-3</v>
      </c>
      <c r="AO105" s="83">
        <f t="shared" si="20"/>
        <v>0.28227176902954082</v>
      </c>
    </row>
    <row r="106" spans="1:41" x14ac:dyDescent="0.2">
      <c r="A106" s="79">
        <v>97</v>
      </c>
      <c r="B106" s="80" t="s">
        <v>130</v>
      </c>
      <c r="C106" s="81">
        <v>31849</v>
      </c>
      <c r="D106" s="82">
        <v>29056</v>
      </c>
      <c r="E106" s="82">
        <f t="shared" si="23"/>
        <v>-2793</v>
      </c>
      <c r="F106" s="83">
        <f t="shared" si="24"/>
        <v>-8.7695061069421332</v>
      </c>
      <c r="G106" s="69"/>
      <c r="H106" s="79">
        <v>97</v>
      </c>
      <c r="I106" s="80" t="s">
        <v>130</v>
      </c>
      <c r="J106" s="81">
        <v>42039690</v>
      </c>
      <c r="K106" s="81">
        <v>45110355</v>
      </c>
      <c r="L106" s="81">
        <v>44920954.013768397</v>
      </c>
      <c r="M106" s="81">
        <v>46362454</v>
      </c>
      <c r="N106" s="81">
        <v>53343794.037430897</v>
      </c>
      <c r="O106" s="81">
        <v>56418046.529950827</v>
      </c>
      <c r="P106" s="84">
        <f t="shared" si="18"/>
        <v>3074252.49251993</v>
      </c>
      <c r="Q106" s="79">
        <v>97</v>
      </c>
      <c r="R106" s="80" t="s">
        <v>130</v>
      </c>
      <c r="S106" s="81">
        <v>2674436.84</v>
      </c>
      <c r="T106" s="85">
        <v>2886491</v>
      </c>
      <c r="U106" s="81">
        <v>3000036.82</v>
      </c>
      <c r="V106" s="81">
        <v>3328403.9</v>
      </c>
      <c r="W106" s="81">
        <v>3564083.19</v>
      </c>
      <c r="X106" s="81">
        <v>3914225.3599999994</v>
      </c>
      <c r="Y106" s="81">
        <f t="shared" si="21"/>
        <v>350142.16999999946</v>
      </c>
      <c r="Z106" s="83">
        <f t="shared" si="22"/>
        <v>9.8241862306249779</v>
      </c>
      <c r="AA106" s="69"/>
      <c r="AB106" s="83">
        <v>97</v>
      </c>
      <c r="AC106" s="86" t="s">
        <v>130</v>
      </c>
      <c r="AD106" s="87">
        <v>296</v>
      </c>
      <c r="AE106" s="81">
        <v>282</v>
      </c>
      <c r="AF106" s="81">
        <f t="shared" si="25"/>
        <v>-14</v>
      </c>
      <c r="AG106" s="69"/>
      <c r="AH106" s="79">
        <v>97</v>
      </c>
      <c r="AI106" s="80" t="s">
        <v>130</v>
      </c>
      <c r="AJ106" s="79">
        <v>1.625834</v>
      </c>
      <c r="AK106" s="79">
        <v>1.6279589999999999</v>
      </c>
      <c r="AL106" s="79">
        <v>1.6318969999999999</v>
      </c>
      <c r="AM106" s="103">
        <v>1.6390075646760347</v>
      </c>
      <c r="AN106" s="739">
        <f t="shared" ref="AN106:AN122" si="26">AK106-AJ106</f>
        <v>2.1249999999999325E-3</v>
      </c>
      <c r="AO106" s="83">
        <f t="shared" ref="AO106:AO122" si="27">AN106/AJ106%</f>
        <v>0.13070215040403463</v>
      </c>
    </row>
    <row r="107" spans="1:41" x14ac:dyDescent="0.2">
      <c r="A107" s="79">
        <v>98</v>
      </c>
      <c r="B107" s="80" t="s">
        <v>128</v>
      </c>
      <c r="C107" s="81">
        <v>27371</v>
      </c>
      <c r="D107" s="82">
        <v>25757</v>
      </c>
      <c r="E107" s="82">
        <f t="shared" si="23"/>
        <v>-1614</v>
      </c>
      <c r="F107" s="83">
        <f t="shared" si="24"/>
        <v>-5.8967520368272996</v>
      </c>
      <c r="G107" s="69"/>
      <c r="H107" s="79">
        <v>98</v>
      </c>
      <c r="I107" s="80" t="s">
        <v>128</v>
      </c>
      <c r="J107" s="81">
        <v>16095760</v>
      </c>
      <c r="K107" s="81">
        <v>17394067</v>
      </c>
      <c r="L107" s="81">
        <v>17421023.549745701</v>
      </c>
      <c r="M107" s="81">
        <v>18045897</v>
      </c>
      <c r="N107" s="81">
        <v>21097363.8638262</v>
      </c>
      <c r="O107" s="81">
        <v>22313224.576666679</v>
      </c>
      <c r="P107" s="84">
        <f t="shared" si="18"/>
        <v>1215860.7128404789</v>
      </c>
      <c r="Q107" s="79">
        <v>98</v>
      </c>
      <c r="R107" s="80" t="s">
        <v>128</v>
      </c>
      <c r="S107" s="81">
        <v>2131956.4</v>
      </c>
      <c r="T107" s="85">
        <v>2207064.69</v>
      </c>
      <c r="U107" s="81">
        <v>2318531.2400000002</v>
      </c>
      <c r="V107" s="81">
        <v>3778652.34</v>
      </c>
      <c r="W107" s="81">
        <v>3617177.12</v>
      </c>
      <c r="X107" s="81">
        <v>3895086.7600000002</v>
      </c>
      <c r="Y107" s="81">
        <f t="shared" si="21"/>
        <v>277909.64000000013</v>
      </c>
      <c r="Z107" s="83">
        <f t="shared" si="22"/>
        <v>7.683053131774761</v>
      </c>
      <c r="AA107" s="69"/>
      <c r="AB107" s="83">
        <v>98</v>
      </c>
      <c r="AC107" s="86" t="s">
        <v>128</v>
      </c>
      <c r="AD107" s="87">
        <v>79</v>
      </c>
      <c r="AE107" s="81">
        <v>81</v>
      </c>
      <c r="AF107" s="81">
        <f t="shared" si="25"/>
        <v>2</v>
      </c>
      <c r="AG107" s="69"/>
      <c r="AH107" s="79">
        <v>98</v>
      </c>
      <c r="AI107" s="80" t="s">
        <v>128</v>
      </c>
      <c r="AJ107" s="79">
        <v>0.63079099999999999</v>
      </c>
      <c r="AK107" s="79">
        <v>0.633826</v>
      </c>
      <c r="AL107" s="79">
        <v>0.64541199999999999</v>
      </c>
      <c r="AM107" s="103">
        <v>0.6568432497846376</v>
      </c>
      <c r="AN107" s="739">
        <f t="shared" si="26"/>
        <v>3.0350000000000099E-3</v>
      </c>
      <c r="AO107" s="83">
        <f t="shared" si="27"/>
        <v>0.48114193132115235</v>
      </c>
    </row>
    <row r="108" spans="1:41" x14ac:dyDescent="0.2">
      <c r="A108" s="79">
        <v>99</v>
      </c>
      <c r="B108" s="80" t="s">
        <v>139</v>
      </c>
      <c r="C108" s="81">
        <v>15383</v>
      </c>
      <c r="D108" s="82">
        <v>14329</v>
      </c>
      <c r="E108" s="82">
        <f t="shared" si="23"/>
        <v>-1054</v>
      </c>
      <c r="F108" s="83">
        <f t="shared" si="24"/>
        <v>-6.8517194305402063</v>
      </c>
      <c r="G108" s="69"/>
      <c r="H108" s="79">
        <v>99</v>
      </c>
      <c r="I108" s="80" t="s">
        <v>139</v>
      </c>
      <c r="J108" s="81">
        <v>25886448</v>
      </c>
      <c r="K108" s="81">
        <v>27849516</v>
      </c>
      <c r="L108" s="81">
        <v>27794525.050342198</v>
      </c>
      <c r="M108" s="81">
        <v>28621722</v>
      </c>
      <c r="N108" s="81">
        <v>32970833.625332098</v>
      </c>
      <c r="O108" s="81">
        <v>34870973.450069934</v>
      </c>
      <c r="P108" s="84">
        <f t="shared" si="18"/>
        <v>1900139.8247378357</v>
      </c>
      <c r="Q108" s="79">
        <v>99</v>
      </c>
      <c r="R108" s="80" t="s">
        <v>139</v>
      </c>
      <c r="S108" s="81">
        <v>760825.52</v>
      </c>
      <c r="T108" s="85">
        <v>857369.88</v>
      </c>
      <c r="U108" s="81">
        <v>1137171.3899999999</v>
      </c>
      <c r="V108" s="81">
        <v>1917888.27</v>
      </c>
      <c r="W108" s="81">
        <v>2255173.4300000002</v>
      </c>
      <c r="X108" s="81">
        <v>2420953.7599999998</v>
      </c>
      <c r="Y108" s="81">
        <f t="shared" si="21"/>
        <v>165780.32999999961</v>
      </c>
      <c r="Z108" s="83">
        <f t="shared" si="22"/>
        <v>7.3511122379620977</v>
      </c>
      <c r="AA108" s="69"/>
      <c r="AB108" s="83">
        <v>99</v>
      </c>
      <c r="AC108" s="86" t="s">
        <v>139</v>
      </c>
      <c r="AD108" s="87">
        <v>193</v>
      </c>
      <c r="AE108" s="81">
        <v>168</v>
      </c>
      <c r="AF108" s="81">
        <f t="shared" si="25"/>
        <v>-25</v>
      </c>
      <c r="AG108" s="69"/>
      <c r="AH108" s="79">
        <v>99</v>
      </c>
      <c r="AI108" s="80" t="s">
        <v>139</v>
      </c>
      <c r="AJ108" s="79">
        <v>1.0061420000000001</v>
      </c>
      <c r="AK108" s="79">
        <v>1.0048159999999999</v>
      </c>
      <c r="AL108" s="79">
        <v>1.0086459999999999</v>
      </c>
      <c r="AM108" s="103">
        <v>1.0152445452069849</v>
      </c>
      <c r="AN108" s="739">
        <f t="shared" si="26"/>
        <v>-1.3260000000001604E-3</v>
      </c>
      <c r="AO108" s="83">
        <f t="shared" si="27"/>
        <v>-0.13179054248805439</v>
      </c>
    </row>
    <row r="109" spans="1:41" x14ac:dyDescent="0.2">
      <c r="A109" s="79">
        <v>100</v>
      </c>
      <c r="B109" s="80" t="s">
        <v>125</v>
      </c>
      <c r="C109" s="81">
        <v>14432</v>
      </c>
      <c r="D109" s="82">
        <v>14911</v>
      </c>
      <c r="E109" s="82">
        <f t="shared" si="23"/>
        <v>479</v>
      </c>
      <c r="F109" s="83">
        <f t="shared" si="24"/>
        <v>3.3190133037694016</v>
      </c>
      <c r="G109" s="69"/>
      <c r="H109" s="79">
        <v>100</v>
      </c>
      <c r="I109" s="80" t="s">
        <v>125</v>
      </c>
      <c r="J109" s="81">
        <v>10505844</v>
      </c>
      <c r="K109" s="81">
        <v>11258616</v>
      </c>
      <c r="L109" s="81">
        <v>11197094.1474296</v>
      </c>
      <c r="M109" s="81">
        <v>11535718</v>
      </c>
      <c r="N109" s="81">
        <v>13309201.380420599</v>
      </c>
      <c r="O109" s="81">
        <v>14076223.041618841</v>
      </c>
      <c r="P109" s="84">
        <f t="shared" si="18"/>
        <v>767021.66119824164</v>
      </c>
      <c r="Q109" s="79">
        <v>100</v>
      </c>
      <c r="R109" s="80" t="s">
        <v>125</v>
      </c>
      <c r="S109" s="81">
        <v>1250687.07</v>
      </c>
      <c r="T109" s="85">
        <v>1312386.95</v>
      </c>
      <c r="U109" s="81">
        <v>1408864.96</v>
      </c>
      <c r="V109" s="81">
        <v>1779213.79</v>
      </c>
      <c r="W109" s="81">
        <v>1782821.36</v>
      </c>
      <c r="X109" s="81">
        <v>1918767.68</v>
      </c>
      <c r="Y109" s="81">
        <f t="shared" si="21"/>
        <v>135946.31999999983</v>
      </c>
      <c r="Z109" s="83">
        <f t="shared" si="22"/>
        <v>7.6253472753994718</v>
      </c>
      <c r="AA109" s="69"/>
      <c r="AB109" s="83">
        <v>100</v>
      </c>
      <c r="AC109" s="86" t="s">
        <v>125</v>
      </c>
      <c r="AD109" s="87">
        <v>36</v>
      </c>
      <c r="AE109" s="81">
        <v>34</v>
      </c>
      <c r="AF109" s="81">
        <f t="shared" si="25"/>
        <v>-2</v>
      </c>
      <c r="AG109" s="69"/>
      <c r="AH109" s="79">
        <v>100</v>
      </c>
      <c r="AI109" s="80" t="s">
        <v>125</v>
      </c>
      <c r="AJ109" s="79">
        <v>0.405219</v>
      </c>
      <c r="AK109" s="79">
        <v>0.40500599999999998</v>
      </c>
      <c r="AL109" s="79">
        <v>0.40715600000000002</v>
      </c>
      <c r="AM109" s="103">
        <v>0.41010457098962305</v>
      </c>
      <c r="AN109" s="739">
        <f t="shared" si="26"/>
        <v>-2.1300000000001873E-4</v>
      </c>
      <c r="AO109" s="83">
        <f t="shared" si="27"/>
        <v>-5.2564169004913085E-2</v>
      </c>
    </row>
    <row r="110" spans="1:41" x14ac:dyDescent="0.2">
      <c r="A110" s="79">
        <v>101</v>
      </c>
      <c r="B110" s="80" t="s">
        <v>66</v>
      </c>
      <c r="C110" s="81">
        <v>8966</v>
      </c>
      <c r="D110" s="82">
        <v>8855</v>
      </c>
      <c r="E110" s="82">
        <f t="shared" si="23"/>
        <v>-111</v>
      </c>
      <c r="F110" s="83">
        <f t="shared" si="24"/>
        <v>-1.2380102609859469</v>
      </c>
      <c r="G110" s="69"/>
      <c r="H110" s="79">
        <v>101</v>
      </c>
      <c r="I110" s="80" t="s">
        <v>66</v>
      </c>
      <c r="J110" s="81">
        <v>31328807</v>
      </c>
      <c r="K110" s="81">
        <v>33490521</v>
      </c>
      <c r="L110" s="81">
        <v>33219166.696814802</v>
      </c>
      <c r="M110" s="81">
        <v>34134327</v>
      </c>
      <c r="N110" s="81">
        <v>39135111.145292401</v>
      </c>
      <c r="O110" s="81">
        <v>41390504.020029359</v>
      </c>
      <c r="P110" s="84">
        <f t="shared" si="18"/>
        <v>2255392.8747369573</v>
      </c>
      <c r="Q110" s="79">
        <v>101</v>
      </c>
      <c r="R110" s="80" t="s">
        <v>66</v>
      </c>
      <c r="S110" s="81">
        <v>566711.05000000005</v>
      </c>
      <c r="T110" s="85">
        <v>548188.62</v>
      </c>
      <c r="U110" s="81">
        <v>597015.42000000004</v>
      </c>
      <c r="V110" s="81">
        <v>988805.05999999901</v>
      </c>
      <c r="W110" s="81">
        <v>1119577.52</v>
      </c>
      <c r="X110" s="81">
        <v>1150845.42</v>
      </c>
      <c r="Y110" s="81">
        <f t="shared" si="21"/>
        <v>31267.899999999907</v>
      </c>
      <c r="Z110" s="83">
        <f t="shared" si="22"/>
        <v>2.7928302811939192</v>
      </c>
      <c r="AA110" s="69"/>
      <c r="AB110" s="83">
        <v>101</v>
      </c>
      <c r="AC110" s="86" t="s">
        <v>66</v>
      </c>
      <c r="AD110" s="87">
        <v>271</v>
      </c>
      <c r="AE110" s="81">
        <v>251</v>
      </c>
      <c r="AF110" s="81">
        <f t="shared" si="25"/>
        <v>-20</v>
      </c>
      <c r="AG110" s="69"/>
      <c r="AH110" s="79">
        <v>101</v>
      </c>
      <c r="AI110" s="80" t="s">
        <v>66</v>
      </c>
      <c r="AJ110" s="79">
        <v>1.201951</v>
      </c>
      <c r="AK110" s="79">
        <v>1.19818</v>
      </c>
      <c r="AL110" s="79">
        <v>1.1972240000000001</v>
      </c>
      <c r="AM110" s="103">
        <v>1.1976152778550904</v>
      </c>
      <c r="AN110" s="739">
        <f t="shared" si="26"/>
        <v>-3.7709999999999688E-3</v>
      </c>
      <c r="AO110" s="83">
        <f t="shared" si="27"/>
        <v>-0.31373991119438055</v>
      </c>
    </row>
    <row r="111" spans="1:41" x14ac:dyDescent="0.2">
      <c r="A111" s="79">
        <v>102</v>
      </c>
      <c r="B111" s="80" t="s">
        <v>117</v>
      </c>
      <c r="C111" s="81">
        <v>334749</v>
      </c>
      <c r="D111" s="82">
        <v>356786</v>
      </c>
      <c r="E111" s="82">
        <f t="shared" si="23"/>
        <v>22037</v>
      </c>
      <c r="F111" s="83">
        <f t="shared" si="24"/>
        <v>6.5831413984806533</v>
      </c>
      <c r="G111" s="69"/>
      <c r="H111" s="79">
        <v>102</v>
      </c>
      <c r="I111" s="80" t="s">
        <v>117</v>
      </c>
      <c r="J111" s="81">
        <v>86040197</v>
      </c>
      <c r="K111" s="81">
        <v>93407689</v>
      </c>
      <c r="L111" s="81">
        <v>93883059.323515102</v>
      </c>
      <c r="M111" s="81">
        <v>97203268</v>
      </c>
      <c r="N111" s="81">
        <v>108047744.549135</v>
      </c>
      <c r="O111" s="81">
        <v>114274636.61755955</v>
      </c>
      <c r="P111" s="84">
        <f t="shared" si="18"/>
        <v>6226892.0684245527</v>
      </c>
      <c r="Q111" s="79">
        <v>102</v>
      </c>
      <c r="R111" s="80" t="s">
        <v>117</v>
      </c>
      <c r="S111" s="81">
        <v>39701891.479999997</v>
      </c>
      <c r="T111" s="85">
        <v>40801302.729999997</v>
      </c>
      <c r="U111" s="81">
        <v>39816394.770000003</v>
      </c>
      <c r="V111" s="81">
        <v>18669034.120000001</v>
      </c>
      <c r="W111" s="81">
        <v>14337767.199999999</v>
      </c>
      <c r="X111" s="81">
        <v>16958903.030000001</v>
      </c>
      <c r="Y111" s="81">
        <f t="shared" si="21"/>
        <v>2621135.8300000019</v>
      </c>
      <c r="Z111" s="83">
        <f t="shared" si="22"/>
        <v>18.281339021880633</v>
      </c>
      <c r="AA111" s="69"/>
      <c r="AB111" s="83">
        <v>102</v>
      </c>
      <c r="AC111" s="86" t="s">
        <v>117</v>
      </c>
      <c r="AD111" s="87">
        <v>231</v>
      </c>
      <c r="AE111" s="81">
        <v>232</v>
      </c>
      <c r="AF111" s="81">
        <f t="shared" si="25"/>
        <v>1</v>
      </c>
      <c r="AG111" s="69"/>
      <c r="AH111" s="79">
        <v>102</v>
      </c>
      <c r="AI111" s="80" t="s">
        <v>117</v>
      </c>
      <c r="AJ111" s="79">
        <v>3.4002379999999999</v>
      </c>
      <c r="AK111" s="79">
        <v>3.4138639999999998</v>
      </c>
      <c r="AL111" s="79">
        <v>3.3054039999999998</v>
      </c>
      <c r="AM111" s="103">
        <v>3.1957647611692588</v>
      </c>
      <c r="AN111" s="739">
        <f t="shared" si="26"/>
        <v>1.3625999999999916E-2</v>
      </c>
      <c r="AO111" s="83">
        <f t="shared" si="27"/>
        <v>0.40073665431654831</v>
      </c>
    </row>
    <row r="112" spans="1:41" x14ac:dyDescent="0.2">
      <c r="A112" s="79">
        <v>103</v>
      </c>
      <c r="B112" s="80" t="s">
        <v>68</v>
      </c>
      <c r="C112" s="81">
        <v>24708</v>
      </c>
      <c r="D112" s="82">
        <v>23469</v>
      </c>
      <c r="E112" s="82">
        <f t="shared" si="23"/>
        <v>-1239</v>
      </c>
      <c r="F112" s="83">
        <f t="shared" si="24"/>
        <v>-5.0145701796988824</v>
      </c>
      <c r="G112" s="69"/>
      <c r="H112" s="79">
        <v>103</v>
      </c>
      <c r="I112" s="80" t="s">
        <v>68</v>
      </c>
      <c r="J112" s="81">
        <v>16005288</v>
      </c>
      <c r="K112" s="81">
        <v>16886891</v>
      </c>
      <c r="L112" s="81">
        <v>16552189.893224901</v>
      </c>
      <c r="M112" s="81">
        <v>16743514</v>
      </c>
      <c r="N112" s="81">
        <v>18779377.420575</v>
      </c>
      <c r="O112" s="81">
        <v>19861650.417555001</v>
      </c>
      <c r="P112" s="84">
        <f t="shared" si="18"/>
        <v>1082272.9969800003</v>
      </c>
      <c r="Q112" s="79">
        <v>103</v>
      </c>
      <c r="R112" s="80" t="s">
        <v>68</v>
      </c>
      <c r="S112" s="81">
        <v>2974943.4</v>
      </c>
      <c r="T112" s="85">
        <v>3042710.26</v>
      </c>
      <c r="U112" s="81">
        <v>3207178.75</v>
      </c>
      <c r="V112" s="81">
        <v>2669213.5499999998</v>
      </c>
      <c r="W112" s="81">
        <v>2650976.62</v>
      </c>
      <c r="X112" s="81">
        <v>2842347.22</v>
      </c>
      <c r="Y112" s="81">
        <f t="shared" si="21"/>
        <v>191370.60000000009</v>
      </c>
      <c r="Z112" s="83">
        <f t="shared" si="22"/>
        <v>7.2188716624743403</v>
      </c>
      <c r="AA112" s="69"/>
      <c r="AB112" s="83">
        <v>103</v>
      </c>
      <c r="AC112" s="86" t="s">
        <v>68</v>
      </c>
      <c r="AD112" s="87">
        <v>25</v>
      </c>
      <c r="AE112" s="81">
        <v>23</v>
      </c>
      <c r="AF112" s="81">
        <f t="shared" si="25"/>
        <v>-2</v>
      </c>
      <c r="AG112" s="69"/>
      <c r="AH112" s="79">
        <v>103</v>
      </c>
      <c r="AI112" s="80" t="s">
        <v>68</v>
      </c>
      <c r="AJ112" s="79">
        <v>0.59836400000000001</v>
      </c>
      <c r="AK112" s="79">
        <v>0.58701000000000003</v>
      </c>
      <c r="AL112" s="79">
        <v>0.57450000000000001</v>
      </c>
      <c r="AM112" s="103">
        <v>0.56448342989451294</v>
      </c>
      <c r="AN112" s="739">
        <f t="shared" si="26"/>
        <v>-1.1353999999999975E-2</v>
      </c>
      <c r="AO112" s="83">
        <f t="shared" si="27"/>
        <v>-1.8975072029734368</v>
      </c>
    </row>
    <row r="113" spans="1:41" x14ac:dyDescent="0.2">
      <c r="A113" s="79">
        <v>104</v>
      </c>
      <c r="B113" s="80" t="s">
        <v>109</v>
      </c>
      <c r="C113" s="81">
        <v>17166</v>
      </c>
      <c r="D113" s="82">
        <v>15864</v>
      </c>
      <c r="E113" s="82">
        <f t="shared" si="23"/>
        <v>-1302</v>
      </c>
      <c r="F113" s="83">
        <f t="shared" si="24"/>
        <v>-7.5847605732261449</v>
      </c>
      <c r="G113" s="69"/>
      <c r="H113" s="79">
        <v>104</v>
      </c>
      <c r="I113" s="80" t="s">
        <v>109</v>
      </c>
      <c r="J113" s="81">
        <v>11833655</v>
      </c>
      <c r="K113" s="81">
        <v>12704089</v>
      </c>
      <c r="L113" s="81">
        <v>12648264.435267501</v>
      </c>
      <c r="M113" s="81">
        <v>12988839</v>
      </c>
      <c r="N113" s="81">
        <v>15110158.3847489</v>
      </c>
      <c r="O113" s="81">
        <v>15980970.874090889</v>
      </c>
      <c r="P113" s="84">
        <f t="shared" si="18"/>
        <v>870812.48934198916</v>
      </c>
      <c r="Q113" s="79">
        <v>104</v>
      </c>
      <c r="R113" s="80" t="s">
        <v>109</v>
      </c>
      <c r="S113" s="81">
        <v>1660468.21</v>
      </c>
      <c r="T113" s="85">
        <v>1700948.77</v>
      </c>
      <c r="U113" s="81">
        <v>1751569.06</v>
      </c>
      <c r="V113" s="81">
        <v>3039225.87</v>
      </c>
      <c r="W113" s="81">
        <v>3221404.14</v>
      </c>
      <c r="X113" s="81">
        <v>3481167.6699999995</v>
      </c>
      <c r="Y113" s="81">
        <f t="shared" si="21"/>
        <v>259763.52999999933</v>
      </c>
      <c r="Z113" s="83">
        <f t="shared" si="22"/>
        <v>8.0636740598464414</v>
      </c>
      <c r="AA113" s="69"/>
      <c r="AB113" s="83">
        <v>104</v>
      </c>
      <c r="AC113" s="86" t="s">
        <v>109</v>
      </c>
      <c r="AD113" s="87">
        <v>47</v>
      </c>
      <c r="AE113" s="81">
        <v>44</v>
      </c>
      <c r="AF113" s="81">
        <f t="shared" si="25"/>
        <v>-3</v>
      </c>
      <c r="AG113" s="69"/>
      <c r="AH113" s="79">
        <v>104</v>
      </c>
      <c r="AI113" s="80" t="s">
        <v>109</v>
      </c>
      <c r="AJ113" s="79">
        <v>0.45777200000000001</v>
      </c>
      <c r="AK113" s="79">
        <v>0.45590000000000003</v>
      </c>
      <c r="AL113" s="79">
        <v>0.46225100000000002</v>
      </c>
      <c r="AM113" s="103">
        <v>0.47065214669336197</v>
      </c>
      <c r="AN113" s="739">
        <f t="shared" si="26"/>
        <v>-1.8719999999999848E-3</v>
      </c>
      <c r="AO113" s="83">
        <f t="shared" si="27"/>
        <v>-0.4089372001782513</v>
      </c>
    </row>
    <row r="114" spans="1:41" x14ac:dyDescent="0.2">
      <c r="A114" s="79">
        <v>105</v>
      </c>
      <c r="B114" s="80" t="s">
        <v>150</v>
      </c>
      <c r="C114" s="81">
        <v>20624</v>
      </c>
      <c r="D114" s="82">
        <v>20982</v>
      </c>
      <c r="E114" s="82">
        <f t="shared" si="23"/>
        <v>358</v>
      </c>
      <c r="F114" s="83">
        <f t="shared" si="24"/>
        <v>1.7358417377812256</v>
      </c>
      <c r="G114" s="69"/>
      <c r="H114" s="79">
        <v>105</v>
      </c>
      <c r="I114" s="80" t="s">
        <v>150</v>
      </c>
      <c r="J114" s="81">
        <v>11870725</v>
      </c>
      <c r="K114" s="81">
        <v>12938598</v>
      </c>
      <c r="L114" s="81">
        <v>13061804.3323169</v>
      </c>
      <c r="M114" s="81">
        <v>13576035</v>
      </c>
      <c r="N114" s="81">
        <v>15787719.629611701</v>
      </c>
      <c r="O114" s="81">
        <v>16697580.604038808</v>
      </c>
      <c r="P114" s="84">
        <f t="shared" si="18"/>
        <v>909860.97442710772</v>
      </c>
      <c r="Q114" s="79">
        <v>105</v>
      </c>
      <c r="R114" s="80" t="s">
        <v>150</v>
      </c>
      <c r="S114" s="81">
        <v>2358222.08</v>
      </c>
      <c r="T114" s="85">
        <v>2489604</v>
      </c>
      <c r="U114" s="81">
        <v>2676010.09</v>
      </c>
      <c r="V114" s="81">
        <v>3075065.5</v>
      </c>
      <c r="W114" s="81">
        <v>2392602.66</v>
      </c>
      <c r="X114" s="81">
        <v>2507630.54</v>
      </c>
      <c r="Y114" s="81">
        <f t="shared" si="21"/>
        <v>115027.87999999989</v>
      </c>
      <c r="Z114" s="83">
        <f t="shared" si="22"/>
        <v>4.8076465818189753</v>
      </c>
      <c r="AA114" s="69"/>
      <c r="AB114" s="83">
        <v>105</v>
      </c>
      <c r="AC114" s="86" t="s">
        <v>150</v>
      </c>
      <c r="AD114" s="87">
        <v>16</v>
      </c>
      <c r="AE114" s="81">
        <v>12</v>
      </c>
      <c r="AF114" s="81">
        <f t="shared" si="25"/>
        <v>-4</v>
      </c>
      <c r="AG114" s="69"/>
      <c r="AH114" s="79">
        <v>105</v>
      </c>
      <c r="AI114" s="80" t="s">
        <v>150</v>
      </c>
      <c r="AJ114" s="79">
        <v>0.47322900000000001</v>
      </c>
      <c r="AK114" s="79">
        <v>0.476939</v>
      </c>
      <c r="AL114" s="79">
        <v>0.48297899999999999</v>
      </c>
      <c r="AM114" s="103">
        <v>0.48582658935088707</v>
      </c>
      <c r="AN114" s="739">
        <f t="shared" si="26"/>
        <v>3.7099999999999911E-3</v>
      </c>
      <c r="AO114" s="83">
        <f t="shared" si="27"/>
        <v>0.78397562279572697</v>
      </c>
    </row>
    <row r="115" spans="1:41" x14ac:dyDescent="0.2">
      <c r="A115" s="79">
        <v>106</v>
      </c>
      <c r="B115" s="80" t="s">
        <v>145</v>
      </c>
      <c r="C115" s="81">
        <v>31404</v>
      </c>
      <c r="D115" s="82">
        <v>32303</v>
      </c>
      <c r="E115" s="82">
        <f t="shared" si="23"/>
        <v>899</v>
      </c>
      <c r="F115" s="83">
        <f t="shared" si="24"/>
        <v>2.8626926506177557</v>
      </c>
      <c r="G115" s="69"/>
      <c r="H115" s="79">
        <v>106</v>
      </c>
      <c r="I115" s="80" t="s">
        <v>145</v>
      </c>
      <c r="J115" s="81">
        <v>16722903</v>
      </c>
      <c r="K115" s="81">
        <v>18115064</v>
      </c>
      <c r="L115" s="81">
        <v>18189812.732512102</v>
      </c>
      <c r="M115" s="81">
        <v>18778861</v>
      </c>
      <c r="N115" s="81">
        <v>21777997.8005559</v>
      </c>
      <c r="O115" s="81">
        <v>23033084.080573261</v>
      </c>
      <c r="P115" s="84">
        <f t="shared" si="18"/>
        <v>1255086.280017361</v>
      </c>
      <c r="Q115" s="79">
        <v>106</v>
      </c>
      <c r="R115" s="80" t="s">
        <v>145</v>
      </c>
      <c r="S115" s="81">
        <v>3542479.63</v>
      </c>
      <c r="T115" s="85">
        <v>3722924.45</v>
      </c>
      <c r="U115" s="81">
        <v>3712248.66</v>
      </c>
      <c r="V115" s="81">
        <v>4653065.71</v>
      </c>
      <c r="W115" s="81">
        <v>3250108.33</v>
      </c>
      <c r="X115" s="81">
        <v>3374788.3</v>
      </c>
      <c r="Y115" s="81">
        <f t="shared" si="21"/>
        <v>124679.96999999974</v>
      </c>
      <c r="Z115" s="83">
        <f t="shared" si="22"/>
        <v>3.8361789005352858</v>
      </c>
      <c r="AA115" s="69"/>
      <c r="AB115" s="83">
        <v>106</v>
      </c>
      <c r="AC115" s="86" t="s">
        <v>145</v>
      </c>
      <c r="AD115" s="87">
        <v>25</v>
      </c>
      <c r="AE115" s="81">
        <v>18</v>
      </c>
      <c r="AF115" s="81">
        <f t="shared" si="25"/>
        <v>-7</v>
      </c>
      <c r="AG115" s="69"/>
      <c r="AH115" s="79">
        <v>106</v>
      </c>
      <c r="AI115" s="80" t="s">
        <v>145</v>
      </c>
      <c r="AJ115" s="79">
        <v>0.65875499999999998</v>
      </c>
      <c r="AK115" s="79">
        <v>0.65937800000000002</v>
      </c>
      <c r="AL115" s="79">
        <v>0.66623399999999999</v>
      </c>
      <c r="AM115" s="103">
        <v>0.66581883763136596</v>
      </c>
      <c r="AN115" s="739">
        <f t="shared" si="26"/>
        <v>6.2300000000004019E-4</v>
      </c>
      <c r="AO115" s="83">
        <f t="shared" si="27"/>
        <v>9.4572337211867863E-2</v>
      </c>
    </row>
    <row r="116" spans="1:41" x14ac:dyDescent="0.2">
      <c r="A116" s="79">
        <v>107</v>
      </c>
      <c r="B116" s="80" t="s">
        <v>106</v>
      </c>
      <c r="C116" s="81">
        <v>75632</v>
      </c>
      <c r="D116" s="82">
        <v>76829</v>
      </c>
      <c r="E116" s="82">
        <f t="shared" si="23"/>
        <v>1197</v>
      </c>
      <c r="F116" s="83">
        <f t="shared" si="24"/>
        <v>1.582663422889782</v>
      </c>
      <c r="G116" s="69"/>
      <c r="H116" s="79">
        <v>107</v>
      </c>
      <c r="I116" s="80" t="s">
        <v>106</v>
      </c>
      <c r="J116" s="81">
        <v>27386548</v>
      </c>
      <c r="K116" s="81">
        <v>29406894</v>
      </c>
      <c r="L116" s="81">
        <v>29275145.5565692</v>
      </c>
      <c r="M116" s="81">
        <v>30135931</v>
      </c>
      <c r="N116" s="81">
        <v>34919083.710003503</v>
      </c>
      <c r="O116" s="81">
        <v>36931503.000177331</v>
      </c>
      <c r="P116" s="84">
        <f t="shared" si="18"/>
        <v>2012419.2901738286</v>
      </c>
      <c r="Q116" s="79">
        <v>107</v>
      </c>
      <c r="R116" s="80" t="s">
        <v>106</v>
      </c>
      <c r="S116" s="81">
        <v>8158659.21</v>
      </c>
      <c r="T116" s="85">
        <v>8348761.2699999996</v>
      </c>
      <c r="U116" s="81">
        <v>8539923.8599999994</v>
      </c>
      <c r="V116" s="81">
        <v>10321495.74</v>
      </c>
      <c r="W116" s="81">
        <v>9732637.7799999993</v>
      </c>
      <c r="X116" s="81">
        <v>10212148.480000002</v>
      </c>
      <c r="Y116" s="81">
        <f t="shared" si="21"/>
        <v>479510.70000000298</v>
      </c>
      <c r="Z116" s="83">
        <f t="shared" si="22"/>
        <v>4.9268318706504148</v>
      </c>
      <c r="AA116" s="69"/>
      <c r="AB116" s="83">
        <v>107</v>
      </c>
      <c r="AC116" s="86" t="s">
        <v>106</v>
      </c>
      <c r="AD116" s="87">
        <v>48</v>
      </c>
      <c r="AE116" s="81">
        <v>50</v>
      </c>
      <c r="AF116" s="81">
        <f t="shared" si="25"/>
        <v>2</v>
      </c>
      <c r="AG116" s="69"/>
      <c r="AH116" s="79">
        <v>107</v>
      </c>
      <c r="AI116" s="80" t="s">
        <v>106</v>
      </c>
      <c r="AJ116" s="79">
        <v>1.0595300000000001</v>
      </c>
      <c r="AK116" s="79">
        <v>1.0579620000000001</v>
      </c>
      <c r="AL116" s="79">
        <v>1.0682469999999999</v>
      </c>
      <c r="AM116" s="103">
        <v>1.079443044925759</v>
      </c>
      <c r="AN116" s="739">
        <f t="shared" si="26"/>
        <v>-1.5680000000000138E-3</v>
      </c>
      <c r="AO116" s="83">
        <f t="shared" si="27"/>
        <v>-0.1479901465744258</v>
      </c>
    </row>
    <row r="117" spans="1:41" x14ac:dyDescent="0.2">
      <c r="A117" s="79">
        <v>108</v>
      </c>
      <c r="B117" s="80" t="s">
        <v>149</v>
      </c>
      <c r="C117" s="81">
        <v>196208</v>
      </c>
      <c r="D117" s="82">
        <v>204860</v>
      </c>
      <c r="E117" s="82">
        <f t="shared" si="23"/>
        <v>8652</v>
      </c>
      <c r="F117" s="83">
        <f t="shared" si="24"/>
        <v>4.4096061322677977</v>
      </c>
      <c r="G117" s="69"/>
      <c r="H117" s="79">
        <v>108</v>
      </c>
      <c r="I117" s="80" t="s">
        <v>149</v>
      </c>
      <c r="J117" s="81">
        <v>67574974</v>
      </c>
      <c r="K117" s="81">
        <v>72984506</v>
      </c>
      <c r="L117" s="81">
        <v>73311118.406804994</v>
      </c>
      <c r="M117" s="81">
        <v>76016467</v>
      </c>
      <c r="N117" s="81">
        <v>87611761.265553802</v>
      </c>
      <c r="O117" s="81">
        <v>92660908.599462748</v>
      </c>
      <c r="P117" s="84">
        <f t="shared" si="18"/>
        <v>5049147.3339089453</v>
      </c>
      <c r="Q117" s="79">
        <v>108</v>
      </c>
      <c r="R117" s="80" t="s">
        <v>149</v>
      </c>
      <c r="S117" s="81">
        <v>23835152.219999999</v>
      </c>
      <c r="T117" s="85">
        <v>26212580.219999999</v>
      </c>
      <c r="U117" s="81">
        <v>27096112.219999999</v>
      </c>
      <c r="V117" s="81">
        <v>26023509.670000002</v>
      </c>
      <c r="W117" s="81">
        <v>25548216.899999999</v>
      </c>
      <c r="X117" s="81">
        <v>26682502.740000002</v>
      </c>
      <c r="Y117" s="81">
        <f t="shared" si="21"/>
        <v>1134285.8400000036</v>
      </c>
      <c r="Z117" s="83">
        <f t="shared" si="22"/>
        <v>4.439784758520676</v>
      </c>
      <c r="AA117" s="69"/>
      <c r="AB117" s="83">
        <v>108</v>
      </c>
      <c r="AC117" s="86" t="s">
        <v>149</v>
      </c>
      <c r="AD117" s="87">
        <v>84</v>
      </c>
      <c r="AE117" s="81">
        <v>78</v>
      </c>
      <c r="AF117" s="81">
        <f t="shared" si="25"/>
        <v>-6</v>
      </c>
      <c r="AG117" s="69"/>
      <c r="AH117" s="79">
        <v>108</v>
      </c>
      <c r="AI117" s="80" t="s">
        <v>149</v>
      </c>
      <c r="AJ117" s="79">
        <v>2.6551260000000001</v>
      </c>
      <c r="AK117" s="79">
        <v>2.6700910000000002</v>
      </c>
      <c r="AL117" s="79">
        <v>2.6802250000000001</v>
      </c>
      <c r="AM117" s="103">
        <v>2.7026920744534739</v>
      </c>
      <c r="AN117" s="739">
        <f t="shared" si="26"/>
        <v>1.4965000000000117E-2</v>
      </c>
      <c r="AO117" s="83">
        <f t="shared" si="27"/>
        <v>0.56362673560501897</v>
      </c>
    </row>
    <row r="118" spans="1:41" x14ac:dyDescent="0.2">
      <c r="A118" s="79">
        <v>109</v>
      </c>
      <c r="B118" s="80" t="s">
        <v>50</v>
      </c>
      <c r="C118" s="81">
        <v>3200</v>
      </c>
      <c r="D118" s="82">
        <v>3232</v>
      </c>
      <c r="E118" s="82">
        <f t="shared" si="23"/>
        <v>32</v>
      </c>
      <c r="F118" s="83">
        <f t="shared" si="24"/>
        <v>1</v>
      </c>
      <c r="G118" s="69"/>
      <c r="H118" s="79">
        <v>109</v>
      </c>
      <c r="I118" s="80" t="s">
        <v>50</v>
      </c>
      <c r="J118" s="81">
        <v>6828402</v>
      </c>
      <c r="K118" s="81">
        <v>7015227</v>
      </c>
      <c r="L118" s="81">
        <v>6711205.0695968196</v>
      </c>
      <c r="M118" s="81">
        <v>6658685</v>
      </c>
      <c r="N118" s="81">
        <v>7408554.28499805</v>
      </c>
      <c r="O118" s="81">
        <v>7835516.1628997708</v>
      </c>
      <c r="P118" s="84">
        <f t="shared" si="18"/>
        <v>426961.87790172081</v>
      </c>
      <c r="Q118" s="79">
        <v>109</v>
      </c>
      <c r="R118" s="80" t="s">
        <v>50</v>
      </c>
      <c r="S118" s="81">
        <v>559436.68999999994</v>
      </c>
      <c r="T118" s="85">
        <v>578611.13</v>
      </c>
      <c r="U118" s="81">
        <v>572143.78</v>
      </c>
      <c r="V118" s="81">
        <v>796962.8</v>
      </c>
      <c r="W118" s="81">
        <v>821811.34</v>
      </c>
      <c r="X118" s="81">
        <v>893543.34000000008</v>
      </c>
      <c r="Y118" s="81">
        <f t="shared" si="21"/>
        <v>71732.000000000116</v>
      </c>
      <c r="Z118" s="83">
        <f t="shared" si="22"/>
        <v>8.7285239943269843</v>
      </c>
      <c r="AA118" s="69"/>
      <c r="AB118" s="83">
        <v>109</v>
      </c>
      <c r="AC118" s="86" t="s">
        <v>50</v>
      </c>
      <c r="AD118" s="87">
        <v>15</v>
      </c>
      <c r="AE118" s="81">
        <v>14</v>
      </c>
      <c r="AF118" s="81">
        <f t="shared" si="25"/>
        <v>-1</v>
      </c>
      <c r="AG118" s="69"/>
      <c r="AH118" s="79">
        <v>109</v>
      </c>
      <c r="AI118" s="80" t="s">
        <v>50</v>
      </c>
      <c r="AJ118" s="79">
        <v>0.24215800000000001</v>
      </c>
      <c r="AK118" s="79">
        <v>0.233103</v>
      </c>
      <c r="AL118" s="79">
        <v>0.22664300000000001</v>
      </c>
      <c r="AM118" s="103">
        <v>0.22113315005748874</v>
      </c>
      <c r="AN118" s="739">
        <f t="shared" si="26"/>
        <v>-9.0550000000000075E-3</v>
      </c>
      <c r="AO118" s="83">
        <f t="shared" si="27"/>
        <v>-3.7392941798330046</v>
      </c>
    </row>
    <row r="119" spans="1:41" x14ac:dyDescent="0.2">
      <c r="A119" s="79">
        <v>110</v>
      </c>
      <c r="B119" s="80" t="s">
        <v>111</v>
      </c>
      <c r="C119" s="81">
        <v>47327</v>
      </c>
      <c r="D119" s="82">
        <v>49005</v>
      </c>
      <c r="E119" s="82">
        <f t="shared" si="23"/>
        <v>1678</v>
      </c>
      <c r="F119" s="83">
        <f t="shared" si="24"/>
        <v>3.5455448264204366</v>
      </c>
      <c r="G119" s="69"/>
      <c r="H119" s="79">
        <v>110</v>
      </c>
      <c r="I119" s="80" t="s">
        <v>111</v>
      </c>
      <c r="J119" s="81">
        <v>23397165</v>
      </c>
      <c r="K119" s="81">
        <v>25274043</v>
      </c>
      <c r="L119" s="81">
        <v>25295291.305401102</v>
      </c>
      <c r="M119" s="81">
        <v>26156238</v>
      </c>
      <c r="N119" s="81">
        <v>30399775.049809199</v>
      </c>
      <c r="O119" s="81">
        <v>32151742.376192879</v>
      </c>
      <c r="P119" s="84">
        <f t="shared" si="18"/>
        <v>1751967.3263836801</v>
      </c>
      <c r="Q119" s="79">
        <v>110</v>
      </c>
      <c r="R119" s="80" t="s">
        <v>111</v>
      </c>
      <c r="S119" s="81">
        <v>5658055.04</v>
      </c>
      <c r="T119" s="85">
        <v>5796163.0599999996</v>
      </c>
      <c r="U119" s="81">
        <v>6127782.1799999997</v>
      </c>
      <c r="V119" s="81">
        <v>7523882.5199999996</v>
      </c>
      <c r="W119" s="81">
        <v>6590891.4699999997</v>
      </c>
      <c r="X119" s="81">
        <v>6888991.9500000011</v>
      </c>
      <c r="Y119" s="81">
        <f t="shared" si="21"/>
        <v>298100.48000000138</v>
      </c>
      <c r="Z119" s="83">
        <f t="shared" si="22"/>
        <v>4.5229159265764913</v>
      </c>
      <c r="AA119" s="69"/>
      <c r="AB119" s="83">
        <v>110</v>
      </c>
      <c r="AC119" s="86" t="s">
        <v>111</v>
      </c>
      <c r="AD119" s="87">
        <v>97</v>
      </c>
      <c r="AE119" s="81">
        <v>88</v>
      </c>
      <c r="AF119" s="81">
        <f t="shared" si="25"/>
        <v>-9</v>
      </c>
      <c r="AG119" s="69"/>
      <c r="AH119" s="79">
        <v>110</v>
      </c>
      <c r="AI119" s="80" t="s">
        <v>111</v>
      </c>
      <c r="AJ119" s="79">
        <v>0.91585499999999997</v>
      </c>
      <c r="AK119" s="79">
        <v>0.91855699999999996</v>
      </c>
      <c r="AL119" s="79">
        <v>0.92999200000000004</v>
      </c>
      <c r="AM119" s="103">
        <v>0.93849398971109954</v>
      </c>
      <c r="AN119" s="739">
        <f t="shared" si="26"/>
        <v>2.7019999999999822E-3</v>
      </c>
      <c r="AO119" s="83">
        <f t="shared" si="27"/>
        <v>0.29502486747356105</v>
      </c>
    </row>
    <row r="120" spans="1:41" x14ac:dyDescent="0.2">
      <c r="A120" s="79">
        <v>111</v>
      </c>
      <c r="B120" s="80" t="s">
        <v>140</v>
      </c>
      <c r="C120" s="81">
        <v>17394</v>
      </c>
      <c r="D120" s="82">
        <v>18402</v>
      </c>
      <c r="E120" s="82">
        <f t="shared" si="23"/>
        <v>1008</v>
      </c>
      <c r="F120" s="83">
        <f t="shared" si="24"/>
        <v>5.79510175922732</v>
      </c>
      <c r="G120" s="69"/>
      <c r="H120" s="79">
        <v>111</v>
      </c>
      <c r="I120" s="80" t="s">
        <v>140</v>
      </c>
      <c r="J120" s="90">
        <v>10627825</v>
      </c>
      <c r="K120" s="90">
        <v>11663181</v>
      </c>
      <c r="L120" s="81">
        <v>11838495.3957712</v>
      </c>
      <c r="M120" s="81">
        <v>12485026</v>
      </c>
      <c r="N120" s="81">
        <v>14647293.312032901</v>
      </c>
      <c r="O120" s="81">
        <v>15491430.45648849</v>
      </c>
      <c r="P120" s="84">
        <f t="shared" si="18"/>
        <v>844137.14445558935</v>
      </c>
      <c r="Q120" s="79">
        <v>111</v>
      </c>
      <c r="R120" s="80" t="s">
        <v>140</v>
      </c>
      <c r="S120" s="81">
        <v>2066348.66</v>
      </c>
      <c r="T120" s="85">
        <v>2157066.85</v>
      </c>
      <c r="U120" s="81">
        <v>2207328.7599999998</v>
      </c>
      <c r="V120" s="81">
        <v>2244088.4700000002</v>
      </c>
      <c r="W120" s="81">
        <v>1681802.69</v>
      </c>
      <c r="X120" s="81">
        <v>1735999.53</v>
      </c>
      <c r="Y120" s="81">
        <f t="shared" si="21"/>
        <v>54196.840000000084</v>
      </c>
      <c r="Z120" s="83">
        <f t="shared" si="22"/>
        <v>3.2225444948004025</v>
      </c>
      <c r="AA120" s="91"/>
      <c r="AB120" s="83">
        <v>111</v>
      </c>
      <c r="AC120" s="86" t="s">
        <v>140</v>
      </c>
      <c r="AD120" s="87">
        <v>32</v>
      </c>
      <c r="AE120" s="81">
        <v>37</v>
      </c>
      <c r="AF120" s="81">
        <f t="shared" si="25"/>
        <v>5</v>
      </c>
      <c r="AG120" s="69"/>
      <c r="AH120" s="79">
        <v>111</v>
      </c>
      <c r="AI120" s="80" t="s">
        <v>140</v>
      </c>
      <c r="AJ120" s="79">
        <v>0.42907699999999999</v>
      </c>
      <c r="AK120" s="79">
        <v>0.439112</v>
      </c>
      <c r="AL120" s="79">
        <v>0.44809100000000002</v>
      </c>
      <c r="AM120" s="103">
        <v>0.45416581021933167</v>
      </c>
      <c r="AN120" s="739">
        <f t="shared" si="26"/>
        <v>1.0035000000000016E-2</v>
      </c>
      <c r="AO120" s="83">
        <f t="shared" si="27"/>
        <v>2.338741065123513</v>
      </c>
    </row>
    <row r="121" spans="1:41" x14ac:dyDescent="0.2">
      <c r="A121" s="79">
        <v>112</v>
      </c>
      <c r="B121" s="80" t="s">
        <v>142</v>
      </c>
      <c r="C121" s="81">
        <v>164144</v>
      </c>
      <c r="D121" s="82">
        <v>157056</v>
      </c>
      <c r="E121" s="82">
        <f t="shared" si="23"/>
        <v>-7088</v>
      </c>
      <c r="F121" s="83">
        <f t="shared" si="24"/>
        <v>-4.3181596646846669</v>
      </c>
      <c r="G121" s="69"/>
      <c r="H121" s="79">
        <v>112</v>
      </c>
      <c r="I121" s="80" t="s">
        <v>142</v>
      </c>
      <c r="J121" s="81">
        <v>47269994</v>
      </c>
      <c r="K121" s="81">
        <v>51068275</v>
      </c>
      <c r="L121" s="81">
        <v>51156377.206829503</v>
      </c>
      <c r="M121" s="81">
        <v>52906578</v>
      </c>
      <c r="N121" s="81">
        <v>60233422.967247799</v>
      </c>
      <c r="O121" s="81">
        <v>63704731.186534345</v>
      </c>
      <c r="P121" s="84">
        <f t="shared" si="18"/>
        <v>3471308.2192865461</v>
      </c>
      <c r="Q121" s="79">
        <v>112</v>
      </c>
      <c r="R121" s="80" t="s">
        <v>142</v>
      </c>
      <c r="S121" s="81">
        <v>12510558.9</v>
      </c>
      <c r="T121" s="85">
        <v>13071920.359999999</v>
      </c>
      <c r="U121" s="81">
        <v>13852011.210000001</v>
      </c>
      <c r="V121" s="81">
        <v>10138835.75</v>
      </c>
      <c r="W121" s="81">
        <v>9133667.8200000003</v>
      </c>
      <c r="X121" s="81">
        <v>9759184.8599999994</v>
      </c>
      <c r="Y121" s="81">
        <f t="shared" si="21"/>
        <v>625517.03999999911</v>
      </c>
      <c r="Z121" s="83">
        <f t="shared" si="22"/>
        <v>6.8484759061447784</v>
      </c>
      <c r="AA121" s="69"/>
      <c r="AB121" s="83">
        <v>112</v>
      </c>
      <c r="AC121" s="86" t="s">
        <v>142</v>
      </c>
      <c r="AD121" s="92">
        <v>161</v>
      </c>
      <c r="AE121" s="81">
        <v>160</v>
      </c>
      <c r="AF121" s="81">
        <f t="shared" si="25"/>
        <v>-1</v>
      </c>
      <c r="AG121" s="69"/>
      <c r="AH121" s="79">
        <v>112</v>
      </c>
      <c r="AI121" s="80" t="s">
        <v>142</v>
      </c>
      <c r="AJ121" s="79">
        <v>1.8523259999999999</v>
      </c>
      <c r="AK121" s="79">
        <v>1.857993</v>
      </c>
      <c r="AL121" s="79">
        <v>1.842665</v>
      </c>
      <c r="AM121" s="103">
        <v>1.8294106357681446</v>
      </c>
      <c r="AN121" s="739">
        <f t="shared" si="26"/>
        <v>5.6670000000000886E-3</v>
      </c>
      <c r="AO121" s="83">
        <f t="shared" si="27"/>
        <v>0.30593966720761295</v>
      </c>
    </row>
    <row r="122" spans="1:41" s="67" customFormat="1" ht="12.75" x14ac:dyDescent="0.2">
      <c r="A122" s="79">
        <v>113</v>
      </c>
      <c r="B122" s="80" t="s">
        <v>101</v>
      </c>
      <c r="C122" s="81">
        <v>26214</v>
      </c>
      <c r="D122" s="82">
        <v>26213</v>
      </c>
      <c r="E122" s="82">
        <f t="shared" si="23"/>
        <v>-1</v>
      </c>
      <c r="F122" s="83">
        <f t="shared" si="24"/>
        <v>-3.8147554741741058E-3</v>
      </c>
      <c r="G122" s="69"/>
      <c r="H122" s="79">
        <v>113</v>
      </c>
      <c r="I122" s="80" t="s">
        <v>101</v>
      </c>
      <c r="J122" s="93">
        <v>15194216</v>
      </c>
      <c r="K122" s="93">
        <v>16206781</v>
      </c>
      <c r="L122" s="81">
        <v>16060968.753428999</v>
      </c>
      <c r="M122" s="81">
        <v>16489667</v>
      </c>
      <c r="N122" s="81">
        <v>19086221.660517499</v>
      </c>
      <c r="O122" s="81">
        <v>20186178.376596931</v>
      </c>
      <c r="P122" s="84">
        <f t="shared" si="18"/>
        <v>1099956.7160794325</v>
      </c>
      <c r="Q122" s="79">
        <v>113</v>
      </c>
      <c r="R122" s="80" t="s">
        <v>101</v>
      </c>
      <c r="S122" s="81">
        <v>2477185.96</v>
      </c>
      <c r="T122" s="85">
        <v>2646712.65</v>
      </c>
      <c r="U122" s="81">
        <v>2689448.97</v>
      </c>
      <c r="V122" s="81">
        <v>3837309.67</v>
      </c>
      <c r="W122" s="81">
        <v>3905599.76</v>
      </c>
      <c r="X122" s="81">
        <v>4035441.0500000003</v>
      </c>
      <c r="Y122" s="81">
        <f t="shared" si="21"/>
        <v>129841.2900000005</v>
      </c>
      <c r="Z122" s="83">
        <f t="shared" si="22"/>
        <v>3.3244904234631694</v>
      </c>
      <c r="AA122" s="94"/>
      <c r="AB122" s="83">
        <v>113</v>
      </c>
      <c r="AC122" s="86" t="s">
        <v>101</v>
      </c>
      <c r="AD122" s="87">
        <v>35</v>
      </c>
      <c r="AE122" s="81">
        <v>38</v>
      </c>
      <c r="AF122" s="81">
        <f t="shared" si="25"/>
        <v>3</v>
      </c>
      <c r="AG122" s="69"/>
      <c r="AH122" s="79">
        <v>113</v>
      </c>
      <c r="AI122" s="80" t="s">
        <v>101</v>
      </c>
      <c r="AJ122" s="79">
        <v>0.58108899999999997</v>
      </c>
      <c r="AK122" s="79">
        <v>0.57878200000000002</v>
      </c>
      <c r="AL122" s="79">
        <v>0.58388700000000004</v>
      </c>
      <c r="AM122" s="103">
        <v>0.59092609704809884</v>
      </c>
      <c r="AN122" s="739">
        <f t="shared" si="26"/>
        <v>-2.306999999999948E-3</v>
      </c>
      <c r="AO122" s="83">
        <f t="shared" si="27"/>
        <v>-0.39701319419227482</v>
      </c>
    </row>
    <row r="123" spans="1:41" x14ac:dyDescent="0.2">
      <c r="P123" s="63"/>
    </row>
    <row r="124" spans="1:41" x14ac:dyDescent="0.2">
      <c r="P124" s="63"/>
    </row>
    <row r="125" spans="1:41" x14ac:dyDescent="0.2">
      <c r="P125" s="63"/>
    </row>
    <row r="126" spans="1:41" x14ac:dyDescent="0.2">
      <c r="P126" s="63"/>
    </row>
    <row r="127" spans="1:41" x14ac:dyDescent="0.2">
      <c r="P127" s="63"/>
    </row>
  </sheetData>
  <phoneticPr fontId="51" type="noConversion"/>
  <pageMargins left="0.74999999999999989" right="0.74999999999999989" top="1.393700787401575" bottom="1.393700787401575" header="1" footer="1"/>
  <pageSetup paperSize="0" scale="70" fitToWidth="0" fitToHeight="0" orientation="landscape" horizontalDpi="0" verticalDpi="0" copies="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867"/>
  <sheetViews>
    <sheetView topLeftCell="A41" workbookViewId="0">
      <selection activeCell="C34" sqref="C34:O1728"/>
    </sheetView>
  </sheetViews>
  <sheetFormatPr baseColWidth="10" defaultRowHeight="9" x14ac:dyDescent="0.15"/>
  <cols>
    <col min="1" max="1" width="2.875" style="579" customWidth="1"/>
    <col min="2" max="2" width="17.5" style="492" customWidth="1"/>
    <col min="3" max="3" width="11.625" style="538" customWidth="1"/>
    <col min="4" max="4" width="10.125" style="539" customWidth="1"/>
    <col min="5" max="5" width="11.375" style="492" customWidth="1"/>
    <col min="6" max="6" width="10.375" style="492" customWidth="1"/>
    <col min="7" max="7" width="11.125" style="492" customWidth="1"/>
    <col min="8" max="8" width="10.75" style="492" customWidth="1"/>
    <col min="9" max="9" width="10.375" style="492" customWidth="1"/>
    <col min="10" max="13" width="10.5" style="492" bestFit="1" customWidth="1"/>
    <col min="14" max="14" width="9.875" style="492" customWidth="1"/>
    <col min="15" max="15" width="10.75" style="492" customWidth="1"/>
    <col min="16" max="16" width="12.125" style="479" customWidth="1"/>
    <col min="17" max="17" width="11.5" style="497" customWidth="1"/>
    <col min="18" max="18" width="12" style="492" customWidth="1"/>
    <col min="19" max="19" width="12.125" style="479" customWidth="1"/>
    <col min="20" max="20" width="11" style="492" customWidth="1"/>
    <col min="21" max="21" width="9.25" style="492" customWidth="1"/>
    <col min="22" max="31" width="13" style="492" customWidth="1"/>
    <col min="32" max="1024" width="12.875" style="492" customWidth="1"/>
    <col min="1025" max="16384" width="11" style="498"/>
  </cols>
  <sheetData>
    <row r="1" spans="1:31" s="467" customFormat="1" x14ac:dyDescent="0.15">
      <c r="A1" s="577"/>
      <c r="B1" s="465"/>
      <c r="C1" s="466" t="s">
        <v>0</v>
      </c>
      <c r="D1" s="465"/>
      <c r="P1" s="468"/>
      <c r="Q1" s="469"/>
      <c r="S1" s="468"/>
    </row>
    <row r="2" spans="1:31" s="467" customFormat="1" x14ac:dyDescent="0.15">
      <c r="A2" s="577"/>
      <c r="B2" s="465"/>
      <c r="C2" s="466" t="s">
        <v>163</v>
      </c>
      <c r="D2" s="465"/>
      <c r="P2" s="468"/>
      <c r="Q2" s="469"/>
      <c r="S2" s="468"/>
    </row>
    <row r="3" spans="1:31" s="467" customFormat="1" x14ac:dyDescent="0.15">
      <c r="A3" s="577"/>
      <c r="B3" s="465"/>
      <c r="C3" s="465"/>
      <c r="D3" s="465"/>
      <c r="E3" s="470"/>
      <c r="P3" s="468"/>
      <c r="Q3" s="469"/>
      <c r="S3" s="468"/>
    </row>
    <row r="4" spans="1:31" s="467" customFormat="1" x14ac:dyDescent="0.15">
      <c r="A4" s="578"/>
      <c r="B4" s="465"/>
      <c r="C4" s="465"/>
      <c r="D4" s="465"/>
      <c r="E4" s="470"/>
      <c r="P4" s="468"/>
      <c r="Q4" s="469"/>
      <c r="S4" s="468"/>
    </row>
    <row r="5" spans="1:31" s="467" customFormat="1" x14ac:dyDescent="0.15">
      <c r="A5" s="577"/>
      <c r="B5" s="465" t="s">
        <v>535</v>
      </c>
      <c r="C5" s="465"/>
      <c r="D5" s="465"/>
      <c r="E5" s="470"/>
      <c r="P5" s="468"/>
      <c r="Q5" s="469"/>
      <c r="S5" s="468"/>
    </row>
    <row r="6" spans="1:31" s="467" customFormat="1" x14ac:dyDescent="0.15">
      <c r="A6" s="577"/>
      <c r="B6" s="471" t="s">
        <v>401</v>
      </c>
      <c r="C6" s="472" t="s">
        <v>191</v>
      </c>
      <c r="D6" s="473" t="s">
        <v>268</v>
      </c>
      <c r="E6" s="473" t="s">
        <v>270</v>
      </c>
      <c r="F6" s="473" t="s">
        <v>272</v>
      </c>
      <c r="G6" s="473" t="s">
        <v>274</v>
      </c>
      <c r="H6" s="473" t="s">
        <v>275</v>
      </c>
      <c r="I6" s="473" t="s">
        <v>277</v>
      </c>
      <c r="J6" s="473" t="s">
        <v>279</v>
      </c>
      <c r="K6" s="473" t="s">
        <v>289</v>
      </c>
      <c r="L6" s="473" t="s">
        <v>290</v>
      </c>
      <c r="M6" s="473" t="s">
        <v>291</v>
      </c>
      <c r="N6" s="473" t="s">
        <v>292</v>
      </c>
      <c r="O6" s="473" t="s">
        <v>293</v>
      </c>
      <c r="P6" s="474"/>
      <c r="Q6" s="475"/>
      <c r="R6" s="474"/>
      <c r="S6" s="474"/>
    </row>
    <row r="7" spans="1:31" s="467" customFormat="1" ht="12.75" customHeight="1" x14ac:dyDescent="0.15">
      <c r="A7" s="577"/>
      <c r="B7" s="476" t="s">
        <v>294</v>
      </c>
      <c r="C7" s="477">
        <v>31881085944</v>
      </c>
      <c r="D7" s="477">
        <v>2411316326</v>
      </c>
      <c r="E7" s="477">
        <v>3454812762</v>
      </c>
      <c r="F7" s="477">
        <v>2233176312</v>
      </c>
      <c r="G7" s="477">
        <v>2743230834</v>
      </c>
      <c r="H7" s="477">
        <v>3350084252</v>
      </c>
      <c r="I7" s="477">
        <v>3284264931</v>
      </c>
      <c r="J7" s="477">
        <v>2545973979</v>
      </c>
      <c r="K7" s="477">
        <v>2703148993</v>
      </c>
      <c r="L7" s="477">
        <v>2540289584</v>
      </c>
      <c r="M7" s="477">
        <v>1684016769</v>
      </c>
      <c r="N7" s="477">
        <v>2457736639</v>
      </c>
      <c r="O7" s="477">
        <v>2473034563</v>
      </c>
      <c r="P7" s="468">
        <f t="shared" ref="P7:P30" si="0">SUM(D7:O7)</f>
        <v>31881085944</v>
      </c>
      <c r="Q7" s="469">
        <f t="shared" ref="Q7:Q30" si="1">C7-P7</f>
        <v>0</v>
      </c>
      <c r="R7" s="478" t="s">
        <v>402</v>
      </c>
      <c r="S7" s="479">
        <v>21689429248</v>
      </c>
      <c r="T7" s="480">
        <v>1573293025</v>
      </c>
      <c r="U7" s="481">
        <v>2158469695</v>
      </c>
      <c r="V7" s="467">
        <v>1714753076</v>
      </c>
      <c r="W7" s="467">
        <v>2252013727</v>
      </c>
      <c r="X7" s="467">
        <v>1850673177</v>
      </c>
      <c r="Y7" s="467">
        <v>1924957722</v>
      </c>
      <c r="Z7" s="467">
        <v>1807333619</v>
      </c>
      <c r="AA7" s="467">
        <v>1824573776</v>
      </c>
      <c r="AB7" s="467">
        <v>1704243722</v>
      </c>
      <c r="AC7" s="467">
        <v>1537047088</v>
      </c>
      <c r="AD7" s="467">
        <v>1683021813</v>
      </c>
      <c r="AE7" s="467">
        <v>1659048808</v>
      </c>
    </row>
    <row r="8" spans="1:31" s="467" customFormat="1" x14ac:dyDescent="0.15">
      <c r="A8" s="578"/>
      <c r="B8" s="476" t="s">
        <v>296</v>
      </c>
      <c r="C8" s="477">
        <v>1720265994</v>
      </c>
      <c r="D8" s="477">
        <v>130091916</v>
      </c>
      <c r="E8" s="477">
        <v>186507899</v>
      </c>
      <c r="F8" s="477">
        <v>120460888</v>
      </c>
      <c r="G8" s="477">
        <v>148036667</v>
      </c>
      <c r="H8" s="477">
        <v>180845818</v>
      </c>
      <c r="I8" s="477">
        <v>177287337</v>
      </c>
      <c r="J8" s="477">
        <v>137360054</v>
      </c>
      <c r="K8" s="477">
        <v>145857623</v>
      </c>
      <c r="L8" s="477">
        <v>137052730</v>
      </c>
      <c r="M8" s="477">
        <v>90758875</v>
      </c>
      <c r="N8" s="477">
        <v>132589557</v>
      </c>
      <c r="O8" s="477">
        <v>133416630</v>
      </c>
      <c r="P8" s="468">
        <f t="shared" si="0"/>
        <v>1720265994</v>
      </c>
      <c r="Q8" s="469">
        <f t="shared" si="1"/>
        <v>0</v>
      </c>
      <c r="R8" s="478" t="s">
        <v>296</v>
      </c>
      <c r="S8" s="479">
        <v>1404627573</v>
      </c>
      <c r="T8" s="480">
        <v>101855752</v>
      </c>
      <c r="U8" s="481">
        <v>139832719</v>
      </c>
      <c r="V8" s="467">
        <v>111036267</v>
      </c>
      <c r="W8" s="467">
        <v>145903567</v>
      </c>
      <c r="X8" s="467">
        <v>119857250</v>
      </c>
      <c r="Y8" s="467">
        <v>124678190</v>
      </c>
      <c r="Z8" s="467">
        <v>117044587</v>
      </c>
      <c r="AA8" s="467">
        <v>118163443</v>
      </c>
      <c r="AB8" s="467">
        <v>110354228</v>
      </c>
      <c r="AC8" s="467">
        <v>99503452</v>
      </c>
      <c r="AD8" s="467">
        <v>108976963</v>
      </c>
      <c r="AE8" s="467">
        <v>107421155</v>
      </c>
    </row>
    <row r="9" spans="1:31" s="467" customFormat="1" ht="18" x14ac:dyDescent="0.15">
      <c r="A9" s="578"/>
      <c r="B9" s="476" t="s">
        <v>297</v>
      </c>
      <c r="C9" s="482">
        <v>771012202</v>
      </c>
      <c r="D9" s="482">
        <v>54155759</v>
      </c>
      <c r="E9" s="482">
        <v>123784180</v>
      </c>
      <c r="F9" s="482">
        <v>51414974</v>
      </c>
      <c r="G9" s="482">
        <v>49968155</v>
      </c>
      <c r="H9" s="482">
        <v>55167592</v>
      </c>
      <c r="I9" s="482">
        <v>57209892</v>
      </c>
      <c r="J9" s="482">
        <v>58915613</v>
      </c>
      <c r="K9" s="482">
        <v>65261251</v>
      </c>
      <c r="L9" s="482">
        <v>65398003</v>
      </c>
      <c r="M9" s="482">
        <v>64671153</v>
      </c>
      <c r="N9" s="482">
        <v>62580278</v>
      </c>
      <c r="O9" s="482">
        <v>62485352</v>
      </c>
      <c r="P9" s="468">
        <f t="shared" si="0"/>
        <v>771012202</v>
      </c>
      <c r="Q9" s="469">
        <f t="shared" si="1"/>
        <v>0</v>
      </c>
      <c r="R9" s="478" t="s">
        <v>297</v>
      </c>
      <c r="S9" s="479">
        <v>611672126</v>
      </c>
      <c r="T9" s="480">
        <v>48518433</v>
      </c>
      <c r="U9" s="481">
        <v>69506118</v>
      </c>
      <c r="V9" s="467">
        <v>57910429</v>
      </c>
      <c r="W9" s="467">
        <v>40210353</v>
      </c>
      <c r="X9" s="467">
        <v>46060500</v>
      </c>
      <c r="Y9" s="467">
        <v>49054539</v>
      </c>
      <c r="Z9" s="467">
        <v>50260290</v>
      </c>
      <c r="AA9" s="467">
        <v>55123687</v>
      </c>
      <c r="AB9" s="467">
        <v>55031134</v>
      </c>
      <c r="AC9" s="467">
        <v>48020302</v>
      </c>
      <c r="AD9" s="467">
        <v>46099818</v>
      </c>
      <c r="AE9" s="467">
        <v>45876523</v>
      </c>
    </row>
    <row r="10" spans="1:31" s="467" customFormat="1" x14ac:dyDescent="0.15">
      <c r="A10" s="578"/>
      <c r="B10" s="476" t="s">
        <v>236</v>
      </c>
      <c r="C10" s="477">
        <v>3244440838</v>
      </c>
      <c r="D10" s="483">
        <v>324463091</v>
      </c>
      <c r="E10" s="483">
        <v>378072413</v>
      </c>
      <c r="F10" s="483">
        <v>320709862</v>
      </c>
      <c r="G10" s="483">
        <v>249120810</v>
      </c>
      <c r="H10" s="483">
        <v>249197279</v>
      </c>
      <c r="I10" s="483">
        <v>195509166</v>
      </c>
      <c r="J10" s="483">
        <v>246973967</v>
      </c>
      <c r="K10" s="483">
        <v>246538310</v>
      </c>
      <c r="L10" s="483">
        <v>271356131</v>
      </c>
      <c r="M10" s="483">
        <v>214916901</v>
      </c>
      <c r="N10" s="483">
        <v>330041781</v>
      </c>
      <c r="O10" s="483">
        <v>217541127</v>
      </c>
      <c r="P10" s="468">
        <f t="shared" si="0"/>
        <v>3244440838</v>
      </c>
      <c r="Q10" s="469">
        <f t="shared" si="1"/>
        <v>0</v>
      </c>
    </row>
    <row r="11" spans="1:31" s="467" customFormat="1" ht="18" x14ac:dyDescent="0.15">
      <c r="A11" s="578"/>
      <c r="B11" s="476" t="s">
        <v>298</v>
      </c>
      <c r="C11" s="482">
        <v>1491133804</v>
      </c>
      <c r="D11" s="482">
        <v>203861097</v>
      </c>
      <c r="E11" s="482">
        <v>51866506</v>
      </c>
      <c r="F11" s="482">
        <v>51866506</v>
      </c>
      <c r="G11" s="482">
        <v>292700038</v>
      </c>
      <c r="H11" s="482">
        <v>51866506</v>
      </c>
      <c r="I11" s="482">
        <v>51866506</v>
      </c>
      <c r="J11" s="482">
        <v>364071684</v>
      </c>
      <c r="K11" s="482">
        <v>51866506</v>
      </c>
      <c r="L11" s="482">
        <v>51866506</v>
      </c>
      <c r="M11" s="482">
        <v>215568937</v>
      </c>
      <c r="N11" s="482">
        <v>51866506</v>
      </c>
      <c r="O11" s="482">
        <v>51866506</v>
      </c>
      <c r="P11" s="468">
        <f t="shared" si="0"/>
        <v>1491133804</v>
      </c>
      <c r="Q11" s="469">
        <f t="shared" si="1"/>
        <v>0</v>
      </c>
      <c r="R11" s="478" t="s">
        <v>298</v>
      </c>
      <c r="S11" s="479">
        <v>1005964586</v>
      </c>
      <c r="T11" s="480">
        <v>104571136</v>
      </c>
      <c r="U11" s="481">
        <v>51866506</v>
      </c>
      <c r="V11" s="467">
        <v>51866506</v>
      </c>
      <c r="W11" s="467">
        <v>182041804</v>
      </c>
      <c r="X11" s="467">
        <v>51866506</v>
      </c>
      <c r="Y11" s="467">
        <v>51866506</v>
      </c>
      <c r="Z11" s="467">
        <v>174049770</v>
      </c>
      <c r="AA11" s="467">
        <v>51866506</v>
      </c>
      <c r="AB11" s="467">
        <v>51866506</v>
      </c>
      <c r="AC11" s="467">
        <v>130369828</v>
      </c>
      <c r="AD11" s="467">
        <v>51866506</v>
      </c>
      <c r="AE11" s="467">
        <v>51866506</v>
      </c>
    </row>
    <row r="12" spans="1:31" s="467" customFormat="1" ht="18" x14ac:dyDescent="0.15">
      <c r="A12" s="578"/>
      <c r="B12" s="476" t="s">
        <v>240</v>
      </c>
      <c r="C12" s="477">
        <v>94659036</v>
      </c>
      <c r="D12" s="477">
        <v>7888253</v>
      </c>
      <c r="E12" s="477">
        <v>7888253</v>
      </c>
      <c r="F12" s="477">
        <v>7888253</v>
      </c>
      <c r="G12" s="477">
        <v>7888253</v>
      </c>
      <c r="H12" s="477">
        <v>7888253</v>
      </c>
      <c r="I12" s="477">
        <v>7888253</v>
      </c>
      <c r="J12" s="477">
        <v>7888253</v>
      </c>
      <c r="K12" s="477">
        <v>7888253</v>
      </c>
      <c r="L12" s="477">
        <v>7888253</v>
      </c>
      <c r="M12" s="477">
        <v>7888253</v>
      </c>
      <c r="N12" s="477">
        <v>7888253</v>
      </c>
      <c r="O12" s="477">
        <v>7888253</v>
      </c>
      <c r="P12" s="468">
        <f t="shared" si="0"/>
        <v>94659036</v>
      </c>
      <c r="Q12" s="469">
        <f t="shared" si="1"/>
        <v>0</v>
      </c>
      <c r="R12" s="478" t="s">
        <v>240</v>
      </c>
      <c r="S12" s="479">
        <v>78800184</v>
      </c>
      <c r="T12" s="480">
        <v>6566682</v>
      </c>
      <c r="U12" s="481">
        <v>6566682</v>
      </c>
      <c r="V12" s="467">
        <v>6566682</v>
      </c>
      <c r="W12" s="467">
        <v>6566682</v>
      </c>
      <c r="X12" s="467">
        <v>6566682</v>
      </c>
      <c r="Y12" s="467">
        <v>6566682</v>
      </c>
      <c r="Z12" s="467">
        <v>6566682</v>
      </c>
      <c r="AA12" s="467">
        <v>6566682</v>
      </c>
      <c r="AB12" s="467">
        <v>6566682</v>
      </c>
      <c r="AC12" s="467">
        <v>6566682</v>
      </c>
      <c r="AD12" s="467">
        <v>6566682</v>
      </c>
      <c r="AE12" s="467">
        <v>6566682</v>
      </c>
    </row>
    <row r="13" spans="1:31" s="467" customFormat="1" x14ac:dyDescent="0.15">
      <c r="A13" s="578"/>
      <c r="B13" s="484" t="s">
        <v>299</v>
      </c>
      <c r="C13" s="477">
        <v>472832986</v>
      </c>
      <c r="D13" s="477">
        <v>45502424</v>
      </c>
      <c r="E13" s="477">
        <v>50821456</v>
      </c>
      <c r="F13" s="477">
        <v>39441937</v>
      </c>
      <c r="G13" s="477">
        <v>36606186</v>
      </c>
      <c r="H13" s="477">
        <v>39140106</v>
      </c>
      <c r="I13" s="477">
        <v>33994373</v>
      </c>
      <c r="J13" s="477">
        <v>36827691</v>
      </c>
      <c r="K13" s="477">
        <v>37979030</v>
      </c>
      <c r="L13" s="477">
        <v>37319383</v>
      </c>
      <c r="M13" s="477">
        <v>38234613</v>
      </c>
      <c r="N13" s="477">
        <v>37019986</v>
      </c>
      <c r="O13" s="477">
        <v>39945801</v>
      </c>
      <c r="P13" s="468">
        <f t="shared" si="0"/>
        <v>472832986</v>
      </c>
      <c r="Q13" s="469">
        <f t="shared" si="1"/>
        <v>0</v>
      </c>
      <c r="R13" s="478" t="s">
        <v>299</v>
      </c>
      <c r="S13" s="479">
        <v>185137004</v>
      </c>
      <c r="T13" s="480">
        <v>26108033</v>
      </c>
      <c r="U13" s="481">
        <v>15278371</v>
      </c>
      <c r="V13" s="467">
        <v>11923567</v>
      </c>
      <c r="W13" s="467">
        <v>11571595</v>
      </c>
      <c r="X13" s="467">
        <v>13127161</v>
      </c>
      <c r="Y13" s="467">
        <v>11839881</v>
      </c>
      <c r="Z13" s="467">
        <v>13651426</v>
      </c>
      <c r="AA13" s="467">
        <v>14825485</v>
      </c>
      <c r="AB13" s="467">
        <v>15330060</v>
      </c>
      <c r="AC13" s="467">
        <v>16491811</v>
      </c>
      <c r="AD13" s="467">
        <v>16454891</v>
      </c>
      <c r="AE13" s="467">
        <v>18534723</v>
      </c>
    </row>
    <row r="14" spans="1:31" s="467" customFormat="1" ht="18" x14ac:dyDescent="0.15">
      <c r="A14" s="578"/>
      <c r="B14" s="476" t="s">
        <v>403</v>
      </c>
      <c r="C14" s="482">
        <v>5611504</v>
      </c>
      <c r="D14" s="485">
        <v>424288</v>
      </c>
      <c r="E14" s="485">
        <v>418274</v>
      </c>
      <c r="F14" s="485">
        <v>411112</v>
      </c>
      <c r="G14" s="485">
        <v>452315</v>
      </c>
      <c r="H14" s="485">
        <v>370076</v>
      </c>
      <c r="I14" s="485">
        <v>502212</v>
      </c>
      <c r="J14" s="485">
        <v>1152576</v>
      </c>
      <c r="K14" s="485">
        <v>419579</v>
      </c>
      <c r="L14" s="485">
        <v>509107</v>
      </c>
      <c r="M14" s="485">
        <v>315207</v>
      </c>
      <c r="N14" s="485">
        <v>318379</v>
      </c>
      <c r="O14" s="485">
        <v>318379</v>
      </c>
      <c r="P14" s="468">
        <f t="shared" si="0"/>
        <v>5611504</v>
      </c>
      <c r="Q14" s="469">
        <f t="shared" si="1"/>
        <v>0</v>
      </c>
      <c r="R14" s="478" t="s">
        <v>253</v>
      </c>
      <c r="S14" s="479">
        <v>394868336</v>
      </c>
      <c r="T14" s="480">
        <v>31050166</v>
      </c>
      <c r="U14" s="481">
        <v>33193187</v>
      </c>
      <c r="V14" s="467">
        <v>31243402</v>
      </c>
      <c r="W14" s="467">
        <v>34418766</v>
      </c>
      <c r="X14" s="467">
        <v>33917392</v>
      </c>
      <c r="Y14" s="467">
        <v>35148994</v>
      </c>
      <c r="Z14" s="467">
        <v>33093815</v>
      </c>
      <c r="AA14" s="467">
        <v>34355529</v>
      </c>
      <c r="AB14" s="467">
        <v>33807482</v>
      </c>
      <c r="AC14" s="467">
        <v>30874524</v>
      </c>
      <c r="AD14" s="467">
        <v>32491565</v>
      </c>
      <c r="AE14" s="467">
        <v>31273514</v>
      </c>
    </row>
    <row r="15" spans="1:31" s="467" customFormat="1" ht="21.75" customHeight="1" x14ac:dyDescent="0.15">
      <c r="A15" s="578"/>
      <c r="B15" s="476" t="s">
        <v>246</v>
      </c>
      <c r="C15" s="485">
        <v>85000000</v>
      </c>
      <c r="D15" s="485">
        <v>3670786</v>
      </c>
      <c r="E15" s="485">
        <v>3724853</v>
      </c>
      <c r="F15" s="485">
        <v>3674637</v>
      </c>
      <c r="G15" s="485">
        <v>3653112</v>
      </c>
      <c r="H15" s="485">
        <v>5067564</v>
      </c>
      <c r="I15" s="485">
        <v>3647519</v>
      </c>
      <c r="J15" s="485">
        <v>4192017</v>
      </c>
      <c r="K15" s="485">
        <v>4187702</v>
      </c>
      <c r="L15" s="485">
        <v>4182397</v>
      </c>
      <c r="M15" s="485">
        <v>3652514</v>
      </c>
      <c r="N15" s="485">
        <v>15185810</v>
      </c>
      <c r="O15" s="485">
        <v>30161089</v>
      </c>
      <c r="P15" s="468">
        <f t="shared" si="0"/>
        <v>85000000</v>
      </c>
      <c r="Q15" s="469">
        <f t="shared" si="1"/>
        <v>0</v>
      </c>
      <c r="R15" s="478" t="s">
        <v>300</v>
      </c>
      <c r="S15" s="479">
        <v>755534900</v>
      </c>
      <c r="T15" s="467">
        <v>59410902</v>
      </c>
      <c r="U15" s="467">
        <v>63511324</v>
      </c>
      <c r="V15" s="467">
        <v>59780637</v>
      </c>
      <c r="W15" s="467">
        <v>65856328</v>
      </c>
      <c r="X15" s="467">
        <v>64897008</v>
      </c>
      <c r="Y15" s="467">
        <v>67253535</v>
      </c>
      <c r="Z15" s="467">
        <v>63321189</v>
      </c>
      <c r="AA15" s="467">
        <v>65735333</v>
      </c>
      <c r="AB15" s="467">
        <v>64686707</v>
      </c>
      <c r="AC15" s="467">
        <v>59074831</v>
      </c>
      <c r="AD15" s="467">
        <v>62168853</v>
      </c>
      <c r="AE15" s="467">
        <v>59838253</v>
      </c>
    </row>
    <row r="16" spans="1:31" s="467" customFormat="1" ht="21.75" customHeight="1" x14ac:dyDescent="0.15">
      <c r="A16" s="578"/>
      <c r="B16" s="476" t="s">
        <v>248</v>
      </c>
      <c r="C16" s="485">
        <v>27302466</v>
      </c>
      <c r="D16" s="485">
        <v>6208324</v>
      </c>
      <c r="E16" s="485">
        <v>2135438</v>
      </c>
      <c r="F16" s="485">
        <v>2294855</v>
      </c>
      <c r="G16" s="485">
        <v>2278381</v>
      </c>
      <c r="H16" s="485">
        <v>1450884</v>
      </c>
      <c r="I16" s="485">
        <v>2374374</v>
      </c>
      <c r="J16" s="485">
        <v>2361009</v>
      </c>
      <c r="K16" s="485">
        <v>2159315</v>
      </c>
      <c r="L16" s="485">
        <v>1565996</v>
      </c>
      <c r="M16" s="485">
        <v>1455732</v>
      </c>
      <c r="N16" s="485">
        <v>1466022</v>
      </c>
      <c r="O16" s="485">
        <v>1552136</v>
      </c>
      <c r="P16" s="468">
        <f t="shared" si="0"/>
        <v>27302466</v>
      </c>
      <c r="Q16" s="469">
        <f t="shared" si="1"/>
        <v>0</v>
      </c>
      <c r="R16" s="478"/>
      <c r="S16" s="479"/>
    </row>
    <row r="17" spans="1:32" s="467" customFormat="1" ht="21.75" customHeight="1" x14ac:dyDescent="0.15">
      <c r="A17" s="578"/>
      <c r="B17" s="486" t="s">
        <v>253</v>
      </c>
      <c r="C17" s="487">
        <v>0</v>
      </c>
      <c r="D17" s="487">
        <v>0</v>
      </c>
      <c r="E17" s="487">
        <v>0</v>
      </c>
      <c r="F17" s="487">
        <v>0</v>
      </c>
      <c r="G17" s="487">
        <v>0</v>
      </c>
      <c r="H17" s="487">
        <v>0</v>
      </c>
      <c r="I17" s="487">
        <v>0</v>
      </c>
      <c r="J17" s="487">
        <v>0</v>
      </c>
      <c r="K17" s="487">
        <v>0</v>
      </c>
      <c r="L17" s="487">
        <v>0</v>
      </c>
      <c r="M17" s="487">
        <v>0</v>
      </c>
      <c r="N17" s="487">
        <v>0</v>
      </c>
      <c r="O17" s="487">
        <v>0</v>
      </c>
      <c r="P17" s="468">
        <f t="shared" si="0"/>
        <v>0</v>
      </c>
      <c r="Q17" s="469">
        <f t="shared" si="1"/>
        <v>0</v>
      </c>
      <c r="R17" s="478"/>
      <c r="S17" s="479"/>
    </row>
    <row r="18" spans="1:32" s="467" customFormat="1" ht="18" x14ac:dyDescent="0.15">
      <c r="A18" s="578"/>
      <c r="B18" s="476" t="s">
        <v>300</v>
      </c>
      <c r="C18" s="477">
        <v>1117756368</v>
      </c>
      <c r="D18" s="477">
        <v>86951165</v>
      </c>
      <c r="E18" s="477">
        <v>95600827</v>
      </c>
      <c r="F18" s="477">
        <v>93077269</v>
      </c>
      <c r="G18" s="477">
        <v>86728623</v>
      </c>
      <c r="H18" s="477">
        <v>95562546</v>
      </c>
      <c r="I18" s="477">
        <v>92229212</v>
      </c>
      <c r="J18" s="477">
        <v>94152063</v>
      </c>
      <c r="K18" s="477">
        <v>94096115</v>
      </c>
      <c r="L18" s="477">
        <v>97918259</v>
      </c>
      <c r="M18" s="477">
        <v>97058424</v>
      </c>
      <c r="N18" s="477">
        <v>90709778</v>
      </c>
      <c r="O18" s="477">
        <v>93672087</v>
      </c>
      <c r="P18" s="468">
        <f t="shared" si="0"/>
        <v>1117756368</v>
      </c>
      <c r="Q18" s="469">
        <f t="shared" si="1"/>
        <v>0</v>
      </c>
      <c r="R18" s="478" t="s">
        <v>301</v>
      </c>
      <c r="S18" s="479">
        <v>49000000</v>
      </c>
      <c r="T18" s="467">
        <v>2116100</v>
      </c>
      <c r="U18" s="467">
        <v>2147268</v>
      </c>
      <c r="V18" s="467">
        <v>2118320</v>
      </c>
      <c r="W18" s="467">
        <v>2105912</v>
      </c>
      <c r="X18" s="467">
        <v>2921302</v>
      </c>
      <c r="Y18" s="467">
        <v>2102687</v>
      </c>
      <c r="Z18" s="467">
        <v>2416574</v>
      </c>
      <c r="AA18" s="467">
        <v>2414087</v>
      </c>
      <c r="AB18" s="467">
        <v>2411029</v>
      </c>
      <c r="AC18" s="467">
        <v>2105567</v>
      </c>
      <c r="AD18" s="467">
        <v>8754173</v>
      </c>
      <c r="AE18" s="467">
        <v>17386981</v>
      </c>
    </row>
    <row r="19" spans="1:32" s="467" customFormat="1" x14ac:dyDescent="0.15">
      <c r="A19" s="578"/>
      <c r="B19" s="488" t="s">
        <v>294</v>
      </c>
      <c r="C19" s="489">
        <f t="shared" ref="C19:C30" si="2">SUM(D19:O19)</f>
        <v>99.999999999899998</v>
      </c>
      <c r="D19" s="490">
        <f t="shared" ref="D19:O19" si="3">ROUND(D7/$C$7%,10)</f>
        <v>7.5634698587000004</v>
      </c>
      <c r="E19" s="490">
        <f t="shared" si="3"/>
        <v>10.836559231600001</v>
      </c>
      <c r="F19" s="490">
        <f t="shared" si="3"/>
        <v>7.0047059122000004</v>
      </c>
      <c r="G19" s="490">
        <f t="shared" si="3"/>
        <v>8.6045714968000002</v>
      </c>
      <c r="H19" s="490">
        <f t="shared" si="3"/>
        <v>10.508061920699999</v>
      </c>
      <c r="I19" s="490">
        <f t="shared" si="3"/>
        <v>10.3016093516</v>
      </c>
      <c r="J19" s="490">
        <f t="shared" si="3"/>
        <v>7.9858445959999997</v>
      </c>
      <c r="K19" s="490">
        <f t="shared" si="3"/>
        <v>8.4788485491000003</v>
      </c>
      <c r="L19" s="490">
        <f t="shared" si="3"/>
        <v>7.9680146042000004</v>
      </c>
      <c r="M19" s="490">
        <f t="shared" si="3"/>
        <v>5.2821813283000001</v>
      </c>
      <c r="N19" s="490">
        <f t="shared" si="3"/>
        <v>7.7090744126999997</v>
      </c>
      <c r="O19" s="490">
        <f t="shared" si="3"/>
        <v>7.7570587379999996</v>
      </c>
      <c r="P19" s="468">
        <f t="shared" si="0"/>
        <v>99.999999999899998</v>
      </c>
      <c r="Q19" s="469">
        <f t="shared" si="1"/>
        <v>0</v>
      </c>
      <c r="R19" s="478" t="s">
        <v>15</v>
      </c>
      <c r="S19" s="479">
        <v>26175033957</v>
      </c>
      <c r="T19" s="480">
        <v>1953490229</v>
      </c>
      <c r="U19" s="481">
        <v>2540371870</v>
      </c>
      <c r="V19" s="467">
        <v>2047198886</v>
      </c>
      <c r="W19" s="467">
        <v>2740688734</v>
      </c>
      <c r="X19" s="467">
        <v>2189886978</v>
      </c>
      <c r="Y19" s="467">
        <v>2273468736</v>
      </c>
      <c r="Z19" s="467">
        <v>2267737952</v>
      </c>
      <c r="AA19" s="467">
        <v>2173624528</v>
      </c>
      <c r="AB19" s="467">
        <v>2044297550</v>
      </c>
      <c r="AC19" s="467">
        <v>1930054085</v>
      </c>
      <c r="AD19" s="467">
        <v>2016401264</v>
      </c>
      <c r="AE19" s="467">
        <v>1997813145</v>
      </c>
    </row>
    <row r="20" spans="1:32" s="467" customFormat="1" x14ac:dyDescent="0.15">
      <c r="A20" s="578"/>
      <c r="B20" s="488" t="s">
        <v>296</v>
      </c>
      <c r="C20" s="489">
        <f t="shared" si="2"/>
        <v>99.999999998800007</v>
      </c>
      <c r="D20" s="490">
        <f t="shared" ref="D20:O20" si="4">ROUND(D8/$C$8%,10)-0.0000000001</f>
        <v>7.5623139940000002</v>
      </c>
      <c r="E20" s="490">
        <f t="shared" si="4"/>
        <v>10.841805839799999</v>
      </c>
      <c r="F20" s="490">
        <f t="shared" si="4"/>
        <v>7.0024570861999997</v>
      </c>
      <c r="G20" s="490">
        <f t="shared" si="4"/>
        <v>8.6054521518999998</v>
      </c>
      <c r="H20" s="490">
        <f t="shared" si="4"/>
        <v>10.5126659847</v>
      </c>
      <c r="I20" s="490">
        <f t="shared" si="4"/>
        <v>10.305809544400001</v>
      </c>
      <c r="J20" s="490">
        <f t="shared" si="4"/>
        <v>7.9848148180000003</v>
      </c>
      <c r="K20" s="490">
        <f t="shared" si="4"/>
        <v>8.4787831363000006</v>
      </c>
      <c r="L20" s="490">
        <f t="shared" si="4"/>
        <v>7.9669499064</v>
      </c>
      <c r="M20" s="490">
        <f t="shared" si="4"/>
        <v>5.2758628789999999</v>
      </c>
      <c r="N20" s="490">
        <f t="shared" si="4"/>
        <v>7.7075032269000001</v>
      </c>
      <c r="O20" s="490">
        <f t="shared" si="4"/>
        <v>7.7555814312000004</v>
      </c>
      <c r="P20" s="468">
        <f t="shared" si="0"/>
        <v>99.999999998800007</v>
      </c>
      <c r="Q20" s="469">
        <f t="shared" si="1"/>
        <v>0</v>
      </c>
      <c r="R20" s="491" t="s">
        <v>404</v>
      </c>
      <c r="S20" s="479">
        <v>241372190</v>
      </c>
      <c r="T20" s="467">
        <v>17502964</v>
      </c>
      <c r="U20" s="467">
        <v>24028953</v>
      </c>
      <c r="V20" s="467">
        <v>19080550</v>
      </c>
      <c r="W20" s="467">
        <v>25072172</v>
      </c>
      <c r="X20" s="467">
        <v>20596354</v>
      </c>
      <c r="Y20" s="467">
        <v>21424788</v>
      </c>
      <c r="Z20" s="467">
        <v>20113024</v>
      </c>
      <c r="AA20" s="467">
        <v>20305289</v>
      </c>
      <c r="AB20" s="467">
        <v>18963348</v>
      </c>
      <c r="AC20" s="467">
        <v>17098743</v>
      </c>
      <c r="AD20" s="467">
        <v>18726678</v>
      </c>
      <c r="AE20" s="467">
        <v>18459327</v>
      </c>
    </row>
    <row r="21" spans="1:32" s="467" customFormat="1" ht="18" x14ac:dyDescent="0.15">
      <c r="A21" s="578"/>
      <c r="B21" s="488" t="s">
        <v>297</v>
      </c>
      <c r="C21" s="489">
        <f t="shared" si="2"/>
        <v>99.999999999899998</v>
      </c>
      <c r="D21" s="490">
        <f t="shared" ref="D21:O21" si="5">ROUND(D9/$C$9%,10)</f>
        <v>7.0239820925999998</v>
      </c>
      <c r="E21" s="490">
        <f t="shared" si="5"/>
        <v>16.054762775299999</v>
      </c>
      <c r="F21" s="490">
        <f t="shared" si="5"/>
        <v>6.6685032825999997</v>
      </c>
      <c r="G21" s="490">
        <f t="shared" si="5"/>
        <v>6.4808513886999997</v>
      </c>
      <c r="H21" s="490">
        <f t="shared" si="5"/>
        <v>7.1552164618000003</v>
      </c>
      <c r="I21" s="490">
        <f t="shared" si="5"/>
        <v>7.4201020232000001</v>
      </c>
      <c r="J21" s="490">
        <f t="shared" si="5"/>
        <v>7.6413334116999998</v>
      </c>
      <c r="K21" s="490">
        <f t="shared" si="5"/>
        <v>8.4643603345000002</v>
      </c>
      <c r="L21" s="490">
        <f t="shared" si="5"/>
        <v>8.4820970186999993</v>
      </c>
      <c r="M21" s="490">
        <f t="shared" si="5"/>
        <v>8.3878248402000004</v>
      </c>
      <c r="N21" s="490">
        <f t="shared" si="5"/>
        <v>8.1166391190000002</v>
      </c>
      <c r="O21" s="490">
        <f t="shared" si="5"/>
        <v>8.1043272515999991</v>
      </c>
      <c r="P21" s="468">
        <f t="shared" si="0"/>
        <v>99.999999999899998</v>
      </c>
      <c r="Q21" s="469">
        <f t="shared" si="1"/>
        <v>0</v>
      </c>
      <c r="R21" s="491" t="s">
        <v>236</v>
      </c>
      <c r="S21" s="479">
        <v>2029146107</v>
      </c>
      <c r="T21" s="467">
        <v>203193360</v>
      </c>
      <c r="U21" s="467">
        <v>208843145</v>
      </c>
      <c r="V21" s="467">
        <v>153681324</v>
      </c>
      <c r="W21" s="467">
        <v>162190792</v>
      </c>
      <c r="X21" s="467">
        <v>144581621</v>
      </c>
      <c r="Y21" s="467">
        <v>150472919</v>
      </c>
      <c r="Z21" s="467">
        <v>155366341</v>
      </c>
      <c r="AA21" s="467">
        <v>187483635</v>
      </c>
      <c r="AB21" s="467">
        <v>178690827</v>
      </c>
      <c r="AC21" s="467">
        <v>126268654</v>
      </c>
      <c r="AD21" s="467">
        <v>201638888</v>
      </c>
      <c r="AE21" s="467">
        <v>156734601</v>
      </c>
    </row>
    <row r="22" spans="1:32" s="467" customFormat="1" x14ac:dyDescent="0.15">
      <c r="A22" s="578"/>
      <c r="B22" s="488" t="s">
        <v>236</v>
      </c>
      <c r="C22" s="489">
        <f t="shared" si="2"/>
        <v>100</v>
      </c>
      <c r="D22" s="490">
        <f t="shared" ref="D22:O22" si="6">(D10/$C$10)*100</f>
        <v>10.000585839007368</v>
      </c>
      <c r="E22" s="490">
        <f t="shared" si="6"/>
        <v>11.652929792150521</v>
      </c>
      <c r="F22" s="490">
        <f t="shared" si="6"/>
        <v>9.8849039946648585</v>
      </c>
      <c r="G22" s="490">
        <f t="shared" si="6"/>
        <v>7.6783896652456081</v>
      </c>
      <c r="H22" s="490">
        <f t="shared" si="6"/>
        <v>7.6807465890983835</v>
      </c>
      <c r="I22" s="490">
        <f t="shared" si="6"/>
        <v>6.0259741435297522</v>
      </c>
      <c r="J22" s="490">
        <f t="shared" si="6"/>
        <v>7.6122197731996373</v>
      </c>
      <c r="K22" s="490">
        <f t="shared" si="6"/>
        <v>7.5987919740270513</v>
      </c>
      <c r="L22" s="490">
        <f t="shared" si="6"/>
        <v>8.3637256633495749</v>
      </c>
      <c r="M22" s="490">
        <f t="shared" si="6"/>
        <v>6.6241584214703444</v>
      </c>
      <c r="N22" s="490">
        <f t="shared" si="6"/>
        <v>10.172531954795966</v>
      </c>
      <c r="O22" s="490">
        <f t="shared" si="6"/>
        <v>6.7050421894609382</v>
      </c>
      <c r="P22" s="468">
        <f t="shared" si="0"/>
        <v>100</v>
      </c>
      <c r="Q22" s="469">
        <f t="shared" si="1"/>
        <v>0</v>
      </c>
      <c r="R22" s="491" t="s">
        <v>303</v>
      </c>
      <c r="S22" s="479">
        <v>35593203</v>
      </c>
      <c r="T22" s="467">
        <v>3970827</v>
      </c>
      <c r="U22" s="467">
        <v>3082589</v>
      </c>
      <c r="V22" s="467">
        <v>3765449</v>
      </c>
      <c r="W22" s="467">
        <v>1771046</v>
      </c>
      <c r="X22" s="467">
        <v>3310249</v>
      </c>
      <c r="Y22" s="467">
        <v>2340626</v>
      </c>
      <c r="Z22" s="467">
        <v>3904199</v>
      </c>
      <c r="AA22" s="467">
        <v>1893313</v>
      </c>
      <c r="AB22" s="467">
        <v>3806844</v>
      </c>
      <c r="AC22" s="467">
        <v>1916467</v>
      </c>
      <c r="AD22" s="467">
        <v>3583085</v>
      </c>
      <c r="AE22" s="467">
        <v>2248509</v>
      </c>
    </row>
    <row r="23" spans="1:32" s="492" customFormat="1" ht="18" x14ac:dyDescent="0.15">
      <c r="A23" s="579"/>
      <c r="B23" s="488" t="s">
        <v>298</v>
      </c>
      <c r="C23" s="489">
        <f t="shared" si="2"/>
        <v>100.00000000040001</v>
      </c>
      <c r="D23" s="490">
        <f t="shared" ref="D23:O23" si="7">ROUND(D11/$C$11%,10)</f>
        <v>13.671549558700001</v>
      </c>
      <c r="E23" s="490">
        <f t="shared" si="7"/>
        <v>3.4783267512</v>
      </c>
      <c r="F23" s="490">
        <f t="shared" si="7"/>
        <v>3.4783267512</v>
      </c>
      <c r="G23" s="490">
        <f t="shared" si="7"/>
        <v>19.629361041599999</v>
      </c>
      <c r="H23" s="490">
        <f t="shared" si="7"/>
        <v>3.4783267512</v>
      </c>
      <c r="I23" s="490">
        <f t="shared" si="7"/>
        <v>3.4783267512</v>
      </c>
      <c r="J23" s="490">
        <f t="shared" si="7"/>
        <v>24.415762222200001</v>
      </c>
      <c r="K23" s="490">
        <f t="shared" si="7"/>
        <v>3.4783267512</v>
      </c>
      <c r="L23" s="490">
        <f t="shared" si="7"/>
        <v>3.4783267512</v>
      </c>
      <c r="M23" s="490">
        <f t="shared" si="7"/>
        <v>14.4567131683</v>
      </c>
      <c r="N23" s="490">
        <f t="shared" si="7"/>
        <v>3.4783267512</v>
      </c>
      <c r="O23" s="490">
        <f t="shared" si="7"/>
        <v>3.4783267512</v>
      </c>
      <c r="P23" s="468">
        <f t="shared" si="0"/>
        <v>100.00000000040001</v>
      </c>
      <c r="Q23" s="469">
        <f t="shared" si="1"/>
        <v>0</v>
      </c>
      <c r="R23" s="491" t="s">
        <v>304</v>
      </c>
      <c r="S23" s="479">
        <v>397359418</v>
      </c>
      <c r="T23" s="467">
        <v>17160367</v>
      </c>
      <c r="U23" s="467">
        <v>25966540</v>
      </c>
      <c r="V23" s="467">
        <v>35872278</v>
      </c>
      <c r="W23" s="467">
        <v>34289384</v>
      </c>
      <c r="X23" s="467">
        <v>35123952</v>
      </c>
      <c r="Y23" s="467">
        <v>39434114</v>
      </c>
      <c r="Z23" s="467">
        <v>34185925</v>
      </c>
      <c r="AA23" s="467">
        <v>39486794</v>
      </c>
      <c r="AB23" s="467">
        <v>32348644</v>
      </c>
      <c r="AC23" s="467">
        <v>40902745</v>
      </c>
      <c r="AD23" s="467">
        <v>36194482</v>
      </c>
      <c r="AE23" s="467">
        <v>26394193</v>
      </c>
      <c r="AF23" s="467"/>
    </row>
    <row r="24" spans="1:32" s="467" customFormat="1" ht="18" x14ac:dyDescent="0.15">
      <c r="A24" s="578"/>
      <c r="B24" s="488" t="s">
        <v>240</v>
      </c>
      <c r="C24" s="489">
        <f t="shared" si="2"/>
        <v>99.999999999600035</v>
      </c>
      <c r="D24" s="490">
        <f t="shared" ref="D24:O24" si="8">ROUND(D12/$C$12%,10)</f>
        <v>8.3333333333000006</v>
      </c>
      <c r="E24" s="490">
        <f t="shared" si="8"/>
        <v>8.3333333333000006</v>
      </c>
      <c r="F24" s="490">
        <f t="shared" si="8"/>
        <v>8.3333333333000006</v>
      </c>
      <c r="G24" s="490">
        <f t="shared" si="8"/>
        <v>8.3333333333000006</v>
      </c>
      <c r="H24" s="490">
        <f t="shared" si="8"/>
        <v>8.3333333333000006</v>
      </c>
      <c r="I24" s="490">
        <f t="shared" si="8"/>
        <v>8.3333333333000006</v>
      </c>
      <c r="J24" s="490">
        <f t="shared" si="8"/>
        <v>8.3333333333000006</v>
      </c>
      <c r="K24" s="490">
        <f t="shared" si="8"/>
        <v>8.3333333333000006</v>
      </c>
      <c r="L24" s="490">
        <f t="shared" si="8"/>
        <v>8.3333333333000006</v>
      </c>
      <c r="M24" s="490">
        <f t="shared" si="8"/>
        <v>8.3333333333000006</v>
      </c>
      <c r="N24" s="490">
        <f t="shared" si="8"/>
        <v>8.3333333333000006</v>
      </c>
      <c r="O24" s="490">
        <f t="shared" si="8"/>
        <v>8.3333333333000006</v>
      </c>
      <c r="P24" s="468">
        <f t="shared" si="0"/>
        <v>99.999999999600035</v>
      </c>
      <c r="Q24" s="469">
        <f t="shared" si="1"/>
        <v>0</v>
      </c>
      <c r="R24" s="491" t="s">
        <v>15</v>
      </c>
      <c r="S24" s="479">
        <v>2703470918</v>
      </c>
      <c r="T24" s="492">
        <v>241827518</v>
      </c>
      <c r="U24" s="492">
        <v>261921227</v>
      </c>
      <c r="V24" s="492">
        <v>212399601</v>
      </c>
      <c r="W24" s="492">
        <v>223323394</v>
      </c>
      <c r="X24" s="492">
        <v>203612176</v>
      </c>
      <c r="Y24" s="492">
        <v>213672447</v>
      </c>
      <c r="Z24" s="492">
        <v>213569489</v>
      </c>
      <c r="AA24" s="492">
        <v>249169031</v>
      </c>
      <c r="AB24" s="492">
        <v>233809663</v>
      </c>
      <c r="AC24" s="492">
        <v>186186609</v>
      </c>
      <c r="AD24" s="492">
        <v>260143133</v>
      </c>
      <c r="AE24" s="492">
        <v>203836630</v>
      </c>
      <c r="AF24" s="492"/>
    </row>
    <row r="25" spans="1:32" s="467" customFormat="1" ht="18" x14ac:dyDescent="0.15">
      <c r="A25" s="578"/>
      <c r="B25" s="488" t="s">
        <v>299</v>
      </c>
      <c r="C25" s="489">
        <f t="shared" si="2"/>
        <v>99.999999998800021</v>
      </c>
      <c r="D25" s="490">
        <f t="shared" ref="D25:O25" si="9">ROUND(D13/$C$13%,10)-0.0000000001</f>
        <v>9.6233607525</v>
      </c>
      <c r="E25" s="490">
        <f t="shared" si="9"/>
        <v>10.748289037399999</v>
      </c>
      <c r="F25" s="490">
        <f t="shared" si="9"/>
        <v>8.3416212843000004</v>
      </c>
      <c r="G25" s="490">
        <f t="shared" si="9"/>
        <v>7.7418849960999996</v>
      </c>
      <c r="H25" s="490">
        <f t="shared" si="9"/>
        <v>8.2777866938999995</v>
      </c>
      <c r="I25" s="490">
        <f t="shared" si="9"/>
        <v>7.1895096166999997</v>
      </c>
      <c r="J25" s="490">
        <f t="shared" si="9"/>
        <v>7.7887313469999997</v>
      </c>
      <c r="K25" s="490">
        <f t="shared" si="9"/>
        <v>8.0322293757000001</v>
      </c>
      <c r="L25" s="490">
        <f t="shared" si="9"/>
        <v>7.8927198618999999</v>
      </c>
      <c r="M25" s="490">
        <f t="shared" si="9"/>
        <v>8.0862829226000006</v>
      </c>
      <c r="N25" s="490">
        <f t="shared" si="9"/>
        <v>7.8294000410000004</v>
      </c>
      <c r="O25" s="490">
        <f t="shared" si="9"/>
        <v>8.4481840696999999</v>
      </c>
      <c r="P25" s="468">
        <f t="shared" si="0"/>
        <v>99.999999998800021</v>
      </c>
      <c r="Q25" s="469">
        <f t="shared" si="1"/>
        <v>0</v>
      </c>
      <c r="R25" s="491" t="s">
        <v>305</v>
      </c>
      <c r="S25" s="479">
        <v>28878504875</v>
      </c>
      <c r="T25" s="467">
        <v>2195317747</v>
      </c>
      <c r="U25" s="467">
        <v>2802293097</v>
      </c>
      <c r="V25" s="467">
        <v>2259598487</v>
      </c>
      <c r="W25" s="467">
        <v>2964012128</v>
      </c>
      <c r="X25" s="467">
        <v>2393499154</v>
      </c>
      <c r="Y25" s="467">
        <v>2487141183</v>
      </c>
      <c r="Z25" s="467">
        <v>2481307441</v>
      </c>
      <c r="AA25" s="467">
        <v>2422793559</v>
      </c>
      <c r="AB25" s="467">
        <v>2278107213</v>
      </c>
      <c r="AC25" s="467">
        <v>2116240694</v>
      </c>
      <c r="AD25" s="467">
        <v>2276544397</v>
      </c>
      <c r="AE25" s="467">
        <v>2201649775</v>
      </c>
    </row>
    <row r="26" spans="1:32" s="467" customFormat="1" ht="18" x14ac:dyDescent="0.15">
      <c r="A26" s="578"/>
      <c r="B26" s="488" t="s">
        <v>403</v>
      </c>
      <c r="C26" s="489">
        <f t="shared" si="2"/>
        <v>99.999999998800021</v>
      </c>
      <c r="D26" s="490">
        <f t="shared" ref="D26:O26" si="10">ROUND(D14/$C$14%,10)-0.0000000001</f>
        <v>7.5610388943000002</v>
      </c>
      <c r="E26" s="490">
        <f t="shared" si="10"/>
        <v>7.4538662005000003</v>
      </c>
      <c r="F26" s="490">
        <f t="shared" si="10"/>
        <v>7.3262355332000002</v>
      </c>
      <c r="G26" s="490">
        <f t="shared" si="10"/>
        <v>8.0604950116000005</v>
      </c>
      <c r="H26" s="490">
        <f t="shared" si="10"/>
        <v>6.594952084</v>
      </c>
      <c r="I26" s="490">
        <f t="shared" si="10"/>
        <v>8.9496862158999999</v>
      </c>
      <c r="J26" s="490">
        <f t="shared" si="10"/>
        <v>20.539520242600002</v>
      </c>
      <c r="K26" s="490">
        <f t="shared" si="10"/>
        <v>7.4771219979000003</v>
      </c>
      <c r="L26" s="490">
        <f t="shared" si="10"/>
        <v>9.0725588004999995</v>
      </c>
      <c r="M26" s="490">
        <f t="shared" si="10"/>
        <v>5.6171571826999998</v>
      </c>
      <c r="N26" s="490">
        <f t="shared" si="10"/>
        <v>5.6736839178</v>
      </c>
      <c r="O26" s="490">
        <f t="shared" si="10"/>
        <v>5.6736839178</v>
      </c>
      <c r="P26" s="468">
        <f t="shared" si="0"/>
        <v>99.999999998800021</v>
      </c>
      <c r="Q26" s="469">
        <f t="shared" si="1"/>
        <v>0</v>
      </c>
      <c r="R26" s="491"/>
      <c r="S26" s="479"/>
    </row>
    <row r="27" spans="1:32" s="467" customFormat="1" ht="45" x14ac:dyDescent="0.15">
      <c r="A27" s="578"/>
      <c r="B27" s="488" t="s">
        <v>246</v>
      </c>
      <c r="C27" s="489">
        <f t="shared" si="2"/>
        <v>99.999999999799996</v>
      </c>
      <c r="D27" s="490">
        <f t="shared" ref="D27:O27" si="11">ROUND(D15/$C$15%,10)</f>
        <v>4.3185717646999997</v>
      </c>
      <c r="E27" s="490">
        <f t="shared" si="11"/>
        <v>4.38218</v>
      </c>
      <c r="F27" s="490">
        <f t="shared" si="11"/>
        <v>4.3231023529000003</v>
      </c>
      <c r="G27" s="490">
        <f t="shared" si="11"/>
        <v>4.2977788234999998</v>
      </c>
      <c r="H27" s="490">
        <f t="shared" si="11"/>
        <v>5.9618399999999996</v>
      </c>
      <c r="I27" s="490">
        <f t="shared" si="11"/>
        <v>4.2911988235000003</v>
      </c>
      <c r="J27" s="490">
        <f t="shared" si="11"/>
        <v>4.9317847059000002</v>
      </c>
      <c r="K27" s="490">
        <f t="shared" si="11"/>
        <v>4.9267082352999996</v>
      </c>
      <c r="L27" s="490">
        <f t="shared" si="11"/>
        <v>4.9204670587999999</v>
      </c>
      <c r="M27" s="490">
        <f t="shared" si="11"/>
        <v>4.2970752940999999</v>
      </c>
      <c r="N27" s="490">
        <f t="shared" si="11"/>
        <v>17.865658823499999</v>
      </c>
      <c r="O27" s="490">
        <f t="shared" si="11"/>
        <v>35.483634117599998</v>
      </c>
      <c r="P27" s="468">
        <f t="shared" si="0"/>
        <v>99.999999999799996</v>
      </c>
      <c r="Q27" s="469">
        <f t="shared" si="1"/>
        <v>0</v>
      </c>
      <c r="R27" s="479"/>
      <c r="S27" s="479"/>
    </row>
    <row r="28" spans="1:32" s="467" customFormat="1" ht="27" x14ac:dyDescent="0.15">
      <c r="A28" s="578"/>
      <c r="B28" s="493" t="s">
        <v>248</v>
      </c>
      <c r="C28" s="489">
        <f t="shared" si="2"/>
        <v>99.999999999999972</v>
      </c>
      <c r="D28" s="490">
        <f t="shared" ref="D28:O28" si="12">(D16/$C$16)*100</f>
        <v>22.739059541361577</v>
      </c>
      <c r="E28" s="490">
        <f t="shared" si="12"/>
        <v>7.8214107106662087</v>
      </c>
      <c r="F28" s="490">
        <f t="shared" si="12"/>
        <v>8.4053030228112</v>
      </c>
      <c r="G28" s="490">
        <f t="shared" si="12"/>
        <v>8.3449641508572885</v>
      </c>
      <c r="H28" s="490">
        <f t="shared" si="12"/>
        <v>5.3141133844832922</v>
      </c>
      <c r="I28" s="490">
        <f t="shared" si="12"/>
        <v>8.6965551023852576</v>
      </c>
      <c r="J28" s="490">
        <f t="shared" si="12"/>
        <v>8.6476034802131068</v>
      </c>
      <c r="K28" s="490">
        <f t="shared" si="12"/>
        <v>7.9088643494693853</v>
      </c>
      <c r="L28" s="490">
        <f t="shared" si="12"/>
        <v>5.7357309775607819</v>
      </c>
      <c r="M28" s="490">
        <f t="shared" si="12"/>
        <v>5.3318700222902944</v>
      </c>
      <c r="N28" s="490">
        <f t="shared" si="12"/>
        <v>5.3695589255563947</v>
      </c>
      <c r="O28" s="490">
        <f t="shared" si="12"/>
        <v>5.6849663323452173</v>
      </c>
      <c r="P28" s="468">
        <f t="shared" si="0"/>
        <v>99.999999999999972</v>
      </c>
      <c r="Q28" s="469">
        <f t="shared" si="1"/>
        <v>0</v>
      </c>
      <c r="R28" s="479"/>
      <c r="S28" s="479"/>
    </row>
    <row r="29" spans="1:32" s="467" customFormat="1" x14ac:dyDescent="0.15">
      <c r="A29" s="578"/>
      <c r="B29" s="494" t="s">
        <v>253</v>
      </c>
      <c r="C29" s="489"/>
      <c r="D29" s="489"/>
      <c r="E29" s="489"/>
      <c r="F29" s="489"/>
      <c r="G29" s="489"/>
      <c r="H29" s="489"/>
      <c r="I29" s="489"/>
      <c r="J29" s="489"/>
      <c r="K29" s="489"/>
      <c r="L29" s="489"/>
      <c r="M29" s="489"/>
      <c r="N29" s="489"/>
      <c r="O29" s="489"/>
      <c r="P29" s="468">
        <f t="shared" si="0"/>
        <v>0</v>
      </c>
      <c r="Q29" s="469">
        <f t="shared" si="1"/>
        <v>0</v>
      </c>
      <c r="R29" s="479"/>
      <c r="S29" s="479"/>
    </row>
    <row r="30" spans="1:32" s="467" customFormat="1" ht="18" x14ac:dyDescent="0.15">
      <c r="A30" s="578"/>
      <c r="B30" s="488" t="s">
        <v>300</v>
      </c>
      <c r="C30" s="489">
        <f t="shared" si="2"/>
        <v>100.00000000009999</v>
      </c>
      <c r="D30" s="490">
        <f t="shared" ref="D30:O30" si="13">ROUND(D18/$C$18%,10)</f>
        <v>7.7790802619999999</v>
      </c>
      <c r="E30" s="490">
        <f t="shared" si="13"/>
        <v>8.5529217042999992</v>
      </c>
      <c r="F30" s="490">
        <f t="shared" si="13"/>
        <v>8.3271517537000008</v>
      </c>
      <c r="G30" s="490">
        <f t="shared" si="13"/>
        <v>7.7591705566</v>
      </c>
      <c r="H30" s="490">
        <f t="shared" si="13"/>
        <v>8.5494968971999992</v>
      </c>
      <c r="I30" s="490">
        <f t="shared" si="13"/>
        <v>8.2512803898999998</v>
      </c>
      <c r="J30" s="490">
        <f t="shared" si="13"/>
        <v>8.4233081283000004</v>
      </c>
      <c r="K30" s="490">
        <f t="shared" si="13"/>
        <v>8.4183027441</v>
      </c>
      <c r="L30" s="490">
        <f t="shared" si="13"/>
        <v>8.7602506058999996</v>
      </c>
      <c r="M30" s="490">
        <f t="shared" si="13"/>
        <v>8.6833255241000007</v>
      </c>
      <c r="N30" s="490">
        <f t="shared" si="13"/>
        <v>8.1153443270000007</v>
      </c>
      <c r="O30" s="490">
        <f t="shared" si="13"/>
        <v>8.3803671069999996</v>
      </c>
      <c r="P30" s="468">
        <f t="shared" si="0"/>
        <v>100.00000000009999</v>
      </c>
      <c r="Q30" s="469">
        <f t="shared" si="1"/>
        <v>0</v>
      </c>
      <c r="R30" s="491"/>
      <c r="S30" s="479"/>
    </row>
    <row r="31" spans="1:32" x14ac:dyDescent="0.15">
      <c r="B31" s="495"/>
      <c r="C31" s="496"/>
      <c r="D31" s="496"/>
      <c r="E31" s="496"/>
      <c r="F31" s="496"/>
      <c r="G31" s="496"/>
      <c r="H31" s="496"/>
      <c r="I31" s="496"/>
      <c r="J31" s="496"/>
      <c r="K31" s="496"/>
      <c r="L31" s="496"/>
      <c r="M31" s="496"/>
      <c r="N31" s="496"/>
      <c r="O31" s="496"/>
      <c r="R31" s="478"/>
    </row>
    <row r="32" spans="1:32" s="492" customFormat="1" x14ac:dyDescent="0.15">
      <c r="A32" s="580"/>
      <c r="B32" s="499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500"/>
      <c r="Q32" s="501"/>
      <c r="R32" s="478"/>
      <c r="S32" s="479"/>
    </row>
    <row r="33" spans="1:22" s="492" customFormat="1" x14ac:dyDescent="0.15">
      <c r="A33" s="581" t="s">
        <v>21</v>
      </c>
      <c r="B33" s="502" t="s">
        <v>405</v>
      </c>
      <c r="C33" s="503" t="s">
        <v>191</v>
      </c>
      <c r="D33" s="503" t="s">
        <v>268</v>
      </c>
      <c r="E33" s="503" t="s">
        <v>270</v>
      </c>
      <c r="F33" s="503" t="s">
        <v>272</v>
      </c>
      <c r="G33" s="503" t="s">
        <v>274</v>
      </c>
      <c r="H33" s="503" t="s">
        <v>275</v>
      </c>
      <c r="I33" s="503" t="s">
        <v>277</v>
      </c>
      <c r="J33" s="503" t="s">
        <v>279</v>
      </c>
      <c r="K33" s="503" t="s">
        <v>289</v>
      </c>
      <c r="L33" s="503" t="s">
        <v>290</v>
      </c>
      <c r="M33" s="503" t="s">
        <v>291</v>
      </c>
      <c r="N33" s="503" t="s">
        <v>292</v>
      </c>
      <c r="O33" s="503" t="s">
        <v>293</v>
      </c>
      <c r="P33" s="474"/>
      <c r="Q33" s="475"/>
      <c r="R33" s="478"/>
      <c r="S33" s="479"/>
    </row>
    <row r="34" spans="1:22" s="492" customFormat="1" x14ac:dyDescent="0.15">
      <c r="A34" s="582" t="s">
        <v>393</v>
      </c>
      <c r="B34" s="504" t="s">
        <v>406</v>
      </c>
      <c r="C34" s="505">
        <f>C36+C51+C66+C81+C96+C111+C126+C141+C156+C171+C186+C201+C216+C231+C246+C261+C276+C291+C306+C321+C336+C351+C366+C381+C396+C411+C426+C441+C456+C471+C486+C501+C516++C531+C546+C561+C576+C591+C606+C621+C636+C651+C666+C681+C696+C711+C726+C741+C756+C771+C786+C801+C816+C831+C846+C861+C876+C891+C906+C921+C936+C951+C966+C981+C996+C1011+C1026+C1041+C1056+C1071+C1086+C1101+C1116+C1131+C1146+C1161+C1176+C1191+C1206+C1221+C1236+C1251+C1266+C1281+C1296+C1311+C1326+C1341+C1356+C1371+C1386+C1401+C1416+C1431+C1446+C1461+C1476+C1491+C1506+C1521+C1536+C1551+C1566+C1581+C1596+C1611+C1626+C1641+C1656+C1671+C1686+C1701+C1716</f>
        <v>9419705157.4366913</v>
      </c>
      <c r="D34" s="505">
        <f>D36+D51+D66+D81+D96+D111+D126+D141+D156+D171+D186+D201+D216+D231+D246+D261+D276+D291+D306+D321+D336+D351+D366+D381+D396+D411+D426+D441+D456+D471+D486+D501+D516++D531+D546+D561+D576+D591+D606+D621+D636+D651+D666+D681+D696+D711+D726+D741+D756+D771+D786+D801+D816+D831+D846+D861+D876+D891+D906+D921+D936+D951+D966+D981+D996+D1011+D1026+D1041+D1056+D1071+D1086+D1101+D1116+D1131+D1146+D1161+D1176+D1191+D1206+D1221+D1236+D1251+D1266+D1281+D1296+D1311+D1326+D1341+D1356+D1371+D1386+D1401+D1416+D1431+D1446+D1461+D1476+D1491+D1506+D1521+D1536+D1551+D1566+D1581+D1596+D1611+D1626+D1641+D1656+D1671+D1686+D1701+D1716</f>
        <v>738919931.76372206</v>
      </c>
      <c r="E34" s="505">
        <f t="shared" ref="E34:P34" si="14">E36+E51+E66+E81+E96+E111+E126+E141+E156+E171+E186+E201+E216+E231+E246+E261+E276+E291+E306+E321+E336+E351+E366+E381+E396+E411+E426+E441+E456+E471+E486+E501+E516++E531+E546+E561+E576+E591+E606+E621+E636+E651+E666+E681+E696+E711+E726+E741+E756+E771+E786+E801+E816+E831+E846+E861+E876+E891+E906+E921+E936+E951+E966+E981+E996+E1011+E1026+E1041+E1056+E1071+E1086+E1101+E1116+E1131+E1146+E1161+E1176+E1191+E1206+E1221+E1236+E1251+E1266+E1281+E1296+E1311+E1326+E1341+E1356+E1371+E1386+E1401+E1416+E1431+E1446+E1461+E1476+E1491+E1506+E1521+E1536+E1551+E1566+E1581+E1596+E1611+E1626+E1641+E1656+E1671+E1686+E1701+E1716</f>
        <v>983714081.56403947</v>
      </c>
      <c r="F34" s="505">
        <f t="shared" si="14"/>
        <v>661143252.11528563</v>
      </c>
      <c r="G34" s="505">
        <f t="shared" si="14"/>
        <v>834092202.18967152</v>
      </c>
      <c r="H34" s="505">
        <f t="shared" si="14"/>
        <v>943639798.0315634</v>
      </c>
      <c r="I34" s="505">
        <f t="shared" si="14"/>
        <v>927515281.31976891</v>
      </c>
      <c r="J34" s="505">
        <f t="shared" si="14"/>
        <v>797187262.2061125</v>
      </c>
      <c r="K34" s="505">
        <f t="shared" si="14"/>
        <v>778275749.33425629</v>
      </c>
      <c r="L34" s="505">
        <f t="shared" si="14"/>
        <v>739733914.72093117</v>
      </c>
      <c r="M34" s="505">
        <f t="shared" si="14"/>
        <v>555732943.95224547</v>
      </c>
      <c r="N34" s="505">
        <f t="shared" si="14"/>
        <v>719854801.45119834</v>
      </c>
      <c r="O34" s="505">
        <f t="shared" si="14"/>
        <v>739895938.76083624</v>
      </c>
      <c r="P34" s="505">
        <f t="shared" si="14"/>
        <v>2.7058259584009647E-2</v>
      </c>
      <c r="Q34" s="506"/>
      <c r="R34" s="507">
        <v>9419705157.4366913</v>
      </c>
      <c r="S34" s="508"/>
      <c r="T34" s="480"/>
      <c r="U34" s="480"/>
      <c r="V34" s="496"/>
    </row>
    <row r="35" spans="1:22" s="492" customFormat="1" x14ac:dyDescent="0.15">
      <c r="A35" s="583"/>
      <c r="B35" s="480"/>
      <c r="C35" s="501"/>
      <c r="D35" s="501"/>
      <c r="E35" s="501"/>
      <c r="F35" s="501"/>
      <c r="G35" s="501"/>
      <c r="H35" s="501"/>
      <c r="I35" s="501"/>
      <c r="J35" s="501"/>
      <c r="K35" s="501"/>
      <c r="L35" s="501"/>
      <c r="M35" s="501"/>
      <c r="N35" s="501"/>
      <c r="O35" s="501"/>
      <c r="P35" s="500"/>
      <c r="Q35" s="501"/>
      <c r="R35" s="480"/>
      <c r="S35" s="479"/>
      <c r="T35" s="480"/>
      <c r="U35" s="496"/>
      <c r="V35" s="496"/>
    </row>
    <row r="36" spans="1:22" s="492" customFormat="1" x14ac:dyDescent="0.15">
      <c r="A36" s="584">
        <v>1</v>
      </c>
      <c r="B36" s="509" t="s">
        <v>43</v>
      </c>
      <c r="C36" s="510">
        <f t="shared" ref="C36:O36" si="15">SUM(C37:C48)</f>
        <v>34588645.127120614</v>
      </c>
      <c r="D36" s="510">
        <f t="shared" si="15"/>
        <v>2731775.5142083559</v>
      </c>
      <c r="E36" s="510">
        <f t="shared" si="15"/>
        <v>3640342.3749664626</v>
      </c>
      <c r="F36" s="510">
        <f t="shared" si="15"/>
        <v>2463928.0120544285</v>
      </c>
      <c r="G36" s="510">
        <f t="shared" si="15"/>
        <v>3008775.9947470743</v>
      </c>
      <c r="H36" s="510">
        <f t="shared" si="15"/>
        <v>3487239.2344280682</v>
      </c>
      <c r="I36" s="510">
        <f t="shared" si="15"/>
        <v>3421983.5032945704</v>
      </c>
      <c r="J36" s="510">
        <f t="shared" si="15"/>
        <v>2914428.4477174827</v>
      </c>
      <c r="K36" s="510">
        <f t="shared" si="15"/>
        <v>2781186.7110927366</v>
      </c>
      <c r="L36" s="510">
        <f t="shared" si="15"/>
        <v>2747050.3375035478</v>
      </c>
      <c r="M36" s="510">
        <f t="shared" si="15"/>
        <v>2076331.9537035937</v>
      </c>
      <c r="N36" s="510">
        <f t="shared" si="15"/>
        <v>2648405.2551932721</v>
      </c>
      <c r="O36" s="510">
        <f t="shared" si="15"/>
        <v>2667197.7881133785</v>
      </c>
      <c r="P36" s="511">
        <f t="shared" ref="P36:P99" si="16">C36-D36-E36-F36-G36-H36-I36-J36-K36-L36-M36-N36-O36</f>
        <v>9.7646377980709076E-5</v>
      </c>
      <c r="Q36" s="497">
        <v>10470179.676984301</v>
      </c>
      <c r="R36" s="480"/>
      <c r="S36" s="479"/>
      <c r="T36" s="512"/>
      <c r="U36" s="513"/>
      <c r="V36" s="496"/>
    </row>
    <row r="37" spans="1:22" s="492" customFormat="1" x14ac:dyDescent="0.15">
      <c r="A37" s="585"/>
      <c r="B37" s="514" t="s">
        <v>294</v>
      </c>
      <c r="C37" s="515">
        <f>'FG1'!I16</f>
        <v>23110218.453625157</v>
      </c>
      <c r="D37" s="515">
        <f t="shared" ref="D37:O37" si="17">$C37*D19%</f>
        <v>1747934.4070196641</v>
      </c>
      <c r="E37" s="515">
        <f t="shared" si="17"/>
        <v>2504352.511279244</v>
      </c>
      <c r="F37" s="515">
        <f t="shared" si="17"/>
        <v>1618802.8383434168</v>
      </c>
      <c r="G37" s="515">
        <f t="shared" si="17"/>
        <v>1988535.2699088443</v>
      </c>
      <c r="H37" s="515">
        <f t="shared" si="17"/>
        <v>2428436.0651159696</v>
      </c>
      <c r="I37" s="515">
        <f t="shared" si="17"/>
        <v>2380724.425393838</v>
      </c>
      <c r="J37" s="515">
        <f t="shared" si="17"/>
        <v>1845546.1315026192</v>
      </c>
      <c r="K37" s="515">
        <f t="shared" si="17"/>
        <v>1959480.4220490372</v>
      </c>
      <c r="L37" s="515">
        <f t="shared" si="17"/>
        <v>1841425.5814473762</v>
      </c>
      <c r="M37" s="515">
        <f t="shared" si="17"/>
        <v>1220723.644086729</v>
      </c>
      <c r="N37" s="515">
        <f t="shared" si="17"/>
        <v>1781583.9375274905</v>
      </c>
      <c r="O37" s="515">
        <f t="shared" si="17"/>
        <v>1792673.2199278187</v>
      </c>
      <c r="P37" s="511">
        <f t="shared" si="16"/>
        <v>2.311263233423233E-5</v>
      </c>
      <c r="Q37" s="497">
        <v>10260863.717558701</v>
      </c>
      <c r="R37" s="480"/>
      <c r="S37" s="479"/>
      <c r="U37" s="513"/>
      <c r="V37" s="496"/>
    </row>
    <row r="38" spans="1:22" s="492" customFormat="1" x14ac:dyDescent="0.15">
      <c r="A38" s="586"/>
      <c r="B38" s="516" t="s">
        <v>296</v>
      </c>
      <c r="C38" s="517">
        <f>FFM!J16</f>
        <v>6211931.8668211978</v>
      </c>
      <c r="D38" s="517">
        <f t="shared" ref="D38:O38" si="18">$C38*D20%</f>
        <v>469765.79286236491</v>
      </c>
      <c r="E38" s="517">
        <f t="shared" si="18"/>
        <v>673485.59190141771</v>
      </c>
      <c r="F38" s="517">
        <f t="shared" si="18"/>
        <v>434987.86319813685</v>
      </c>
      <c r="G38" s="517">
        <f t="shared" si="18"/>
        <v>534564.82450792659</v>
      </c>
      <c r="H38" s="517">
        <f t="shared" si="18"/>
        <v>653039.64835605177</v>
      </c>
      <c r="I38" s="517">
        <f t="shared" si="18"/>
        <v>640189.86722248408</v>
      </c>
      <c r="J38" s="517">
        <f t="shared" si="18"/>
        <v>496011.2561860031</v>
      </c>
      <c r="K38" s="517">
        <f t="shared" si="18"/>
        <v>526696.23156248149</v>
      </c>
      <c r="L38" s="517">
        <f t="shared" si="18"/>
        <v>494901.50004934322</v>
      </c>
      <c r="M38" s="517">
        <f t="shared" si="18"/>
        <v>327733.00743039127</v>
      </c>
      <c r="N38" s="517">
        <f t="shared" si="18"/>
        <v>478784.84908807324</v>
      </c>
      <c r="O38" s="517">
        <f t="shared" si="18"/>
        <v>481771.43438198039</v>
      </c>
      <c r="P38" s="511">
        <f t="shared" si="16"/>
        <v>7.4542767833918333E-5</v>
      </c>
      <c r="Q38" s="497">
        <v>6905002.92796004</v>
      </c>
      <c r="R38" s="480"/>
      <c r="S38" s="479"/>
      <c r="U38" s="513"/>
      <c r="V38" s="496"/>
    </row>
    <row r="39" spans="1:22" s="492" customFormat="1" ht="18" x14ac:dyDescent="0.15">
      <c r="A39" s="586"/>
      <c r="B39" s="516" t="s">
        <v>297</v>
      </c>
      <c r="C39" s="517">
        <f>IEPS!I15</f>
        <v>558897.53723975492</v>
      </c>
      <c r="D39" s="517">
        <f t="shared" ref="D39:O39" si="19">$C39*D21%</f>
        <v>39256.862931702795</v>
      </c>
      <c r="E39" s="517">
        <f t="shared" si="19"/>
        <v>89729.673760836624</v>
      </c>
      <c r="F39" s="517">
        <f t="shared" si="19"/>
        <v>37270.100617203614</v>
      </c>
      <c r="G39" s="517">
        <f t="shared" si="19"/>
        <v>36221.318803612754</v>
      </c>
      <c r="H39" s="517">
        <f t="shared" si="19"/>
        <v>39990.328589173732</v>
      </c>
      <c r="I39" s="517">
        <f t="shared" si="19"/>
        <v>41470.767468342026</v>
      </c>
      <c r="J39" s="517">
        <f t="shared" si="19"/>
        <v>42707.224250269835</v>
      </c>
      <c r="K39" s="517">
        <f t="shared" si="19"/>
        <v>47307.101452619179</v>
      </c>
      <c r="L39" s="517">
        <f t="shared" si="19"/>
        <v>47406.231343800973</v>
      </c>
      <c r="M39" s="517">
        <f t="shared" si="19"/>
        <v>46879.346459862209</v>
      </c>
      <c r="N39" s="517">
        <f t="shared" si="19"/>
        <v>45363.696142729546</v>
      </c>
      <c r="O39" s="517">
        <f t="shared" si="19"/>
        <v>45294.885419042716</v>
      </c>
      <c r="P39" s="511">
        <f t="shared" si="16"/>
        <v>5.5890268413349986E-7</v>
      </c>
      <c r="Q39" s="497"/>
      <c r="R39" s="480"/>
      <c r="S39" s="479"/>
      <c r="U39" s="513"/>
    </row>
    <row r="40" spans="1:22" s="492" customFormat="1" x14ac:dyDescent="0.15">
      <c r="A40" s="586"/>
      <c r="B40" s="516" t="s">
        <v>236</v>
      </c>
      <c r="C40" s="517">
        <f>ISR!C6</f>
        <v>2142099.2400000002</v>
      </c>
      <c r="D40" s="517">
        <f>ISR!D6</f>
        <v>203331.83072804072</v>
      </c>
      <c r="E40" s="517">
        <f>ISR!E6</f>
        <v>203917.01603516104</v>
      </c>
      <c r="F40" s="517">
        <f>ISR!F6</f>
        <v>214350.03408210486</v>
      </c>
      <c r="G40" s="517">
        <f>ISR!G6</f>
        <v>123811.83532248098</v>
      </c>
      <c r="H40" s="517">
        <f>ISR!H6</f>
        <v>205167.6406343781</v>
      </c>
      <c r="I40" s="517">
        <f>ISR!I6</f>
        <v>205440.169791694</v>
      </c>
      <c r="J40" s="517">
        <f>ISR!J6</f>
        <v>143647.94527583697</v>
      </c>
      <c r="K40" s="517">
        <f>ISR!K6</f>
        <v>89073.563533803012</v>
      </c>
      <c r="L40" s="517">
        <f>ISR!L6</f>
        <v>202156.44423973924</v>
      </c>
      <c r="M40" s="517">
        <f>ISR!M6</f>
        <v>202331.99983187544</v>
      </c>
      <c r="N40" s="517">
        <f>ISR!N6</f>
        <v>180170.19627222157</v>
      </c>
      <c r="O40" s="517">
        <f>ISR!O6</f>
        <v>168700.56425266474</v>
      </c>
      <c r="P40" s="511">
        <f t="shared" si="16"/>
        <v>-4.6566128730773926E-10</v>
      </c>
      <c r="Q40" s="497"/>
      <c r="R40" s="480"/>
      <c r="S40" s="479"/>
      <c r="U40" s="513"/>
    </row>
    <row r="41" spans="1:22" s="492" customFormat="1" ht="18" x14ac:dyDescent="0.15">
      <c r="A41" s="586"/>
      <c r="B41" s="516" t="s">
        <v>298</v>
      </c>
      <c r="C41" s="517">
        <f>FOFIR!I15</f>
        <v>1080905.0863121715</v>
      </c>
      <c r="D41" s="517">
        <f t="shared" ref="D41:O41" si="20">$C41*D23%</f>
        <v>147776.47455767755</v>
      </c>
      <c r="E41" s="517">
        <f t="shared" si="20"/>
        <v>37597.410772277712</v>
      </c>
      <c r="F41" s="517">
        <f t="shared" si="20"/>
        <v>37597.410772277712</v>
      </c>
      <c r="G41" s="517">
        <f t="shared" si="20"/>
        <v>212174.76190923425</v>
      </c>
      <c r="H41" s="517">
        <f t="shared" si="20"/>
        <v>37597.410772277712</v>
      </c>
      <c r="I41" s="517">
        <f t="shared" si="20"/>
        <v>37597.410772277712</v>
      </c>
      <c r="J41" s="517">
        <f t="shared" si="20"/>
        <v>263911.21572164551</v>
      </c>
      <c r="K41" s="517">
        <f t="shared" si="20"/>
        <v>37597.410772277712</v>
      </c>
      <c r="L41" s="517">
        <f t="shared" si="20"/>
        <v>37597.410772277712</v>
      </c>
      <c r="M41" s="517">
        <f t="shared" si="20"/>
        <v>156263.34794971618</v>
      </c>
      <c r="N41" s="517">
        <f t="shared" si="20"/>
        <v>37597.410772277712</v>
      </c>
      <c r="O41" s="517">
        <f t="shared" si="20"/>
        <v>37597.410772277712</v>
      </c>
      <c r="P41" s="511">
        <f t="shared" si="16"/>
        <v>-4.3237232603132725E-6</v>
      </c>
      <c r="Q41" s="497"/>
      <c r="R41" s="480"/>
      <c r="S41" s="479"/>
      <c r="U41" s="513"/>
    </row>
    <row r="42" spans="1:22" s="492" customFormat="1" ht="27" x14ac:dyDescent="0.15">
      <c r="A42" s="586"/>
      <c r="B42" s="516" t="s">
        <v>407</v>
      </c>
      <c r="C42" s="517">
        <f>FCISAN!I15</f>
        <v>68617.204709153622</v>
      </c>
      <c r="D42" s="517">
        <f t="shared" ref="D42:O42" si="21">$C42*D24%</f>
        <v>5718.1003924065972</v>
      </c>
      <c r="E42" s="517">
        <f t="shared" si="21"/>
        <v>5718.1003924065972</v>
      </c>
      <c r="F42" s="517">
        <f t="shared" si="21"/>
        <v>5718.1003924065972</v>
      </c>
      <c r="G42" s="517">
        <f t="shared" si="21"/>
        <v>5718.1003924065972</v>
      </c>
      <c r="H42" s="517">
        <f t="shared" si="21"/>
        <v>5718.1003924065972</v>
      </c>
      <c r="I42" s="517">
        <f t="shared" si="21"/>
        <v>5718.1003924065972</v>
      </c>
      <c r="J42" s="517">
        <f t="shared" si="21"/>
        <v>5718.1003924065972</v>
      </c>
      <c r="K42" s="517">
        <f t="shared" si="21"/>
        <v>5718.1003924065972</v>
      </c>
      <c r="L42" s="517">
        <f t="shared" si="21"/>
        <v>5718.1003924065972</v>
      </c>
      <c r="M42" s="517">
        <f t="shared" si="21"/>
        <v>5718.1003924065972</v>
      </c>
      <c r="N42" s="517">
        <f t="shared" si="21"/>
        <v>5718.1003924065972</v>
      </c>
      <c r="O42" s="517">
        <f t="shared" si="21"/>
        <v>5718.1003924065972</v>
      </c>
      <c r="P42" s="511">
        <f t="shared" si="16"/>
        <v>2.7447276806924492E-7</v>
      </c>
      <c r="Q42" s="497"/>
      <c r="R42" s="480"/>
      <c r="S42" s="479"/>
      <c r="U42" s="513"/>
    </row>
    <row r="43" spans="1:22" s="492" customFormat="1" ht="27" x14ac:dyDescent="0.15">
      <c r="A43" s="586"/>
      <c r="B43" s="516" t="s">
        <v>242</v>
      </c>
      <c r="C43" s="517">
        <f>ISAN!I15</f>
        <v>342750.98463502596</v>
      </c>
      <c r="D43" s="517">
        <f t="shared" ref="D43:O43" si="22">$C43*D25%</f>
        <v>32984.163734174392</v>
      </c>
      <c r="E43" s="517">
        <f t="shared" si="22"/>
        <v>36839.86650710705</v>
      </c>
      <c r="F43" s="517">
        <f t="shared" si="22"/>
        <v>28590.989086463149</v>
      </c>
      <c r="G43" s="517">
        <f t="shared" si="22"/>
        <v>26535.38705344409</v>
      </c>
      <c r="H43" s="517">
        <f t="shared" si="22"/>
        <v>28372.195399329412</v>
      </c>
      <c r="I43" s="517">
        <f t="shared" si="22"/>
        <v>24642.115001669132</v>
      </c>
      <c r="J43" s="517">
        <f t="shared" si="22"/>
        <v>26695.953382419419</v>
      </c>
      <c r="K43" s="517">
        <f t="shared" si="22"/>
        <v>27530.54527335555</v>
      </c>
      <c r="L43" s="517">
        <f t="shared" si="22"/>
        <v>27052.375041146508</v>
      </c>
      <c r="M43" s="517">
        <f t="shared" si="22"/>
        <v>27715.814337585456</v>
      </c>
      <c r="N43" s="517">
        <f t="shared" si="22"/>
        <v>26835.345731542628</v>
      </c>
      <c r="O43" s="517">
        <f t="shared" si="22"/>
        <v>28956.234082676157</v>
      </c>
      <c r="P43" s="511">
        <f t="shared" si="16"/>
        <v>4.1130406316369772E-6</v>
      </c>
      <c r="Q43" s="497"/>
      <c r="R43" s="480"/>
      <c r="S43" s="479"/>
      <c r="U43" s="513"/>
    </row>
    <row r="44" spans="1:22" s="492" customFormat="1" ht="18" x14ac:dyDescent="0.15">
      <c r="A44" s="586"/>
      <c r="B44" s="516" t="s">
        <v>403</v>
      </c>
      <c r="C44" s="517">
        <f>LOT!I15</f>
        <v>16591.545207347186</v>
      </c>
      <c r="D44" s="517">
        <f t="shared" ref="D44:O44" si="23">$C44*D26%</f>
        <v>1254.4931862928884</v>
      </c>
      <c r="E44" s="517">
        <f t="shared" si="23"/>
        <v>1236.7115803511297</v>
      </c>
      <c r="F44" s="517">
        <f t="shared" si="23"/>
        <v>1215.5356804876112</v>
      </c>
      <c r="G44" s="517">
        <f t="shared" si="23"/>
        <v>1337.3606737855789</v>
      </c>
      <c r="H44" s="517">
        <f t="shared" si="23"/>
        <v>1094.2044564197454</v>
      </c>
      <c r="I44" s="517">
        <f t="shared" si="23"/>
        <v>1484.8912344267683</v>
      </c>
      <c r="J44" s="517">
        <f t="shared" si="23"/>
        <v>3407.8237864232055</v>
      </c>
      <c r="K44" s="517">
        <f t="shared" si="23"/>
        <v>1240.5700764900798</v>
      </c>
      <c r="L44" s="517">
        <f t="shared" si="23"/>
        <v>1505.277694848113</v>
      </c>
      <c r="M44" s="517">
        <f t="shared" si="23"/>
        <v>931.97317333542003</v>
      </c>
      <c r="N44" s="517">
        <f t="shared" si="23"/>
        <v>941.351832143774</v>
      </c>
      <c r="O44" s="517">
        <f t="shared" si="23"/>
        <v>941.351832143774</v>
      </c>
      <c r="P44" s="511">
        <f t="shared" si="16"/>
        <v>1.9909771253878716E-7</v>
      </c>
      <c r="Q44" s="497"/>
      <c r="R44" s="480"/>
      <c r="S44" s="479"/>
      <c r="U44" s="513"/>
    </row>
    <row r="45" spans="1:22" s="492" customFormat="1" ht="45" x14ac:dyDescent="0.15">
      <c r="A45" s="586"/>
      <c r="B45" s="518" t="s">
        <v>246</v>
      </c>
      <c r="C45" s="517">
        <f>'ENAJENAC DE INMUE'!I15</f>
        <v>65239.925154359538</v>
      </c>
      <c r="D45" s="517">
        <f t="shared" ref="D45:O45" si="24">$C45*D27%</f>
        <v>2817.4329870275833</v>
      </c>
      <c r="E45" s="517">
        <f t="shared" si="24"/>
        <v>2858.930952129313</v>
      </c>
      <c r="F45" s="517">
        <f t="shared" si="24"/>
        <v>2820.3887393783166</v>
      </c>
      <c r="G45" s="517">
        <f t="shared" si="24"/>
        <v>2803.867687751314</v>
      </c>
      <c r="H45" s="517">
        <f t="shared" si="24"/>
        <v>3889.4999538226684</v>
      </c>
      <c r="I45" s="517">
        <f t="shared" si="24"/>
        <v>2799.5749006761571</v>
      </c>
      <c r="J45" s="517">
        <f t="shared" si="24"/>
        <v>3217.4926509033107</v>
      </c>
      <c r="K45" s="517">
        <f t="shared" si="24"/>
        <v>3214.1807652833872</v>
      </c>
      <c r="L45" s="517">
        <f t="shared" si="24"/>
        <v>3210.1090264060363</v>
      </c>
      <c r="M45" s="517">
        <f t="shared" si="24"/>
        <v>2803.4087056973149</v>
      </c>
      <c r="N45" s="517">
        <f t="shared" si="24"/>
        <v>11655.542444784631</v>
      </c>
      <c r="O45" s="517">
        <f t="shared" si="24"/>
        <v>23149.496340369024</v>
      </c>
      <c r="P45" s="511">
        <f t="shared" si="16"/>
        <v>1.3049066183157265E-7</v>
      </c>
      <c r="Q45" s="497"/>
      <c r="R45" s="480"/>
      <c r="S45" s="479"/>
      <c r="U45" s="513"/>
    </row>
    <row r="46" spans="1:22" s="492" customFormat="1" ht="27" x14ac:dyDescent="0.15">
      <c r="A46" s="586"/>
      <c r="B46" s="518" t="s">
        <v>248</v>
      </c>
      <c r="C46" s="517">
        <f>'IMP BEBIDAS AL'!I15</f>
        <v>25499.210317924091</v>
      </c>
      <c r="D46" s="517">
        <f t="shared" ref="D46:O46" si="25">$C46*D28%</f>
        <v>5798.2806167697745</v>
      </c>
      <c r="E46" s="517">
        <f t="shared" si="25"/>
        <v>1994.397966941418</v>
      </c>
      <c r="F46" s="517">
        <f t="shared" si="25"/>
        <v>2143.2858956454593</v>
      </c>
      <c r="G46" s="517">
        <f t="shared" si="25"/>
        <v>2127.8999597824682</v>
      </c>
      <c r="H46" s="517">
        <f t="shared" si="25"/>
        <v>1355.0569484423488</v>
      </c>
      <c r="I46" s="517">
        <f t="shared" si="25"/>
        <v>2217.5528759713757</v>
      </c>
      <c r="J46" s="517">
        <f t="shared" si="25"/>
        <v>2205.0705988796631</v>
      </c>
      <c r="K46" s="517">
        <f t="shared" si="25"/>
        <v>2016.6979542305176</v>
      </c>
      <c r="L46" s="517">
        <f t="shared" si="25"/>
        <v>1462.5661052385472</v>
      </c>
      <c r="M46" s="517">
        <f t="shared" si="25"/>
        <v>1359.5847508621482</v>
      </c>
      <c r="N46" s="517">
        <f t="shared" si="25"/>
        <v>1369.1951235724903</v>
      </c>
      <c r="O46" s="517">
        <f t="shared" si="25"/>
        <v>1449.6215215878826</v>
      </c>
      <c r="P46" s="511">
        <f t="shared" si="16"/>
        <v>-2.7284841053187847E-12</v>
      </c>
      <c r="Q46" s="497"/>
      <c r="R46" s="480"/>
      <c r="S46" s="479"/>
      <c r="U46" s="513"/>
    </row>
    <row r="47" spans="1:22" s="492" customFormat="1" ht="18" x14ac:dyDescent="0.15">
      <c r="A47" s="586"/>
      <c r="B47" s="518" t="s">
        <v>253</v>
      </c>
      <c r="C47" s="517">
        <f>'FOND GASO Y D'!Q16</f>
        <v>0</v>
      </c>
      <c r="D47" s="517">
        <f t="shared" ref="D47:O47" si="26">$C47*D29%</f>
        <v>0</v>
      </c>
      <c r="E47" s="517">
        <f t="shared" si="26"/>
        <v>0</v>
      </c>
      <c r="F47" s="517">
        <f t="shared" si="26"/>
        <v>0</v>
      </c>
      <c r="G47" s="517">
        <f t="shared" si="26"/>
        <v>0</v>
      </c>
      <c r="H47" s="517">
        <f t="shared" si="26"/>
        <v>0</v>
      </c>
      <c r="I47" s="517">
        <f t="shared" si="26"/>
        <v>0</v>
      </c>
      <c r="J47" s="517">
        <f t="shared" si="26"/>
        <v>0</v>
      </c>
      <c r="K47" s="517">
        <f t="shared" si="26"/>
        <v>0</v>
      </c>
      <c r="L47" s="517">
        <f t="shared" si="26"/>
        <v>0</v>
      </c>
      <c r="M47" s="517">
        <f t="shared" si="26"/>
        <v>0</v>
      </c>
      <c r="N47" s="517">
        <f t="shared" si="26"/>
        <v>0</v>
      </c>
      <c r="O47" s="517">
        <f t="shared" si="26"/>
        <v>0</v>
      </c>
      <c r="P47" s="511">
        <f t="shared" si="16"/>
        <v>0</v>
      </c>
      <c r="Q47" s="497"/>
      <c r="R47" s="480"/>
      <c r="S47" s="479"/>
      <c r="U47" s="513"/>
    </row>
    <row r="48" spans="1:22" s="492" customFormat="1" ht="18" x14ac:dyDescent="0.15">
      <c r="A48" s="587"/>
      <c r="B48" s="516" t="s">
        <v>408</v>
      </c>
      <c r="C48" s="519">
        <f>'FOND GASO Y D'!H16</f>
        <v>965894.0730985183</v>
      </c>
      <c r="D48" s="517">
        <f t="shared" ref="D48:O48" si="27">$C48*D30%</f>
        <v>75137.675192234688</v>
      </c>
      <c r="E48" s="517">
        <f t="shared" si="27"/>
        <v>82612.163818590474</v>
      </c>
      <c r="F48" s="517">
        <f t="shared" si="27"/>
        <v>80431.465246907625</v>
      </c>
      <c r="G48" s="517">
        <f t="shared" si="27"/>
        <v>74945.368527804705</v>
      </c>
      <c r="H48" s="517">
        <f t="shared" si="27"/>
        <v>82579.083809796502</v>
      </c>
      <c r="I48" s="517">
        <f t="shared" si="27"/>
        <v>79698.628240784412</v>
      </c>
      <c r="J48" s="517">
        <f t="shared" si="27"/>
        <v>81360.233970075438</v>
      </c>
      <c r="K48" s="517">
        <f t="shared" si="27"/>
        <v>81311.887260751813</v>
      </c>
      <c r="L48" s="517">
        <f t="shared" si="27"/>
        <v>84614.741390965137</v>
      </c>
      <c r="M48" s="517">
        <f t="shared" si="27"/>
        <v>83871.726585132754</v>
      </c>
      <c r="N48" s="517">
        <f t="shared" si="27"/>
        <v>78385.629866029849</v>
      </c>
      <c r="O48" s="517">
        <f t="shared" si="27"/>
        <v>80945.46919041076</v>
      </c>
      <c r="P48" s="511">
        <f t="shared" si="16"/>
        <v>-9.6586882136762142E-7</v>
      </c>
      <c r="Q48" s="497"/>
      <c r="R48" s="480"/>
      <c r="S48" s="479"/>
      <c r="U48" s="513"/>
    </row>
    <row r="49" spans="1:21" s="492" customFormat="1" x14ac:dyDescent="0.15">
      <c r="A49" s="588"/>
      <c r="B49" s="520"/>
      <c r="C49" s="521"/>
      <c r="D49" s="522"/>
      <c r="E49" s="522"/>
      <c r="F49" s="522"/>
      <c r="G49" s="522"/>
      <c r="H49" s="522"/>
      <c r="I49" s="522"/>
      <c r="J49" s="522"/>
      <c r="K49" s="522"/>
      <c r="L49" s="522"/>
      <c r="M49" s="522"/>
      <c r="N49" s="522"/>
      <c r="O49" s="522"/>
      <c r="P49" s="511">
        <f t="shared" si="16"/>
        <v>0</v>
      </c>
      <c r="Q49" s="497"/>
      <c r="R49" s="480"/>
      <c r="S49" s="479"/>
      <c r="U49" s="513"/>
    </row>
    <row r="50" spans="1:21" s="492" customFormat="1" x14ac:dyDescent="0.15">
      <c r="A50" s="588"/>
      <c r="B50" s="523"/>
      <c r="C50" s="521"/>
      <c r="D50" s="521"/>
      <c r="E50" s="521"/>
      <c r="F50" s="521"/>
      <c r="G50" s="521"/>
      <c r="H50" s="521"/>
      <c r="I50" s="521"/>
      <c r="J50" s="521"/>
      <c r="K50" s="521"/>
      <c r="L50" s="521"/>
      <c r="M50" s="521"/>
      <c r="N50" s="521"/>
      <c r="O50" s="521"/>
      <c r="P50" s="511">
        <f t="shared" si="16"/>
        <v>0</v>
      </c>
      <c r="Q50" s="497"/>
      <c r="R50" s="480"/>
      <c r="S50" s="479"/>
      <c r="U50" s="513"/>
    </row>
    <row r="51" spans="1:21" s="492" customFormat="1" x14ac:dyDescent="0.15">
      <c r="A51" s="584">
        <v>2</v>
      </c>
      <c r="B51" s="509" t="s">
        <v>46</v>
      </c>
      <c r="C51" s="524">
        <f t="shared" ref="C51:O51" si="28">SUM(C52:C63)</f>
        <v>70251097.27416651</v>
      </c>
      <c r="D51" s="524">
        <f t="shared" si="28"/>
        <v>5495694.4587205416</v>
      </c>
      <c r="E51" s="524">
        <f t="shared" si="28"/>
        <v>7370802.178252547</v>
      </c>
      <c r="F51" s="524">
        <f t="shared" si="28"/>
        <v>4912548.8192255571</v>
      </c>
      <c r="G51" s="524">
        <f t="shared" si="28"/>
        <v>6234945.6190343164</v>
      </c>
      <c r="H51" s="524">
        <f t="shared" si="28"/>
        <v>7050858.1948855016</v>
      </c>
      <c r="I51" s="524">
        <f t="shared" si="28"/>
        <v>6917769.4236966996</v>
      </c>
      <c r="J51" s="524">
        <f t="shared" si="28"/>
        <v>5992115.2573491074</v>
      </c>
      <c r="K51" s="524">
        <f t="shared" si="28"/>
        <v>5829083.896108808</v>
      </c>
      <c r="L51" s="524">
        <f t="shared" si="28"/>
        <v>5520743.2830394786</v>
      </c>
      <c r="M51" s="524">
        <f t="shared" si="28"/>
        <v>4130688.8904183288</v>
      </c>
      <c r="N51" s="524">
        <f t="shared" si="28"/>
        <v>5367779.4485303806</v>
      </c>
      <c r="O51" s="524">
        <f t="shared" si="28"/>
        <v>5428067.8047019308</v>
      </c>
      <c r="P51" s="511">
        <f t="shared" si="16"/>
        <v>2.0330958068370819E-4</v>
      </c>
      <c r="Q51" s="497"/>
      <c r="R51" s="480"/>
      <c r="S51" s="479"/>
      <c r="T51" s="512"/>
      <c r="U51" s="513"/>
    </row>
    <row r="52" spans="1:21" s="492" customFormat="1" x14ac:dyDescent="0.15">
      <c r="A52" s="579"/>
      <c r="B52" s="525" t="s">
        <v>294</v>
      </c>
      <c r="C52" s="526">
        <f>'FG1'!I17</f>
        <v>47907516.726051852</v>
      </c>
      <c r="D52" s="526">
        <f t="shared" ref="D52:O52" si="29">$C52*D$19%</f>
        <v>3623470.5876265932</v>
      </c>
      <c r="E52" s="526">
        <f t="shared" si="29"/>
        <v>5191526.4264072869</v>
      </c>
      <c r="F52" s="526">
        <f t="shared" si="29"/>
        <v>3355780.6564979581</v>
      </c>
      <c r="G52" s="526">
        <f t="shared" si="29"/>
        <v>4122236.5290345508</v>
      </c>
      <c r="H52" s="526">
        <f t="shared" si="29"/>
        <v>5034151.5222432381</v>
      </c>
      <c r="I52" s="526">
        <f t="shared" si="29"/>
        <v>4935245.2231702916</v>
      </c>
      <c r="J52" s="526">
        <f t="shared" si="29"/>
        <v>3825819.8355452078</v>
      </c>
      <c r="K52" s="526">
        <f t="shared" si="29"/>
        <v>4062005.7868366875</v>
      </c>
      <c r="L52" s="526">
        <f t="shared" si="29"/>
        <v>3817277.9292413695</v>
      </c>
      <c r="M52" s="526">
        <f t="shared" si="29"/>
        <v>2530561.9033557102</v>
      </c>
      <c r="N52" s="526">
        <f t="shared" si="29"/>
        <v>3693226.1136880359</v>
      </c>
      <c r="O52" s="526">
        <f t="shared" si="29"/>
        <v>3716214.2123570167</v>
      </c>
      <c r="P52" s="511">
        <f t="shared" si="16"/>
        <v>4.7909561544656754E-5</v>
      </c>
      <c r="Q52" s="497">
        <f t="shared" ref="Q52:Q62" si="30">O52+P52</f>
        <v>3716214.2124049263</v>
      </c>
      <c r="R52" s="480"/>
      <c r="S52" s="479"/>
      <c r="U52" s="513"/>
    </row>
    <row r="53" spans="1:21" s="492" customFormat="1" x14ac:dyDescent="0.15">
      <c r="A53" s="579"/>
      <c r="B53" s="527" t="s">
        <v>296</v>
      </c>
      <c r="C53" s="515">
        <f>FFM!J17</f>
        <v>12877343.864490759</v>
      </c>
      <c r="D53" s="515">
        <f t="shared" ref="D53:O53" si="31">$C53*D$20%</f>
        <v>973825.17711988499</v>
      </c>
      <c r="E53" s="515">
        <f t="shared" si="31"/>
        <v>1396136.619111486</v>
      </c>
      <c r="F53" s="515">
        <f t="shared" si="31"/>
        <v>901730.47795337392</v>
      </c>
      <c r="G53" s="515">
        <f t="shared" si="31"/>
        <v>1108153.6646943826</v>
      </c>
      <c r="H53" s="515">
        <f t="shared" si="31"/>
        <v>1353752.1481751723</v>
      </c>
      <c r="I53" s="515">
        <f t="shared" si="31"/>
        <v>1327114.5330518964</v>
      </c>
      <c r="J53" s="515">
        <f t="shared" si="31"/>
        <v>1028232.061056672</v>
      </c>
      <c r="K53" s="515">
        <f t="shared" si="31"/>
        <v>1091842.0599858051</v>
      </c>
      <c r="L53" s="515">
        <f t="shared" si="31"/>
        <v>1025931.5349588527</v>
      </c>
      <c r="M53" s="515">
        <f t="shared" si="31"/>
        <v>679391.00474785198</v>
      </c>
      <c r="N53" s="515">
        <f t="shared" si="31"/>
        <v>992521.69389463449</v>
      </c>
      <c r="O53" s="515">
        <f t="shared" si="31"/>
        <v>998712.88958621793</v>
      </c>
      <c r="P53" s="511">
        <f t="shared" si="16"/>
        <v>1.5452876687049866E-4</v>
      </c>
      <c r="Q53" s="497">
        <f t="shared" si="30"/>
        <v>998712.8897407467</v>
      </c>
      <c r="R53" s="480"/>
      <c r="S53" s="479"/>
      <c r="U53" s="513"/>
    </row>
    <row r="54" spans="1:21" s="492" customFormat="1" ht="18" x14ac:dyDescent="0.15">
      <c r="A54" s="579"/>
      <c r="B54" s="528" t="s">
        <v>297</v>
      </c>
      <c r="C54" s="517">
        <f>IEPS!I16</f>
        <v>1158595.4138509089</v>
      </c>
      <c r="D54" s="517">
        <f t="shared" ref="D54:O54" si="32">$C54*D$21%</f>
        <v>81379.534394572693</v>
      </c>
      <c r="E54" s="517">
        <f t="shared" si="32"/>
        <v>186009.74521926869</v>
      </c>
      <c r="F54" s="517">
        <f t="shared" si="32"/>
        <v>77260.973204700902</v>
      </c>
      <c r="G54" s="517">
        <f t="shared" si="32"/>
        <v>75086.846967971142</v>
      </c>
      <c r="H54" s="517">
        <f t="shared" si="32"/>
        <v>82900.00977752007</v>
      </c>
      <c r="I54" s="517">
        <f t="shared" si="32"/>
        <v>85968.961743853695</v>
      </c>
      <c r="J54" s="517">
        <f t="shared" si="32"/>
        <v>88532.138465013384</v>
      </c>
      <c r="K54" s="517">
        <f t="shared" si="32"/>
        <v>98067.690647332449</v>
      </c>
      <c r="L54" s="517">
        <f t="shared" si="32"/>
        <v>98273.187057042858</v>
      </c>
      <c r="M54" s="517">
        <f t="shared" si="32"/>
        <v>97180.953920404529</v>
      </c>
      <c r="N54" s="517">
        <f t="shared" si="32"/>
        <v>94039.008591562815</v>
      </c>
      <c r="O54" s="517">
        <f t="shared" si="32"/>
        <v>93896.363860507001</v>
      </c>
      <c r="P54" s="511">
        <f t="shared" si="16"/>
        <v>1.1585216270759702E-6</v>
      </c>
      <c r="Q54" s="497">
        <f t="shared" si="30"/>
        <v>93896.363861665523</v>
      </c>
      <c r="R54" s="480"/>
      <c r="S54" s="479"/>
      <c r="U54" s="513"/>
    </row>
    <row r="55" spans="1:21" s="492" customFormat="1" x14ac:dyDescent="0.15">
      <c r="A55" s="579"/>
      <c r="B55" s="528" t="s">
        <v>236</v>
      </c>
      <c r="C55" s="517">
        <f>ISR!C7</f>
        <v>3911981.2</v>
      </c>
      <c r="D55" s="517">
        <f>ISR!D7</f>
        <v>325998.43333333323</v>
      </c>
      <c r="E55" s="517">
        <f>ISR!E7</f>
        <v>325998.43333333323</v>
      </c>
      <c r="F55" s="517">
        <f>ISR!F7</f>
        <v>325998.43333333323</v>
      </c>
      <c r="G55" s="517">
        <f>ISR!G7</f>
        <v>325998.43333333323</v>
      </c>
      <c r="H55" s="517">
        <f>ISR!H7</f>
        <v>325998.43333333323</v>
      </c>
      <c r="I55" s="517">
        <f>ISR!I7</f>
        <v>325998.43333333323</v>
      </c>
      <c r="J55" s="517">
        <f>ISR!J7</f>
        <v>325998.43333333323</v>
      </c>
      <c r="K55" s="517">
        <f>ISR!K7</f>
        <v>325998.43333333323</v>
      </c>
      <c r="L55" s="517">
        <f>ISR!L7</f>
        <v>325998.43333333323</v>
      </c>
      <c r="M55" s="517">
        <f>ISR!M7</f>
        <v>325998.43333333323</v>
      </c>
      <c r="N55" s="517">
        <f>ISR!N7</f>
        <v>325998.43333333323</v>
      </c>
      <c r="O55" s="517">
        <f>ISR!O7</f>
        <v>325998.43333333323</v>
      </c>
      <c r="P55" s="511">
        <f t="shared" si="16"/>
        <v>2.3283064365386963E-9</v>
      </c>
      <c r="Q55" s="497">
        <f t="shared" si="30"/>
        <v>325998.43333333556</v>
      </c>
      <c r="R55" s="480"/>
      <c r="S55" s="479"/>
      <c r="U55" s="513"/>
    </row>
    <row r="56" spans="1:21" s="492" customFormat="1" ht="18" x14ac:dyDescent="0.15">
      <c r="A56" s="579"/>
      <c r="B56" s="528" t="s">
        <v>298</v>
      </c>
      <c r="C56" s="517">
        <f>FOFIR!I16</f>
        <v>2240717.8281628024</v>
      </c>
      <c r="D56" s="517">
        <f t="shared" ref="D56:O56" si="33">$C56*D$23%</f>
        <v>306340.84834790381</v>
      </c>
      <c r="E56" s="517">
        <f t="shared" si="33"/>
        <v>77939.487635894402</v>
      </c>
      <c r="F56" s="517">
        <f t="shared" si="33"/>
        <v>77939.487635894402</v>
      </c>
      <c r="G56" s="517">
        <f t="shared" si="33"/>
        <v>439838.59241357475</v>
      </c>
      <c r="H56" s="517">
        <f t="shared" si="33"/>
        <v>77939.487635894402</v>
      </c>
      <c r="I56" s="517">
        <f t="shared" si="33"/>
        <v>77939.487635894402</v>
      </c>
      <c r="J56" s="517">
        <f t="shared" si="33"/>
        <v>547088.33699467382</v>
      </c>
      <c r="K56" s="517">
        <f t="shared" si="33"/>
        <v>77939.487635894402</v>
      </c>
      <c r="L56" s="517">
        <f t="shared" si="33"/>
        <v>77939.487635894402</v>
      </c>
      <c r="M56" s="517">
        <f t="shared" si="33"/>
        <v>323934.14932845766</v>
      </c>
      <c r="N56" s="517">
        <f t="shared" si="33"/>
        <v>77939.487635894402</v>
      </c>
      <c r="O56" s="517">
        <f t="shared" si="33"/>
        <v>77939.487635894402</v>
      </c>
      <c r="P56" s="511">
        <f t="shared" si="16"/>
        <v>-8.9629029389470816E-6</v>
      </c>
      <c r="Q56" s="497">
        <f t="shared" si="30"/>
        <v>77939.487626931499</v>
      </c>
      <c r="R56" s="480"/>
      <c r="S56" s="479"/>
      <c r="U56" s="513"/>
    </row>
    <row r="57" spans="1:21" s="492" customFormat="1" ht="27" x14ac:dyDescent="0.15">
      <c r="A57" s="579"/>
      <c r="B57" s="528" t="s">
        <v>407</v>
      </c>
      <c r="C57" s="517">
        <f>FCISAN!I16</f>
        <v>142243.5659314612</v>
      </c>
      <c r="D57" s="517">
        <f t="shared" ref="D57:O57" si="34">$C57*D$24%</f>
        <v>11853.630494241021</v>
      </c>
      <c r="E57" s="517">
        <f t="shared" si="34"/>
        <v>11853.630494241021</v>
      </c>
      <c r="F57" s="517">
        <f t="shared" si="34"/>
        <v>11853.630494241021</v>
      </c>
      <c r="G57" s="517">
        <f t="shared" si="34"/>
        <v>11853.630494241021</v>
      </c>
      <c r="H57" s="517">
        <f t="shared" si="34"/>
        <v>11853.630494241021</v>
      </c>
      <c r="I57" s="517">
        <f t="shared" si="34"/>
        <v>11853.630494241021</v>
      </c>
      <c r="J57" s="517">
        <f t="shared" si="34"/>
        <v>11853.630494241021</v>
      </c>
      <c r="K57" s="517">
        <f t="shared" si="34"/>
        <v>11853.630494241021</v>
      </c>
      <c r="L57" s="517">
        <f t="shared" si="34"/>
        <v>11853.630494241021</v>
      </c>
      <c r="M57" s="517">
        <f t="shared" si="34"/>
        <v>11853.630494241021</v>
      </c>
      <c r="N57" s="517">
        <f t="shared" si="34"/>
        <v>11853.630494241021</v>
      </c>
      <c r="O57" s="517">
        <f t="shared" si="34"/>
        <v>11853.630494241021</v>
      </c>
      <c r="P57" s="511">
        <f t="shared" si="16"/>
        <v>5.6895078159868717E-7</v>
      </c>
      <c r="Q57" s="497">
        <f t="shared" si="30"/>
        <v>11853.630494809971</v>
      </c>
      <c r="R57" s="480"/>
      <c r="S57" s="479"/>
      <c r="U57" s="513"/>
    </row>
    <row r="58" spans="1:21" s="492" customFormat="1" ht="27" x14ac:dyDescent="0.15">
      <c r="A58" s="579"/>
      <c r="B58" s="528" t="s">
        <v>242</v>
      </c>
      <c r="C58" s="517">
        <f>ISAN!I16</f>
        <v>710523.29350428481</v>
      </c>
      <c r="D58" s="517">
        <f t="shared" ref="D58:O58" si="35">$C58*D$25%</f>
        <v>68376.219764461726</v>
      </c>
      <c r="E58" s="517">
        <f t="shared" si="35"/>
        <v>76369.097263894466</v>
      </c>
      <c r="F58" s="517">
        <f t="shared" si="35"/>
        <v>59269.162280862787</v>
      </c>
      <c r="G58" s="517">
        <f t="shared" si="35"/>
        <v>55007.896253603794</v>
      </c>
      <c r="H58" s="517">
        <f t="shared" si="35"/>
        <v>58815.602646757725</v>
      </c>
      <c r="I58" s="517">
        <f t="shared" si="35"/>
        <v>51083.140515384126</v>
      </c>
      <c r="J58" s="517">
        <f t="shared" si="35"/>
        <v>55340.750488905047</v>
      </c>
      <c r="K58" s="517">
        <f t="shared" si="35"/>
        <v>57070.860702042301</v>
      </c>
      <c r="L58" s="517">
        <f t="shared" si="35"/>
        <v>56079.613109838712</v>
      </c>
      <c r="M58" s="517">
        <f t="shared" si="35"/>
        <v>57454.923743732063</v>
      </c>
      <c r="N58" s="517">
        <f t="shared" si="35"/>
        <v>55629.711032939034</v>
      </c>
      <c r="O58" s="517">
        <f t="shared" si="35"/>
        <v>60026.315693336765</v>
      </c>
      <c r="P58" s="511">
        <f t="shared" si="16"/>
        <v>8.5261417552828789E-6</v>
      </c>
      <c r="Q58" s="497">
        <f t="shared" si="30"/>
        <v>60026.315701862906</v>
      </c>
      <c r="R58" s="480"/>
      <c r="S58" s="479"/>
      <c r="U58" s="513"/>
    </row>
    <row r="59" spans="1:21" s="492" customFormat="1" ht="18" x14ac:dyDescent="0.15">
      <c r="A59" s="579"/>
      <c r="B59" s="528" t="s">
        <v>403</v>
      </c>
      <c r="C59" s="517">
        <f>LOT!I16</f>
        <v>34394.297532369106</v>
      </c>
      <c r="D59" s="517">
        <f t="shared" ref="D59:O59" si="36">$C59*D$26%</f>
        <v>2600.5662138436933</v>
      </c>
      <c r="E59" s="517">
        <f t="shared" si="36"/>
        <v>2563.7049186646664</v>
      </c>
      <c r="F59" s="517">
        <f t="shared" si="36"/>
        <v>2519.8072472109561</v>
      </c>
      <c r="G59" s="517">
        <f t="shared" si="36"/>
        <v>2772.3506368714739</v>
      </c>
      <c r="H59" s="517">
        <f t="shared" si="36"/>
        <v>2268.287441888137</v>
      </c>
      <c r="I59" s="517">
        <f t="shared" si="36"/>
        <v>3078.1817053100717</v>
      </c>
      <c r="J59" s="517">
        <f t="shared" si="36"/>
        <v>7064.4237039610252</v>
      </c>
      <c r="K59" s="517">
        <f t="shared" si="36"/>
        <v>2571.7035868159473</v>
      </c>
      <c r="L59" s="517">
        <f t="shared" si="36"/>
        <v>3120.4428676431075</v>
      </c>
      <c r="M59" s="517">
        <f t="shared" si="36"/>
        <v>1931.98175427868</v>
      </c>
      <c r="N59" s="517">
        <f t="shared" si="36"/>
        <v>1951.4237277343082</v>
      </c>
      <c r="O59" s="517">
        <f t="shared" si="36"/>
        <v>1951.4237277343082</v>
      </c>
      <c r="P59" s="511">
        <f t="shared" si="16"/>
        <v>4.1273460738011636E-7</v>
      </c>
      <c r="Q59" s="497">
        <f t="shared" si="30"/>
        <v>1951.4237281470428</v>
      </c>
      <c r="R59" s="480"/>
      <c r="S59" s="479"/>
      <c r="U59" s="513"/>
    </row>
    <row r="60" spans="1:21" s="492" customFormat="1" ht="41.25" customHeight="1" x14ac:dyDescent="0.15">
      <c r="A60" s="579"/>
      <c r="B60" s="518" t="s">
        <v>301</v>
      </c>
      <c r="C60" s="517">
        <f>'ENAJENAC DE INMUE'!I16</f>
        <v>135242.46046443476</v>
      </c>
      <c r="D60" s="517">
        <f t="shared" ref="D60:O60" si="37">$C60*D$27%</f>
        <v>5840.5427115026387</v>
      </c>
      <c r="E60" s="517">
        <f t="shared" si="37"/>
        <v>5926.568053980367</v>
      </c>
      <c r="F60" s="517">
        <f t="shared" si="37"/>
        <v>5846.6699904578318</v>
      </c>
      <c r="G60" s="517">
        <f t="shared" si="37"/>
        <v>5812.4218262208369</v>
      </c>
      <c r="H60" s="517">
        <f t="shared" si="37"/>
        <v>8062.9391049528567</v>
      </c>
      <c r="I60" s="517">
        <f t="shared" si="37"/>
        <v>5803.5228723222772</v>
      </c>
      <c r="J60" s="517">
        <f t="shared" si="37"/>
        <v>6669.8669810678484</v>
      </c>
      <c r="K60" s="517">
        <f t="shared" si="37"/>
        <v>6663.0014373236527</v>
      </c>
      <c r="L60" s="517">
        <f t="shared" si="37"/>
        <v>6654.5607166631262</v>
      </c>
      <c r="M60" s="517">
        <f t="shared" si="37"/>
        <v>5811.4703557501862</v>
      </c>
      <c r="N60" s="517">
        <f t="shared" si="37"/>
        <v>24161.956571082788</v>
      </c>
      <c r="O60" s="517">
        <f t="shared" si="37"/>
        <v>47988.939842839864</v>
      </c>
      <c r="P60" s="511">
        <f t="shared" si="16"/>
        <v>2.7048372430726886E-7</v>
      </c>
      <c r="Q60" s="497">
        <f t="shared" si="30"/>
        <v>47988.939843110347</v>
      </c>
      <c r="R60" s="480"/>
      <c r="S60" s="479"/>
      <c r="U60" s="513"/>
    </row>
    <row r="61" spans="1:21" s="492" customFormat="1" ht="27" x14ac:dyDescent="0.15">
      <c r="A61" s="579"/>
      <c r="B61" s="518" t="s">
        <v>248</v>
      </c>
      <c r="C61" s="517">
        <f>'IMP BEBIDAS AL'!I16</f>
        <v>52859.900362189648</v>
      </c>
      <c r="D61" s="517">
        <f t="shared" ref="D61:O61" si="38">$C61*D$28%</f>
        <v>12019.844216862708</v>
      </c>
      <c r="E61" s="517">
        <f t="shared" si="38"/>
        <v>4134.3899085757876</v>
      </c>
      <c r="F61" s="517">
        <f t="shared" si="38"/>
        <v>4443.0348029981151</v>
      </c>
      <c r="G61" s="517">
        <f t="shared" si="38"/>
        <v>4411.139735403608</v>
      </c>
      <c r="H61" s="517">
        <f t="shared" si="38"/>
        <v>2809.0350401716523</v>
      </c>
      <c r="I61" s="517">
        <f t="shared" si="38"/>
        <v>4596.990362063767</v>
      </c>
      <c r="J61" s="517">
        <f t="shared" si="38"/>
        <v>4571.1145833578921</v>
      </c>
      <c r="K61" s="517">
        <f t="shared" si="38"/>
        <v>4180.6178149102561</v>
      </c>
      <c r="L61" s="517">
        <f t="shared" si="38"/>
        <v>3031.9016797818754</v>
      </c>
      <c r="M61" s="517">
        <f t="shared" si="38"/>
        <v>2818.4211812241088</v>
      </c>
      <c r="N61" s="517">
        <f t="shared" si="38"/>
        <v>2838.3434979381714</v>
      </c>
      <c r="O61" s="517">
        <f t="shared" si="38"/>
        <v>3005.0675389017092</v>
      </c>
      <c r="P61" s="511">
        <f t="shared" si="16"/>
        <v>0</v>
      </c>
      <c r="Q61" s="497">
        <f t="shared" si="30"/>
        <v>3005.0675389017092</v>
      </c>
      <c r="R61" s="480"/>
      <c r="S61" s="479"/>
      <c r="U61" s="513"/>
    </row>
    <row r="62" spans="1:21" s="492" customFormat="1" ht="18" x14ac:dyDescent="0.15">
      <c r="A62" s="579"/>
      <c r="B62" s="518" t="s">
        <v>253</v>
      </c>
      <c r="C62" s="517">
        <f>'FOND GASO Y D'!Q17</f>
        <v>0</v>
      </c>
      <c r="D62" s="517">
        <f t="shared" ref="D62:O62" si="39">$C62*D$29%</f>
        <v>0</v>
      </c>
      <c r="E62" s="517">
        <f t="shared" si="39"/>
        <v>0</v>
      </c>
      <c r="F62" s="517">
        <f t="shared" si="39"/>
        <v>0</v>
      </c>
      <c r="G62" s="517">
        <f t="shared" si="39"/>
        <v>0</v>
      </c>
      <c r="H62" s="517">
        <f t="shared" si="39"/>
        <v>0</v>
      </c>
      <c r="I62" s="517">
        <f t="shared" si="39"/>
        <v>0</v>
      </c>
      <c r="J62" s="517">
        <f t="shared" si="39"/>
        <v>0</v>
      </c>
      <c r="K62" s="517">
        <f t="shared" si="39"/>
        <v>0</v>
      </c>
      <c r="L62" s="517">
        <f t="shared" si="39"/>
        <v>0</v>
      </c>
      <c r="M62" s="517">
        <f t="shared" si="39"/>
        <v>0</v>
      </c>
      <c r="N62" s="517">
        <f t="shared" si="39"/>
        <v>0</v>
      </c>
      <c r="O62" s="517">
        <f t="shared" si="39"/>
        <v>0</v>
      </c>
      <c r="P62" s="511">
        <f t="shared" si="16"/>
        <v>0</v>
      </c>
      <c r="Q62" s="497">
        <f t="shared" si="30"/>
        <v>0</v>
      </c>
      <c r="R62" s="480"/>
      <c r="S62" s="479"/>
      <c r="U62" s="513"/>
    </row>
    <row r="63" spans="1:21" s="492" customFormat="1" ht="18" x14ac:dyDescent="0.15">
      <c r="A63" s="588"/>
      <c r="B63" s="528" t="s">
        <v>408</v>
      </c>
      <c r="C63" s="519">
        <f>'FOND GASO Y D'!H17</f>
        <v>1079678.723815463</v>
      </c>
      <c r="D63" s="517">
        <f t="shared" ref="D63:O63" si="40">$C63*D$30%</f>
        <v>83989.074497342182</v>
      </c>
      <c r="E63" s="517">
        <f t="shared" si="40"/>
        <v>92344.075905921985</v>
      </c>
      <c r="F63" s="517">
        <f t="shared" si="40"/>
        <v>89906.48578452511</v>
      </c>
      <c r="G63" s="517">
        <f t="shared" si="40"/>
        <v>83774.113644164026</v>
      </c>
      <c r="H63" s="517">
        <f t="shared" si="40"/>
        <v>92307.09899233155</v>
      </c>
      <c r="I63" s="517">
        <f t="shared" si="40"/>
        <v>89087.318812107871</v>
      </c>
      <c r="J63" s="517">
        <f t="shared" si="40"/>
        <v>90944.665702673607</v>
      </c>
      <c r="K63" s="517">
        <f t="shared" si="40"/>
        <v>90890.623634420976</v>
      </c>
      <c r="L63" s="517">
        <f t="shared" si="40"/>
        <v>94582.561944817484</v>
      </c>
      <c r="M63" s="517">
        <f t="shared" si="40"/>
        <v>93752.018203345258</v>
      </c>
      <c r="N63" s="517">
        <f t="shared" si="40"/>
        <v>87619.646062984189</v>
      </c>
      <c r="O63" s="517">
        <f t="shared" si="40"/>
        <v>90481.040631908443</v>
      </c>
      <c r="P63" s="511">
        <f t="shared" si="16"/>
        <v>-1.0796793503686786E-6</v>
      </c>
      <c r="Q63" s="497">
        <v>65985</v>
      </c>
      <c r="R63" s="480"/>
      <c r="S63" s="479"/>
      <c r="U63" s="513"/>
    </row>
    <row r="64" spans="1:21" s="492" customFormat="1" x14ac:dyDescent="0.15">
      <c r="A64" s="580"/>
      <c r="B64" s="499"/>
      <c r="C64" s="475"/>
      <c r="D64" s="475"/>
      <c r="E64" s="475"/>
      <c r="F64" s="475"/>
      <c r="G64" s="475"/>
      <c r="H64" s="475"/>
      <c r="I64" s="475"/>
      <c r="J64" s="475"/>
      <c r="K64" s="475"/>
      <c r="L64" s="475"/>
      <c r="M64" s="475"/>
      <c r="N64" s="475"/>
      <c r="O64" s="475"/>
      <c r="P64" s="511">
        <f t="shared" si="16"/>
        <v>0</v>
      </c>
      <c r="Q64" s="497">
        <v>0</v>
      </c>
      <c r="R64" s="480"/>
      <c r="S64" s="479"/>
      <c r="U64" s="513"/>
    </row>
    <row r="65" spans="1:21" s="492" customFormat="1" x14ac:dyDescent="0.15">
      <c r="A65" s="589"/>
      <c r="B65" s="529"/>
      <c r="C65" s="501"/>
      <c r="D65" s="501"/>
      <c r="E65" s="501"/>
      <c r="F65" s="501"/>
      <c r="G65" s="501"/>
      <c r="H65" s="501"/>
      <c r="I65" s="501"/>
      <c r="J65" s="501"/>
      <c r="K65" s="501"/>
      <c r="L65" s="501"/>
      <c r="M65" s="501"/>
      <c r="N65" s="501"/>
      <c r="O65" s="501"/>
      <c r="P65" s="511">
        <f t="shared" si="16"/>
        <v>0</v>
      </c>
      <c r="Q65" s="497">
        <v>0</v>
      </c>
      <c r="R65" s="480"/>
      <c r="S65" s="479"/>
      <c r="U65" s="513"/>
    </row>
    <row r="66" spans="1:21" s="492" customFormat="1" x14ac:dyDescent="0.15">
      <c r="A66" s="584">
        <v>3</v>
      </c>
      <c r="B66" s="509" t="s">
        <v>49</v>
      </c>
      <c r="C66" s="524">
        <f t="shared" ref="C66:O66" si="41">SUM(C67:C78)</f>
        <v>54986162.491295852</v>
      </c>
      <c r="D66" s="524">
        <f t="shared" si="41"/>
        <v>4306863.4128640667</v>
      </c>
      <c r="E66" s="524">
        <f t="shared" si="41"/>
        <v>5775736.0838605454</v>
      </c>
      <c r="F66" s="524">
        <f t="shared" si="41"/>
        <v>3853104.8215050902</v>
      </c>
      <c r="G66" s="524">
        <f t="shared" si="41"/>
        <v>4798037.2186635621</v>
      </c>
      <c r="H66" s="524">
        <f t="shared" si="41"/>
        <v>5521742.5411509369</v>
      </c>
      <c r="I66" s="524">
        <f t="shared" si="41"/>
        <v>5422361.9512269124</v>
      </c>
      <c r="J66" s="524">
        <f t="shared" si="41"/>
        <v>4696025.2042930666</v>
      </c>
      <c r="K66" s="524">
        <f t="shared" si="41"/>
        <v>4567963.3006756324</v>
      </c>
      <c r="L66" s="524">
        <f t="shared" si="41"/>
        <v>4334184.4937430872</v>
      </c>
      <c r="M66" s="524">
        <f t="shared" si="41"/>
        <v>3251562.9037200026</v>
      </c>
      <c r="N66" s="524">
        <f t="shared" si="41"/>
        <v>4200444.924122842</v>
      </c>
      <c r="O66" s="524">
        <f t="shared" si="41"/>
        <v>4258135.6353118783</v>
      </c>
      <c r="P66" s="511">
        <f t="shared" si="16"/>
        <v>1.5822704881429672E-4</v>
      </c>
      <c r="Q66" s="497">
        <v>3255989</v>
      </c>
      <c r="R66" s="480"/>
      <c r="S66" s="479"/>
      <c r="T66" s="512"/>
      <c r="U66" s="513"/>
    </row>
    <row r="67" spans="1:21" s="492" customFormat="1" x14ac:dyDescent="0.15">
      <c r="A67" s="579"/>
      <c r="B67" s="527" t="s">
        <v>294</v>
      </c>
      <c r="C67" s="515">
        <f>'FG1'!I18</f>
        <v>37401822.993827179</v>
      </c>
      <c r="D67" s="515">
        <f t="shared" ref="D67:O67" si="42">$C67*D$19%</f>
        <v>2828875.6087424448</v>
      </c>
      <c r="E67" s="515">
        <f t="shared" si="42"/>
        <v>4053070.702424271</v>
      </c>
      <c r="F67" s="515">
        <f t="shared" si="42"/>
        <v>2619887.7065191916</v>
      </c>
      <c r="G67" s="515">
        <f t="shared" si="42"/>
        <v>3218266.600610442</v>
      </c>
      <c r="H67" s="515">
        <f t="shared" si="42"/>
        <v>3930206.7196619706</v>
      </c>
      <c r="I67" s="515">
        <f t="shared" si="42"/>
        <v>3852989.6952009797</v>
      </c>
      <c r="J67" s="515">
        <f t="shared" si="42"/>
        <v>2986851.460358033</v>
      </c>
      <c r="K67" s="515">
        <f t="shared" si="42"/>
        <v>3171243.9262490659</v>
      </c>
      <c r="L67" s="515">
        <f t="shared" si="42"/>
        <v>2980182.7183851837</v>
      </c>
      <c r="M67" s="515">
        <f t="shared" si="42"/>
        <v>1975632.1106237553</v>
      </c>
      <c r="N67" s="515">
        <f t="shared" si="42"/>
        <v>2883334.3663004762</v>
      </c>
      <c r="O67" s="515">
        <f t="shared" si="42"/>
        <v>2901281.3787139645</v>
      </c>
      <c r="P67" s="511">
        <f t="shared" si="16"/>
        <v>3.7398654967546463E-5</v>
      </c>
      <c r="Q67" s="497">
        <v>2246718</v>
      </c>
      <c r="R67" s="480"/>
      <c r="S67" s="479"/>
      <c r="U67" s="513"/>
    </row>
    <row r="68" spans="1:21" s="492" customFormat="1" x14ac:dyDescent="0.15">
      <c r="A68" s="579"/>
      <c r="B68" s="528" t="s">
        <v>296</v>
      </c>
      <c r="C68" s="517">
        <f>FFM!J18</f>
        <v>10053456.508807495</v>
      </c>
      <c r="D68" s="517">
        <f t="shared" ref="D68:O68" si="43">$C68*D$20%</f>
        <v>760273.94844625308</v>
      </c>
      <c r="E68" s="517">
        <f t="shared" si="43"/>
        <v>1089976.2348736441</v>
      </c>
      <c r="F68" s="517">
        <f t="shared" si="43"/>
        <v>703988.97770902549</v>
      </c>
      <c r="G68" s="517">
        <f t="shared" si="43"/>
        <v>865145.38947750523</v>
      </c>
      <c r="H68" s="517">
        <f t="shared" si="43"/>
        <v>1056886.3026880138</v>
      </c>
      <c r="I68" s="517">
        <f t="shared" si="43"/>
        <v>1036090.080426786</v>
      </c>
      <c r="J68" s="517">
        <f t="shared" si="43"/>
        <v>802749.88503644639</v>
      </c>
      <c r="K68" s="517">
        <f t="shared" si="43"/>
        <v>852410.77508402464</v>
      </c>
      <c r="L68" s="517">
        <f t="shared" si="43"/>
        <v>800953.84391840349</v>
      </c>
      <c r="M68" s="517">
        <f t="shared" si="43"/>
        <v>530406.58000458393</v>
      </c>
      <c r="N68" s="517">
        <f t="shared" si="43"/>
        <v>774870.48483132583</v>
      </c>
      <c r="O68" s="517">
        <f t="shared" si="43"/>
        <v>779704.00619084202</v>
      </c>
      <c r="P68" s="511">
        <f t="shared" si="16"/>
        <v>1.2064108159393072E-4</v>
      </c>
      <c r="Q68" s="497">
        <v>687871</v>
      </c>
      <c r="R68" s="480"/>
      <c r="S68" s="479"/>
      <c r="U68" s="513"/>
    </row>
    <row r="69" spans="1:21" s="492" customFormat="1" ht="18" x14ac:dyDescent="0.15">
      <c r="A69" s="579"/>
      <c r="B69" s="528" t="s">
        <v>297</v>
      </c>
      <c r="C69" s="517">
        <f>IEPS!I17</f>
        <v>904525.71019501565</v>
      </c>
      <c r="D69" s="517">
        <f t="shared" ref="D69:O69" si="44">$C69*D$21%</f>
        <v>63533.723907060863</v>
      </c>
      <c r="E69" s="517">
        <f t="shared" si="44"/>
        <v>145219.45701340731</v>
      </c>
      <c r="F69" s="517">
        <f t="shared" si="44"/>
        <v>60318.326676315577</v>
      </c>
      <c r="G69" s="517">
        <f t="shared" si="44"/>
        <v>58620.967050322208</v>
      </c>
      <c r="H69" s="517">
        <f t="shared" si="44"/>
        <v>64720.77251708712</v>
      </c>
      <c r="I69" s="517">
        <f t="shared" si="44"/>
        <v>67116.730522544516</v>
      </c>
      <c r="J69" s="517">
        <f t="shared" si="44"/>
        <v>69117.825310548433</v>
      </c>
      <c r="K69" s="517">
        <f t="shared" si="44"/>
        <v>76562.31542910132</v>
      </c>
      <c r="L69" s="517">
        <f t="shared" si="44"/>
        <v>76722.748297826416</v>
      </c>
      <c r="M69" s="517">
        <f t="shared" si="44"/>
        <v>75870.03220573299</v>
      </c>
      <c r="N69" s="517">
        <f t="shared" si="44"/>
        <v>73417.087635101212</v>
      </c>
      <c r="O69" s="517">
        <f t="shared" si="44"/>
        <v>73305.723629063083</v>
      </c>
      <c r="P69" s="511">
        <f t="shared" si="16"/>
        <v>9.0453249868005514E-7</v>
      </c>
      <c r="Q69" s="497">
        <v>58023</v>
      </c>
      <c r="R69" s="480"/>
      <c r="S69" s="479"/>
      <c r="U69" s="513"/>
    </row>
    <row r="70" spans="1:21" s="492" customFormat="1" x14ac:dyDescent="0.15">
      <c r="A70" s="579"/>
      <c r="B70" s="528" t="s">
        <v>236</v>
      </c>
      <c r="C70" s="517">
        <f>ISR!C8</f>
        <v>2686137</v>
      </c>
      <c r="D70" s="517">
        <f>ISR!D8</f>
        <v>231280.09203531628</v>
      </c>
      <c r="E70" s="517">
        <f>ISR!E8</f>
        <v>232304.64167627326</v>
      </c>
      <c r="F70" s="517">
        <f>ISR!F8</f>
        <v>230001.5848769735</v>
      </c>
      <c r="G70" s="517">
        <f>ISR!G8</f>
        <v>145415.20249814665</v>
      </c>
      <c r="H70" s="517">
        <f>ISR!H8</f>
        <v>228111.61777333601</v>
      </c>
      <c r="I70" s="517">
        <f>ISR!I8</f>
        <v>234151.01092284857</v>
      </c>
      <c r="J70" s="517">
        <f>ISR!J8</f>
        <v>229605.93432413577</v>
      </c>
      <c r="K70" s="517">
        <f>ISR!K8</f>
        <v>228849.51150411021</v>
      </c>
      <c r="L70" s="517">
        <f>ISR!L8</f>
        <v>234056.18558373876</v>
      </c>
      <c r="M70" s="517">
        <f>ISR!M8</f>
        <v>237053.53825675082</v>
      </c>
      <c r="N70" s="517">
        <f>ISR!N8</f>
        <v>223016.1182292155</v>
      </c>
      <c r="O70" s="517">
        <f>ISR!O8</f>
        <v>232291.56231915473</v>
      </c>
      <c r="P70" s="511">
        <f t="shared" si="16"/>
        <v>3.4924596548080444E-10</v>
      </c>
      <c r="Q70" s="497">
        <v>0</v>
      </c>
      <c r="R70" s="480"/>
      <c r="S70" s="479"/>
      <c r="U70" s="513"/>
    </row>
    <row r="71" spans="1:21" s="492" customFormat="1" ht="18" x14ac:dyDescent="0.15">
      <c r="A71" s="579"/>
      <c r="B71" s="528" t="s">
        <v>298</v>
      </c>
      <c r="C71" s="517">
        <f>FOFIR!I17</f>
        <v>1749348.2717396673</v>
      </c>
      <c r="D71" s="517">
        <f t="shared" ref="D71:O71" si="45">$C71*D$23%</f>
        <v>239163.01592515054</v>
      </c>
      <c r="E71" s="517">
        <f t="shared" si="45"/>
        <v>60848.048907575714</v>
      </c>
      <c r="F71" s="517">
        <f t="shared" si="45"/>
        <v>60848.048907575714</v>
      </c>
      <c r="G71" s="517">
        <f t="shared" si="45"/>
        <v>343385.88813476916</v>
      </c>
      <c r="H71" s="517">
        <f t="shared" si="45"/>
        <v>60848.048907575714</v>
      </c>
      <c r="I71" s="517">
        <f t="shared" si="45"/>
        <v>60848.048907575714</v>
      </c>
      <c r="J71" s="517">
        <f t="shared" si="45"/>
        <v>427116.71446612233</v>
      </c>
      <c r="K71" s="517">
        <f t="shared" si="45"/>
        <v>60848.048907575714</v>
      </c>
      <c r="L71" s="517">
        <f t="shared" si="45"/>
        <v>60848.048907575714</v>
      </c>
      <c r="M71" s="517">
        <f t="shared" si="45"/>
        <v>252898.26196001697</v>
      </c>
      <c r="N71" s="517">
        <f t="shared" si="45"/>
        <v>60848.048907575714</v>
      </c>
      <c r="O71" s="517">
        <f t="shared" si="45"/>
        <v>60848.048907575714</v>
      </c>
      <c r="P71" s="511">
        <f t="shared" si="16"/>
        <v>-6.9973029894754291E-6</v>
      </c>
      <c r="Q71" s="497">
        <v>68345</v>
      </c>
      <c r="R71" s="480"/>
      <c r="S71" s="479"/>
      <c r="U71" s="513"/>
    </row>
    <row r="72" spans="1:21" s="492" customFormat="1" ht="27" x14ac:dyDescent="0.15">
      <c r="A72" s="579"/>
      <c r="B72" s="528" t="s">
        <v>407</v>
      </c>
      <c r="C72" s="517">
        <f>FCISAN!I17</f>
        <v>111050.81286933454</v>
      </c>
      <c r="D72" s="517">
        <f t="shared" ref="D72:O72" si="46">$C72*D$24%</f>
        <v>9254.2344057408627</v>
      </c>
      <c r="E72" s="517">
        <f t="shared" si="46"/>
        <v>9254.2344057408627</v>
      </c>
      <c r="F72" s="517">
        <f t="shared" si="46"/>
        <v>9254.2344057408627</v>
      </c>
      <c r="G72" s="517">
        <f t="shared" si="46"/>
        <v>9254.2344057408627</v>
      </c>
      <c r="H72" s="517">
        <f t="shared" si="46"/>
        <v>9254.2344057408627</v>
      </c>
      <c r="I72" s="517">
        <f t="shared" si="46"/>
        <v>9254.2344057408627</v>
      </c>
      <c r="J72" s="517">
        <f t="shared" si="46"/>
        <v>9254.2344057408627</v>
      </c>
      <c r="K72" s="517">
        <f t="shared" si="46"/>
        <v>9254.2344057408627</v>
      </c>
      <c r="L72" s="517">
        <f t="shared" si="46"/>
        <v>9254.2344057408627</v>
      </c>
      <c r="M72" s="517">
        <f t="shared" si="46"/>
        <v>9254.2344057408627</v>
      </c>
      <c r="N72" s="517">
        <f t="shared" si="46"/>
        <v>9254.2344057408627</v>
      </c>
      <c r="O72" s="517">
        <f t="shared" si="46"/>
        <v>9254.2344057408627</v>
      </c>
      <c r="P72" s="511">
        <f t="shared" si="16"/>
        <v>4.4418266043066978E-7</v>
      </c>
      <c r="Q72" s="497">
        <v>8132</v>
      </c>
      <c r="R72" s="480"/>
      <c r="S72" s="479"/>
      <c r="U72" s="513"/>
    </row>
    <row r="73" spans="1:21" s="492" customFormat="1" ht="27" x14ac:dyDescent="0.15">
      <c r="A73" s="579"/>
      <c r="B73" s="528" t="s">
        <v>242</v>
      </c>
      <c r="C73" s="517">
        <f>ISAN!I17</f>
        <v>554711.83381515392</v>
      </c>
      <c r="D73" s="517">
        <f t="shared" ref="D73:O73" si="47">$C73*D$25%</f>
        <v>53381.920904840546</v>
      </c>
      <c r="E73" s="517">
        <f t="shared" si="47"/>
        <v>59622.031223114689</v>
      </c>
      <c r="F73" s="517">
        <f t="shared" si="47"/>
        <v>46271.960396055729</v>
      </c>
      <c r="G73" s="517">
        <f t="shared" si="47"/>
        <v>42945.152233726571</v>
      </c>
      <c r="H73" s="517">
        <f t="shared" si="47"/>
        <v>45917.862369039489</v>
      </c>
      <c r="I73" s="517">
        <f t="shared" si="47"/>
        <v>39881.060637113413</v>
      </c>
      <c r="J73" s="517">
        <f t="shared" si="47"/>
        <v>43205.014485879437</v>
      </c>
      <c r="K73" s="517">
        <f t="shared" si="47"/>
        <v>44555.726866184967</v>
      </c>
      <c r="L73" s="517">
        <f t="shared" si="47"/>
        <v>43781.851083838374</v>
      </c>
      <c r="M73" s="517">
        <f t="shared" si="47"/>
        <v>44855.568287436086</v>
      </c>
      <c r="N73" s="517">
        <f t="shared" si="47"/>
        <v>43430.608544155519</v>
      </c>
      <c r="O73" s="517">
        <f t="shared" si="47"/>
        <v>46863.076777112576</v>
      </c>
      <c r="P73" s="511">
        <f t="shared" si="16"/>
        <v>6.6564607550390065E-6</v>
      </c>
      <c r="Q73" s="497">
        <v>34923</v>
      </c>
      <c r="R73" s="480"/>
      <c r="S73" s="479"/>
      <c r="U73" s="513"/>
    </row>
    <row r="74" spans="1:21" s="492" customFormat="1" ht="18" x14ac:dyDescent="0.15">
      <c r="A74" s="579"/>
      <c r="B74" s="528" t="s">
        <v>403</v>
      </c>
      <c r="C74" s="517">
        <f>LOT!I17</f>
        <v>26851.93297867501</v>
      </c>
      <c r="D74" s="517">
        <f t="shared" ref="D74:O74" si="48">$C74*D$26%</f>
        <v>2030.2850963889859</v>
      </c>
      <c r="E74" s="517">
        <f t="shared" si="48"/>
        <v>2001.5071564783696</v>
      </c>
      <c r="F74" s="517">
        <f t="shared" si="48"/>
        <v>1967.2358552347378</v>
      </c>
      <c r="G74" s="517">
        <f t="shared" si="48"/>
        <v>2164.3987182642745</v>
      </c>
      <c r="H74" s="517">
        <f t="shared" si="48"/>
        <v>1770.8721135714109</v>
      </c>
      <c r="I74" s="517">
        <f t="shared" si="48"/>
        <v>2403.1637444951839</v>
      </c>
      <c r="J74" s="517">
        <f t="shared" si="48"/>
        <v>5515.2582096843389</v>
      </c>
      <c r="K74" s="517">
        <f t="shared" si="48"/>
        <v>2007.7517876098741</v>
      </c>
      <c r="L74" s="517">
        <f t="shared" si="48"/>
        <v>2436.1574085611414</v>
      </c>
      <c r="M74" s="517">
        <f t="shared" si="48"/>
        <v>1508.3152820054333</v>
      </c>
      <c r="N74" s="517">
        <f t="shared" si="48"/>
        <v>1523.4938030295186</v>
      </c>
      <c r="O74" s="517">
        <f t="shared" si="48"/>
        <v>1523.4938030295186</v>
      </c>
      <c r="P74" s="511">
        <f t="shared" si="16"/>
        <v>3.2221942092292011E-7</v>
      </c>
      <c r="Q74" s="497">
        <v>1706</v>
      </c>
      <c r="R74" s="480"/>
      <c r="S74" s="479"/>
      <c r="U74" s="513"/>
    </row>
    <row r="75" spans="1:21" s="492" customFormat="1" ht="39.75" customHeight="1" x14ac:dyDescent="0.15">
      <c r="A75" s="579"/>
      <c r="B75" s="518" t="s">
        <v>301</v>
      </c>
      <c r="C75" s="517">
        <f>'ENAJENAC DE INMUE'!I17</f>
        <v>105584.98776852223</v>
      </c>
      <c r="D75" s="517">
        <f t="shared" ref="D75:O75" si="49">$C75*D$27%</f>
        <v>4559.7634695333491</v>
      </c>
      <c r="E75" s="517">
        <f t="shared" si="49"/>
        <v>4626.9242169946274</v>
      </c>
      <c r="F75" s="517">
        <f t="shared" si="49"/>
        <v>4564.5470905301618</v>
      </c>
      <c r="G75" s="517">
        <f t="shared" si="49"/>
        <v>4537.809245110614</v>
      </c>
      <c r="H75" s="517">
        <f t="shared" si="49"/>
        <v>6294.8080347788655</v>
      </c>
      <c r="I75" s="517">
        <f t="shared" si="49"/>
        <v>4530.8617529154453</v>
      </c>
      <c r="J75" s="517">
        <f t="shared" si="49"/>
        <v>5207.2242784943655</v>
      </c>
      <c r="K75" s="517">
        <f t="shared" si="49"/>
        <v>5201.864287632282</v>
      </c>
      <c r="L75" s="517">
        <f t="shared" si="49"/>
        <v>5195.2745421881455</v>
      </c>
      <c r="M75" s="517">
        <f t="shared" si="49"/>
        <v>4537.0664236796756</v>
      </c>
      <c r="N75" s="517">
        <f t="shared" si="49"/>
        <v>18863.453683558386</v>
      </c>
      <c r="O75" s="517">
        <f t="shared" si="49"/>
        <v>37465.390742895142</v>
      </c>
      <c r="P75" s="511">
        <f t="shared" si="16"/>
        <v>2.1116284187883139E-7</v>
      </c>
      <c r="Q75" s="497">
        <v>24893</v>
      </c>
      <c r="R75" s="480"/>
      <c r="S75" s="479"/>
      <c r="U75" s="513"/>
    </row>
    <row r="76" spans="1:21" s="492" customFormat="1" ht="27" x14ac:dyDescent="0.15">
      <c r="A76" s="579"/>
      <c r="B76" s="518" t="s">
        <v>248</v>
      </c>
      <c r="C76" s="517">
        <f>'IMP BEBIDAS AL'!I17</f>
        <v>41268.192799958793</v>
      </c>
      <c r="D76" s="517">
        <f t="shared" ref="D76:O76" si="50">$C76*D$28%</f>
        <v>9383.9989324265225</v>
      </c>
      <c r="E76" s="517">
        <f t="shared" si="50"/>
        <v>3227.7548517543582</v>
      </c>
      <c r="F76" s="517">
        <f t="shared" si="50"/>
        <v>3468.7166568744906</v>
      </c>
      <c r="G76" s="517">
        <f t="shared" si="50"/>
        <v>3443.8158948632299</v>
      </c>
      <c r="H76" s="517">
        <f t="shared" si="50"/>
        <v>2193.0385571169804</v>
      </c>
      <c r="I76" s="517">
        <f t="shared" si="50"/>
        <v>3588.9111266070017</v>
      </c>
      <c r="J76" s="517">
        <f t="shared" si="50"/>
        <v>3568.7096767902913</v>
      </c>
      <c r="K76" s="517">
        <f t="shared" si="50"/>
        <v>3263.8453880262327</v>
      </c>
      <c r="L76" s="517">
        <f t="shared" si="50"/>
        <v>2367.0325183067448</v>
      </c>
      <c r="M76" s="517">
        <f t="shared" si="50"/>
        <v>2200.3664006419644</v>
      </c>
      <c r="N76" s="517">
        <f t="shared" si="50"/>
        <v>2215.9199299060087</v>
      </c>
      <c r="O76" s="517">
        <f t="shared" si="50"/>
        <v>2346.0828666449706</v>
      </c>
      <c r="P76" s="511">
        <f t="shared" si="16"/>
        <v>0</v>
      </c>
      <c r="Q76" s="497">
        <v>1064</v>
      </c>
      <c r="R76" s="480"/>
      <c r="S76" s="479"/>
      <c r="U76" s="513"/>
    </row>
    <row r="77" spans="1:21" s="492" customFormat="1" ht="24.75" customHeight="1" x14ac:dyDescent="0.15">
      <c r="A77" s="579"/>
      <c r="B77" s="518" t="s">
        <v>253</v>
      </c>
      <c r="C77" s="517">
        <f>'FOND GASO Y D'!Q18</f>
        <v>0</v>
      </c>
      <c r="D77" s="517">
        <f t="shared" ref="D77:O77" si="51">$C77*D$29%</f>
        <v>0</v>
      </c>
      <c r="E77" s="517">
        <f t="shared" si="51"/>
        <v>0</v>
      </c>
      <c r="F77" s="517">
        <f t="shared" si="51"/>
        <v>0</v>
      </c>
      <c r="G77" s="517">
        <f t="shared" si="51"/>
        <v>0</v>
      </c>
      <c r="H77" s="517">
        <f t="shared" si="51"/>
        <v>0</v>
      </c>
      <c r="I77" s="517">
        <f t="shared" si="51"/>
        <v>0</v>
      </c>
      <c r="J77" s="517">
        <f t="shared" si="51"/>
        <v>0</v>
      </c>
      <c r="K77" s="517">
        <f t="shared" si="51"/>
        <v>0</v>
      </c>
      <c r="L77" s="517">
        <f t="shared" si="51"/>
        <v>0</v>
      </c>
      <c r="M77" s="517">
        <f t="shared" si="51"/>
        <v>0</v>
      </c>
      <c r="N77" s="517">
        <f t="shared" si="51"/>
        <v>0</v>
      </c>
      <c r="O77" s="517">
        <f t="shared" si="51"/>
        <v>0</v>
      </c>
      <c r="P77" s="511">
        <f t="shared" si="16"/>
        <v>0</v>
      </c>
      <c r="Q77" s="497">
        <v>41725</v>
      </c>
      <c r="R77" s="480"/>
      <c r="S77" s="479"/>
      <c r="U77" s="513"/>
    </row>
    <row r="78" spans="1:21" s="492" customFormat="1" ht="18" x14ac:dyDescent="0.15">
      <c r="A78" s="579"/>
      <c r="B78" s="528" t="s">
        <v>408</v>
      </c>
      <c r="C78" s="519">
        <f>'FOND GASO Y D'!H18</f>
        <v>1351404.2464948508</v>
      </c>
      <c r="D78" s="517">
        <f t="shared" ref="D78:O78" si="52">$C78*D$30%</f>
        <v>105126.82099891077</v>
      </c>
      <c r="E78" s="517">
        <f t="shared" si="52"/>
        <v>115584.54711128997</v>
      </c>
      <c r="F78" s="517">
        <f t="shared" si="52"/>
        <v>112533.48241157224</v>
      </c>
      <c r="G78" s="517">
        <f t="shared" si="52"/>
        <v>104857.76039467055</v>
      </c>
      <c r="H78" s="517">
        <f t="shared" si="52"/>
        <v>115538.2641227063</v>
      </c>
      <c r="I78" s="517">
        <f t="shared" si="52"/>
        <v>111508.15357930548</v>
      </c>
      <c r="J78" s="517">
        <f t="shared" si="52"/>
        <v>113832.94374119214</v>
      </c>
      <c r="K78" s="517">
        <f t="shared" si="52"/>
        <v>113765.30076655994</v>
      </c>
      <c r="L78" s="517">
        <f t="shared" si="52"/>
        <v>118386.3986917235</v>
      </c>
      <c r="M78" s="517">
        <f t="shared" si="52"/>
        <v>117346.82986965867</v>
      </c>
      <c r="N78" s="517">
        <f t="shared" si="52"/>
        <v>109671.10785275699</v>
      </c>
      <c r="O78" s="517">
        <f t="shared" si="52"/>
        <v>113252.63695585568</v>
      </c>
      <c r="P78" s="511">
        <f t="shared" si="16"/>
        <v>-1.3515091268345714E-6</v>
      </c>
      <c r="Q78" s="497">
        <v>82589</v>
      </c>
      <c r="R78" s="480"/>
      <c r="S78" s="479"/>
      <c r="U78" s="513"/>
    </row>
    <row r="79" spans="1:21" s="492" customFormat="1" x14ac:dyDescent="0.15">
      <c r="A79" s="579"/>
      <c r="B79" s="520"/>
      <c r="C79" s="521"/>
      <c r="D79" s="522"/>
      <c r="E79" s="522"/>
      <c r="F79" s="522"/>
      <c r="G79" s="522"/>
      <c r="H79" s="522"/>
      <c r="I79" s="522"/>
      <c r="J79" s="522"/>
      <c r="K79" s="522"/>
      <c r="L79" s="522"/>
      <c r="M79" s="522"/>
      <c r="N79" s="522"/>
      <c r="O79" s="522"/>
      <c r="P79" s="511">
        <f t="shared" si="16"/>
        <v>0</v>
      </c>
      <c r="Q79" s="497">
        <v>0</v>
      </c>
      <c r="R79" s="480"/>
      <c r="S79" s="479"/>
      <c r="U79" s="513"/>
    </row>
    <row r="80" spans="1:21" s="492" customFormat="1" x14ac:dyDescent="0.15">
      <c r="A80" s="588"/>
      <c r="B80" s="523"/>
      <c r="C80" s="521"/>
      <c r="D80" s="522"/>
      <c r="E80" s="522"/>
      <c r="F80" s="522"/>
      <c r="G80" s="522"/>
      <c r="H80" s="522"/>
      <c r="I80" s="522"/>
      <c r="J80" s="522"/>
      <c r="K80" s="522"/>
      <c r="L80" s="522"/>
      <c r="M80" s="522"/>
      <c r="N80" s="522"/>
      <c r="O80" s="522"/>
      <c r="P80" s="511">
        <f t="shared" si="16"/>
        <v>0</v>
      </c>
      <c r="Q80" s="497">
        <v>0</v>
      </c>
      <c r="R80" s="480"/>
      <c r="S80" s="479"/>
      <c r="U80" s="513"/>
    </row>
    <row r="81" spans="1:21" s="492" customFormat="1" x14ac:dyDescent="0.15">
      <c r="A81" s="584">
        <v>4</v>
      </c>
      <c r="B81" s="509" t="s">
        <v>52</v>
      </c>
      <c r="C81" s="524">
        <f t="shared" ref="C81:O81" si="53">SUM(C82:C93)</f>
        <v>36828971.186989658</v>
      </c>
      <c r="D81" s="524">
        <f t="shared" si="53"/>
        <v>2870376.6635334371</v>
      </c>
      <c r="E81" s="524">
        <f t="shared" si="53"/>
        <v>3898965.0029581594</v>
      </c>
      <c r="F81" s="524">
        <f t="shared" si="53"/>
        <v>2554403.7422851585</v>
      </c>
      <c r="G81" s="524">
        <f t="shared" si="53"/>
        <v>3274280.5924576884</v>
      </c>
      <c r="H81" s="524">
        <f t="shared" si="53"/>
        <v>3724097.8141081389</v>
      </c>
      <c r="I81" s="524">
        <f t="shared" si="53"/>
        <v>3649885.7246759995</v>
      </c>
      <c r="J81" s="524">
        <f t="shared" si="53"/>
        <v>3144866.3671613163</v>
      </c>
      <c r="K81" s="524">
        <f t="shared" si="53"/>
        <v>3055744.4908766374</v>
      </c>
      <c r="L81" s="524">
        <f t="shared" si="53"/>
        <v>2888931.1369478237</v>
      </c>
      <c r="M81" s="524">
        <f t="shared" si="53"/>
        <v>2128881.4096580748</v>
      </c>
      <c r="N81" s="524">
        <f t="shared" si="53"/>
        <v>2802138.180185901</v>
      </c>
      <c r="O81" s="524">
        <f t="shared" si="53"/>
        <v>2836400.0620307019</v>
      </c>
      <c r="P81" s="511">
        <f t="shared" si="16"/>
        <v>1.1062156409025192E-4</v>
      </c>
      <c r="Q81" s="497">
        <v>2283976</v>
      </c>
      <c r="R81" s="480"/>
      <c r="S81" s="479"/>
      <c r="T81" s="512"/>
      <c r="U81" s="513"/>
    </row>
    <row r="82" spans="1:21" s="492" customFormat="1" x14ac:dyDescent="0.15">
      <c r="A82" s="579"/>
      <c r="B82" s="525" t="s">
        <v>294</v>
      </c>
      <c r="C82" s="526">
        <f>'FG1'!I19</f>
        <v>26181580.631452154</v>
      </c>
      <c r="D82" s="526">
        <f t="shared" ref="D82:O82" si="54">$C82*D$19%</f>
        <v>1980235.9595911209</v>
      </c>
      <c r="E82" s="526">
        <f t="shared" si="54"/>
        <v>2837182.4928964265</v>
      </c>
      <c r="F82" s="526">
        <f t="shared" si="54"/>
        <v>1833942.7263987393</v>
      </c>
      <c r="G82" s="526">
        <f t="shared" si="54"/>
        <v>2252812.8244256419</v>
      </c>
      <c r="H82" s="526">
        <f t="shared" si="54"/>
        <v>2751176.7045709905</v>
      </c>
      <c r="I82" s="526">
        <f t="shared" si="54"/>
        <v>2697124.1587263695</v>
      </c>
      <c r="J82" s="526">
        <f t="shared" si="54"/>
        <v>2090820.3420042044</v>
      </c>
      <c r="K82" s="526">
        <f t="shared" si="54"/>
        <v>2219896.5695013278</v>
      </c>
      <c r="L82" s="526">
        <f t="shared" si="54"/>
        <v>2086152.1683245064</v>
      </c>
      <c r="M82" s="526">
        <f t="shared" si="54"/>
        <v>1382958.5635683748</v>
      </c>
      <c r="N82" s="526">
        <f t="shared" si="54"/>
        <v>2018357.5332996971</v>
      </c>
      <c r="O82" s="526">
        <f t="shared" si="54"/>
        <v>2030920.5881185748</v>
      </c>
      <c r="P82" s="511">
        <f t="shared" si="16"/>
        <v>2.6181573048233986E-5</v>
      </c>
      <c r="Q82" s="530">
        <v>1566893</v>
      </c>
      <c r="R82" s="480"/>
      <c r="S82" s="479"/>
      <c r="U82" s="513"/>
    </row>
    <row r="83" spans="1:21" s="492" customFormat="1" x14ac:dyDescent="0.15">
      <c r="A83" s="579"/>
      <c r="B83" s="525" t="s">
        <v>296</v>
      </c>
      <c r="C83" s="526">
        <f>FFM!J19</f>
        <v>7037501.4141311273</v>
      </c>
      <c r="D83" s="526">
        <f t="shared" ref="D83:O83" si="55">$C83*D$20%</f>
        <v>532197.95426878612</v>
      </c>
      <c r="E83" s="526">
        <f t="shared" si="55"/>
        <v>762992.2392932761</v>
      </c>
      <c r="F83" s="526">
        <f t="shared" si="55"/>
        <v>492798.01646525029</v>
      </c>
      <c r="G83" s="526">
        <f t="shared" si="55"/>
        <v>605608.81688234</v>
      </c>
      <c r="H83" s="526">
        <f t="shared" si="55"/>
        <v>739829.01733614446</v>
      </c>
      <c r="I83" s="526">
        <f t="shared" si="55"/>
        <v>725271.49242481077</v>
      </c>
      <c r="J83" s="526">
        <f t="shared" si="55"/>
        <v>561931.45573250181</v>
      </c>
      <c r="K83" s="526">
        <f t="shared" si="55"/>
        <v>596694.48311822407</v>
      </c>
      <c r="L83" s="526">
        <f t="shared" si="55"/>
        <v>560674.21232601861</v>
      </c>
      <c r="M83" s="526">
        <f t="shared" si="55"/>
        <v>371288.92471724417</v>
      </c>
      <c r="N83" s="526">
        <f t="shared" si="55"/>
        <v>542415.64858728985</v>
      </c>
      <c r="O83" s="526">
        <f t="shared" si="55"/>
        <v>545799.15289479122</v>
      </c>
      <c r="P83" s="511">
        <f t="shared" si="16"/>
        <v>8.4448955021798611E-5</v>
      </c>
      <c r="Q83" s="530">
        <v>479732</v>
      </c>
      <c r="R83" s="480"/>
      <c r="S83" s="479"/>
      <c r="U83" s="513"/>
    </row>
    <row r="84" spans="1:21" s="492" customFormat="1" ht="18" x14ac:dyDescent="0.15">
      <c r="A84" s="579"/>
      <c r="B84" s="525" t="s">
        <v>297</v>
      </c>
      <c r="C84" s="526">
        <f>IEPS!I18</f>
        <v>633175.36202983488</v>
      </c>
      <c r="D84" s="526">
        <f t="shared" ref="D84:O84" si="56">$C84*D$21%</f>
        <v>44474.124043730815</v>
      </c>
      <c r="E84" s="526">
        <f t="shared" si="56"/>
        <v>101654.80232553693</v>
      </c>
      <c r="F84" s="526">
        <f t="shared" si="56"/>
        <v>42223.319801573969</v>
      </c>
      <c r="G84" s="526">
        <f t="shared" si="56"/>
        <v>41035.154243016805</v>
      </c>
      <c r="H84" s="526">
        <f t="shared" si="56"/>
        <v>45305.067736020494</v>
      </c>
      <c r="I84" s="526">
        <f t="shared" si="56"/>
        <v>46982.257848379697</v>
      </c>
      <c r="J84" s="526">
        <f t="shared" si="56"/>
        <v>48383.040493438202</v>
      </c>
      <c r="K84" s="526">
        <f t="shared" si="56"/>
        <v>53594.244191480117</v>
      </c>
      <c r="L84" s="526">
        <f t="shared" si="56"/>
        <v>53706.548505875551</v>
      </c>
      <c r="M84" s="526">
        <f t="shared" si="56"/>
        <v>53109.640298364771</v>
      </c>
      <c r="N84" s="526">
        <f t="shared" si="56"/>
        <v>51392.559126383458</v>
      </c>
      <c r="O84" s="526">
        <f t="shared" si="56"/>
        <v>51314.603415400859</v>
      </c>
      <c r="P84" s="511">
        <f t="shared" si="16"/>
        <v>6.3327024690806866E-7</v>
      </c>
      <c r="Q84" s="530">
        <v>40466</v>
      </c>
      <c r="R84" s="480"/>
      <c r="S84" s="479"/>
      <c r="U84" s="513"/>
    </row>
    <row r="85" spans="1:21" s="492" customFormat="1" x14ac:dyDescent="0.15">
      <c r="A85" s="579"/>
      <c r="B85" s="527" t="s">
        <v>236</v>
      </c>
      <c r="C85" s="515">
        <f>ISR!C9</f>
        <v>78614.75</v>
      </c>
      <c r="D85" s="515">
        <f>ISR!D9</f>
        <v>6551.2291666666642</v>
      </c>
      <c r="E85" s="515">
        <f>ISR!E9</f>
        <v>6551.2291666666642</v>
      </c>
      <c r="F85" s="515">
        <f>ISR!F9</f>
        <v>6551.2291666666642</v>
      </c>
      <c r="G85" s="515">
        <f>ISR!G9</f>
        <v>6551.2291666666642</v>
      </c>
      <c r="H85" s="515">
        <f>ISR!H9</f>
        <v>6551.2291666666642</v>
      </c>
      <c r="I85" s="515">
        <f>ISR!I9</f>
        <v>6551.2291666666642</v>
      </c>
      <c r="J85" s="515">
        <f>ISR!J9</f>
        <v>6551.2291666666642</v>
      </c>
      <c r="K85" s="515">
        <f>ISR!K9</f>
        <v>6551.2291666666642</v>
      </c>
      <c r="L85" s="515">
        <f>ISR!L9</f>
        <v>6551.2291666666642</v>
      </c>
      <c r="M85" s="515">
        <f>ISR!M9</f>
        <v>6551.2291666666642</v>
      </c>
      <c r="N85" s="515">
        <f>ISR!N9</f>
        <v>6551.2291666666642</v>
      </c>
      <c r="O85" s="515">
        <f>ISR!O9</f>
        <v>6551.2291666666642</v>
      </c>
      <c r="P85" s="511">
        <f t="shared" si="16"/>
        <v>3.637978807091713E-11</v>
      </c>
      <c r="Q85" s="530">
        <v>0</v>
      </c>
      <c r="R85" s="480"/>
      <c r="S85" s="479"/>
      <c r="U85" s="513"/>
    </row>
    <row r="86" spans="1:21" s="492" customFormat="1" ht="18" x14ac:dyDescent="0.15">
      <c r="A86" s="579"/>
      <c r="B86" s="528" t="s">
        <v>298</v>
      </c>
      <c r="C86" s="517">
        <f>FOFIR!I18</f>
        <v>1224558.033885208</v>
      </c>
      <c r="D86" s="517">
        <f t="shared" ref="D86:O86" si="57">$C86*D$23%</f>
        <v>167416.05847765855</v>
      </c>
      <c r="E86" s="517">
        <f t="shared" si="57"/>
        <v>42594.12967659795</v>
      </c>
      <c r="F86" s="517">
        <f t="shared" si="57"/>
        <v>42594.12967659795</v>
      </c>
      <c r="G86" s="517">
        <f t="shared" si="57"/>
        <v>240372.91763524592</v>
      </c>
      <c r="H86" s="517">
        <f t="shared" si="57"/>
        <v>42594.12967659795</v>
      </c>
      <c r="I86" s="517">
        <f t="shared" si="57"/>
        <v>42594.12967659795</v>
      </c>
      <c r="J86" s="517">
        <f t="shared" si="57"/>
        <v>298985.17782625969</v>
      </c>
      <c r="K86" s="517">
        <f t="shared" si="57"/>
        <v>42594.12967659795</v>
      </c>
      <c r="L86" s="517">
        <f t="shared" si="57"/>
        <v>42594.12967659795</v>
      </c>
      <c r="M86" s="517">
        <f t="shared" si="57"/>
        <v>177030.84253815844</v>
      </c>
      <c r="N86" s="517">
        <f t="shared" si="57"/>
        <v>42594.12967659795</v>
      </c>
      <c r="O86" s="517">
        <f t="shared" si="57"/>
        <v>42594.12967659795</v>
      </c>
      <c r="P86" s="511">
        <f t="shared" si="16"/>
        <v>-4.8980291467159986E-6</v>
      </c>
      <c r="Q86" s="530">
        <v>47667</v>
      </c>
      <c r="R86" s="480"/>
      <c r="S86" s="479"/>
      <c r="U86" s="513"/>
    </row>
    <row r="87" spans="1:21" s="492" customFormat="1" ht="27" x14ac:dyDescent="0.15">
      <c r="A87" s="579"/>
      <c r="B87" s="528" t="s">
        <v>407</v>
      </c>
      <c r="C87" s="517">
        <f>FCISAN!I18</f>
        <v>77736.473214330748</v>
      </c>
      <c r="D87" s="517">
        <f t="shared" ref="D87:O87" si="58">$C87*D$24%</f>
        <v>6478.0394345016512</v>
      </c>
      <c r="E87" s="517">
        <f t="shared" si="58"/>
        <v>6478.0394345016512</v>
      </c>
      <c r="F87" s="517">
        <f t="shared" si="58"/>
        <v>6478.0394345016512</v>
      </c>
      <c r="G87" s="517">
        <f t="shared" si="58"/>
        <v>6478.0394345016512</v>
      </c>
      <c r="H87" s="517">
        <f t="shared" si="58"/>
        <v>6478.0394345016512</v>
      </c>
      <c r="I87" s="517">
        <f t="shared" si="58"/>
        <v>6478.0394345016512</v>
      </c>
      <c r="J87" s="517">
        <f t="shared" si="58"/>
        <v>6478.0394345016512</v>
      </c>
      <c r="K87" s="517">
        <f t="shared" si="58"/>
        <v>6478.0394345016512</v>
      </c>
      <c r="L87" s="517">
        <f t="shared" si="58"/>
        <v>6478.0394345016512</v>
      </c>
      <c r="M87" s="517">
        <f t="shared" si="58"/>
        <v>6478.0394345016512</v>
      </c>
      <c r="N87" s="517">
        <f t="shared" si="58"/>
        <v>6478.0394345016512</v>
      </c>
      <c r="O87" s="517">
        <f t="shared" si="58"/>
        <v>6478.0394345016512</v>
      </c>
      <c r="P87" s="511">
        <f t="shared" si="16"/>
        <v>3.1092167773749679E-7</v>
      </c>
      <c r="Q87" s="530">
        <v>5674</v>
      </c>
      <c r="R87" s="480"/>
      <c r="S87" s="479"/>
      <c r="U87" s="513"/>
    </row>
    <row r="88" spans="1:21" s="492" customFormat="1" ht="27" x14ac:dyDescent="0.15">
      <c r="A88" s="579"/>
      <c r="B88" s="528" t="s">
        <v>242</v>
      </c>
      <c r="C88" s="517">
        <f>ISAN!I18</f>
        <v>388302.8002846028</v>
      </c>
      <c r="D88" s="517">
        <f t="shared" ref="D88:O88" si="59">$C88*D$25%</f>
        <v>37367.779283446922</v>
      </c>
      <c r="E88" s="517">
        <f t="shared" si="59"/>
        <v>41735.907314907177</v>
      </c>
      <c r="F88" s="517">
        <f t="shared" si="59"/>
        <v>32390.74903607335</v>
      </c>
      <c r="G88" s="517">
        <f t="shared" si="59"/>
        <v>30061.956234669811</v>
      </c>
      <c r="H88" s="517">
        <f t="shared" si="59"/>
        <v>32142.877533999941</v>
      </c>
      <c r="I88" s="517">
        <f t="shared" si="59"/>
        <v>27917.067168376914</v>
      </c>
      <c r="J88" s="517">
        <f t="shared" si="59"/>
        <v>30243.861927045662</v>
      </c>
      <c r="K88" s="517">
        <f t="shared" si="59"/>
        <v>31189.371591125571</v>
      </c>
      <c r="L88" s="517">
        <f t="shared" si="59"/>
        <v>30647.652242376731</v>
      </c>
      <c r="M88" s="517">
        <f t="shared" si="59"/>
        <v>31399.263027391422</v>
      </c>
      <c r="N88" s="517">
        <f t="shared" si="59"/>
        <v>30401.779604686843</v>
      </c>
      <c r="O88" s="517">
        <f t="shared" si="59"/>
        <v>32804.535315842819</v>
      </c>
      <c r="P88" s="511">
        <f t="shared" si="16"/>
        <v>4.659683327190578E-6</v>
      </c>
      <c r="Q88" s="530">
        <v>24357</v>
      </c>
      <c r="R88" s="480"/>
      <c r="S88" s="479"/>
      <c r="U88" s="513"/>
    </row>
    <row r="89" spans="1:21" s="492" customFormat="1" ht="18" x14ac:dyDescent="0.15">
      <c r="A89" s="579"/>
      <c r="B89" s="528" t="s">
        <v>403</v>
      </c>
      <c r="C89" s="517">
        <f>LOT!I18</f>
        <v>18796.571720783686</v>
      </c>
      <c r="D89" s="517">
        <f t="shared" ref="D89:O89" si="60">$C89*D$26%</f>
        <v>1421.2160986034492</v>
      </c>
      <c r="E89" s="517">
        <f t="shared" si="60"/>
        <v>1401.0713063482365</v>
      </c>
      <c r="F89" s="517">
        <f t="shared" si="60"/>
        <v>1377.0811164314771</v>
      </c>
      <c r="G89" s="517">
        <f t="shared" si="60"/>
        <v>1515.0967259055856</v>
      </c>
      <c r="H89" s="517">
        <f t="shared" si="60"/>
        <v>1239.6248984203783</v>
      </c>
      <c r="I89" s="517">
        <f t="shared" si="60"/>
        <v>1682.2341883567351</v>
      </c>
      <c r="J89" s="517">
        <f t="shared" si="60"/>
        <v>3860.7256535051924</v>
      </c>
      <c r="K89" s="517">
        <f t="shared" si="60"/>
        <v>1405.4425989857677</v>
      </c>
      <c r="L89" s="517">
        <f t="shared" si="60"/>
        <v>1705.3300218462546</v>
      </c>
      <c r="M89" s="517">
        <f t="shared" si="60"/>
        <v>1055.8329785153578</v>
      </c>
      <c r="N89" s="517">
        <f t="shared" si="60"/>
        <v>1066.4580668198466</v>
      </c>
      <c r="O89" s="517">
        <f t="shared" si="60"/>
        <v>1066.4580668198466</v>
      </c>
      <c r="P89" s="511">
        <f t="shared" si="16"/>
        <v>2.2555832401849329E-7</v>
      </c>
      <c r="Q89" s="530">
        <v>1189</v>
      </c>
      <c r="R89" s="480"/>
      <c r="S89" s="479"/>
      <c r="U89" s="513"/>
    </row>
    <row r="90" spans="1:21" s="492" customFormat="1" ht="45" x14ac:dyDescent="0.15">
      <c r="A90" s="579"/>
      <c r="B90" s="518" t="s">
        <v>301</v>
      </c>
      <c r="C90" s="517">
        <f>'ENAJENAC DE INMUE'!I18</f>
        <v>73910.351139533755</v>
      </c>
      <c r="D90" s="517">
        <f t="shared" ref="D90:O90" si="61">$C90*D$27%</f>
        <v>3191.8715555025292</v>
      </c>
      <c r="E90" s="517">
        <f t="shared" si="61"/>
        <v>3238.8846255664203</v>
      </c>
      <c r="F90" s="517">
        <f t="shared" si="61"/>
        <v>3195.2201291498359</v>
      </c>
      <c r="G90" s="517">
        <f t="shared" si="61"/>
        <v>3176.503419649373</v>
      </c>
      <c r="H90" s="517">
        <f t="shared" si="61"/>
        <v>4406.4168783771793</v>
      </c>
      <c r="I90" s="517">
        <f t="shared" si="61"/>
        <v>3171.6401185443915</v>
      </c>
      <c r="J90" s="517">
        <f t="shared" si="61"/>
        <v>3645.0993935765123</v>
      </c>
      <c r="K90" s="517">
        <f t="shared" si="61"/>
        <v>3641.3473563305565</v>
      </c>
      <c r="L90" s="517">
        <f t="shared" si="61"/>
        <v>3636.7344808641692</v>
      </c>
      <c r="M90" s="517">
        <f t="shared" si="61"/>
        <v>3175.9834385994627</v>
      </c>
      <c r="N90" s="517">
        <f t="shared" si="61"/>
        <v>13204.571169839945</v>
      </c>
      <c r="O90" s="517">
        <f t="shared" si="61"/>
        <v>26226.078573385559</v>
      </c>
      <c r="P90" s="511">
        <f t="shared" si="16"/>
        <v>1.478110789321363E-7</v>
      </c>
      <c r="Q90" s="530">
        <v>17361</v>
      </c>
      <c r="R90" s="480"/>
      <c r="S90" s="479"/>
      <c r="U90" s="513"/>
    </row>
    <row r="91" spans="1:21" s="492" customFormat="1" ht="27" x14ac:dyDescent="0.15">
      <c r="A91" s="579"/>
      <c r="B91" s="518" t="s">
        <v>248</v>
      </c>
      <c r="C91" s="517">
        <f>'IMP BEBIDAS AL'!I18</f>
        <v>28888.070976774456</v>
      </c>
      <c r="D91" s="517">
        <f t="shared" ref="D91:O91" si="62">$C91*D$28%</f>
        <v>6568.8756597595366</v>
      </c>
      <c r="E91" s="517">
        <f t="shared" si="62"/>
        <v>2259.4546774822938</v>
      </c>
      <c r="F91" s="517">
        <f t="shared" si="62"/>
        <v>2428.1299030426685</v>
      </c>
      <c r="G91" s="517">
        <f t="shared" si="62"/>
        <v>2410.6991668860373</v>
      </c>
      <c r="H91" s="517">
        <f t="shared" si="62"/>
        <v>1535.1448462958047</v>
      </c>
      <c r="I91" s="517">
        <f t="shared" si="62"/>
        <v>2512.2670105113534</v>
      </c>
      <c r="J91" s="517">
        <f t="shared" si="62"/>
        <v>2498.12583115398</v>
      </c>
      <c r="K91" s="517">
        <f t="shared" si="62"/>
        <v>2284.7183467315276</v>
      </c>
      <c r="L91" s="517">
        <f t="shared" si="62"/>
        <v>1656.9420358345978</v>
      </c>
      <c r="M91" s="517">
        <f t="shared" si="62"/>
        <v>1540.2743964285803</v>
      </c>
      <c r="N91" s="517">
        <f t="shared" si="62"/>
        <v>1551.1619935544591</v>
      </c>
      <c r="O91" s="517">
        <f t="shared" si="62"/>
        <v>1642.277109093618</v>
      </c>
      <c r="P91" s="511">
        <f t="shared" si="16"/>
        <v>-1.8189894035458565E-12</v>
      </c>
      <c r="Q91" s="530">
        <v>744</v>
      </c>
      <c r="R91" s="480"/>
      <c r="S91" s="479"/>
      <c r="U91" s="513"/>
    </row>
    <row r="92" spans="1:21" s="492" customFormat="1" ht="18" x14ac:dyDescent="0.15">
      <c r="A92" s="579"/>
      <c r="B92" s="518" t="s">
        <v>253</v>
      </c>
      <c r="C92" s="517">
        <f>'FOND GASO Y D'!Q19</f>
        <v>0</v>
      </c>
      <c r="D92" s="517">
        <f t="shared" ref="D92:O92" si="63">$C92*D$29%</f>
        <v>0</v>
      </c>
      <c r="E92" s="517">
        <f t="shared" si="63"/>
        <v>0</v>
      </c>
      <c r="F92" s="517">
        <f t="shared" si="63"/>
        <v>0</v>
      </c>
      <c r="G92" s="517">
        <f t="shared" si="63"/>
        <v>0</v>
      </c>
      <c r="H92" s="517">
        <f t="shared" si="63"/>
        <v>0</v>
      </c>
      <c r="I92" s="517">
        <f t="shared" si="63"/>
        <v>0</v>
      </c>
      <c r="J92" s="517">
        <f t="shared" si="63"/>
        <v>0</v>
      </c>
      <c r="K92" s="517">
        <f t="shared" si="63"/>
        <v>0</v>
      </c>
      <c r="L92" s="517">
        <f t="shared" si="63"/>
        <v>0</v>
      </c>
      <c r="M92" s="517">
        <f t="shared" si="63"/>
        <v>0</v>
      </c>
      <c r="N92" s="517">
        <f t="shared" si="63"/>
        <v>0</v>
      </c>
      <c r="O92" s="517">
        <f t="shared" si="63"/>
        <v>0</v>
      </c>
      <c r="P92" s="511">
        <f t="shared" si="16"/>
        <v>0</v>
      </c>
      <c r="Q92" s="530">
        <v>33528</v>
      </c>
      <c r="R92" s="480"/>
      <c r="S92" s="479"/>
      <c r="U92" s="513"/>
    </row>
    <row r="93" spans="1:21" s="492" customFormat="1" ht="18" x14ac:dyDescent="0.15">
      <c r="A93" s="579"/>
      <c r="B93" s="528" t="s">
        <v>408</v>
      </c>
      <c r="C93" s="519">
        <f>'FOND GASO Y D'!H19</f>
        <v>1085906.7281553131</v>
      </c>
      <c r="D93" s="517">
        <f t="shared" ref="D93:O93" si="64">$C93*D$30%</f>
        <v>84473.555953659961</v>
      </c>
      <c r="E93" s="517">
        <f t="shared" si="64"/>
        <v>92876.752240849761</v>
      </c>
      <c r="F93" s="517">
        <f t="shared" si="64"/>
        <v>90425.101157131445</v>
      </c>
      <c r="G93" s="517">
        <f t="shared" si="64"/>
        <v>84257.355123165442</v>
      </c>
      <c r="H93" s="517">
        <f t="shared" si="64"/>
        <v>92839.562030124507</v>
      </c>
      <c r="I93" s="517">
        <f t="shared" si="64"/>
        <v>89601.208912884045</v>
      </c>
      <c r="J93" s="517">
        <f t="shared" si="64"/>
        <v>91469.269698463075</v>
      </c>
      <c r="K93" s="517">
        <f t="shared" si="64"/>
        <v>91414.915894665246</v>
      </c>
      <c r="L93" s="517">
        <f t="shared" si="64"/>
        <v>95128.150732734677</v>
      </c>
      <c r="M93" s="517">
        <f t="shared" si="64"/>
        <v>94292.816093829504</v>
      </c>
      <c r="N93" s="517">
        <f t="shared" si="64"/>
        <v>88125.07005986353</v>
      </c>
      <c r="O93" s="517">
        <f t="shared" si="64"/>
        <v>91002.970259027759</v>
      </c>
      <c r="P93" s="511">
        <f t="shared" si="16"/>
        <v>-1.0858639143407345E-6</v>
      </c>
      <c r="Q93" s="530">
        <v>66365</v>
      </c>
      <c r="R93" s="480"/>
      <c r="S93" s="479"/>
      <c r="U93" s="513"/>
    </row>
    <row r="94" spans="1:21" s="492" customFormat="1" x14ac:dyDescent="0.15">
      <c r="A94" s="579"/>
      <c r="B94" s="520"/>
      <c r="C94" s="521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22"/>
      <c r="O94" s="522"/>
      <c r="P94" s="511">
        <f t="shared" si="16"/>
        <v>0</v>
      </c>
      <c r="Q94" s="530">
        <v>0</v>
      </c>
      <c r="R94" s="480"/>
      <c r="S94" s="479"/>
      <c r="U94" s="513"/>
    </row>
    <row r="95" spans="1:21" s="492" customFormat="1" x14ac:dyDescent="0.15">
      <c r="A95" s="590"/>
      <c r="B95" s="522"/>
      <c r="C95" s="522"/>
      <c r="D95" s="522"/>
      <c r="E95" s="522"/>
      <c r="F95" s="522"/>
      <c r="G95" s="522"/>
      <c r="H95" s="522"/>
      <c r="I95" s="522"/>
      <c r="J95" s="522"/>
      <c r="K95" s="522"/>
      <c r="L95" s="522"/>
      <c r="M95" s="522"/>
      <c r="N95" s="522"/>
      <c r="O95" s="522"/>
      <c r="P95" s="511">
        <f t="shared" si="16"/>
        <v>0</v>
      </c>
      <c r="Q95" s="530">
        <v>0</v>
      </c>
      <c r="R95" s="480"/>
      <c r="S95" s="479"/>
      <c r="U95" s="513"/>
    </row>
    <row r="96" spans="1:21" s="492" customFormat="1" x14ac:dyDescent="0.15">
      <c r="A96" s="584">
        <v>5</v>
      </c>
      <c r="B96" s="509" t="s">
        <v>54</v>
      </c>
      <c r="C96" s="524">
        <f t="shared" ref="C96:O96" si="65">SUM(C97:C108)</f>
        <v>33827787.235052101</v>
      </c>
      <c r="D96" s="524">
        <f t="shared" si="65"/>
        <v>2638828.9806545018</v>
      </c>
      <c r="E96" s="524">
        <f t="shared" si="65"/>
        <v>3549826.8787694308</v>
      </c>
      <c r="F96" s="524">
        <f t="shared" si="65"/>
        <v>2358664.4979646998</v>
      </c>
      <c r="G96" s="524">
        <f t="shared" si="65"/>
        <v>3000025.02946271</v>
      </c>
      <c r="H96" s="524">
        <f t="shared" si="65"/>
        <v>3397284.5782028609</v>
      </c>
      <c r="I96" s="524">
        <f t="shared" si="65"/>
        <v>3334581.4127380378</v>
      </c>
      <c r="J96" s="524">
        <f t="shared" si="65"/>
        <v>2893861.6923394576</v>
      </c>
      <c r="K96" s="524">
        <f t="shared" si="65"/>
        <v>2808617.7494930658</v>
      </c>
      <c r="L96" s="524">
        <f t="shared" si="65"/>
        <v>2659135.5013582776</v>
      </c>
      <c r="M96" s="524">
        <f t="shared" si="65"/>
        <v>1986922.5172609468</v>
      </c>
      <c r="N96" s="524">
        <f t="shared" si="65"/>
        <v>2583539.4292342542</v>
      </c>
      <c r="O96" s="524">
        <f t="shared" si="65"/>
        <v>2616498.9674758669</v>
      </c>
      <c r="P96" s="511">
        <f t="shared" si="16"/>
        <v>9.7990967333316803E-5</v>
      </c>
      <c r="Q96" s="530">
        <v>2020326</v>
      </c>
      <c r="R96" s="480"/>
      <c r="S96" s="479"/>
      <c r="T96" s="512"/>
      <c r="U96" s="513"/>
    </row>
    <row r="97" spans="1:21" s="492" customFormat="1" x14ac:dyDescent="0.15">
      <c r="A97" s="579"/>
      <c r="B97" s="527" t="s">
        <v>294</v>
      </c>
      <c r="C97" s="515">
        <f>'FG1'!I20</f>
        <v>23189648.598080408</v>
      </c>
      <c r="D97" s="515">
        <f t="shared" ref="D97:O97" si="66">$C97*D$19%</f>
        <v>1753942.0820542588</v>
      </c>
      <c r="E97" s="515">
        <f t="shared" si="66"/>
        <v>2512960.0059308829</v>
      </c>
      <c r="F97" s="515">
        <f t="shared" si="66"/>
        <v>1624366.6863681427</v>
      </c>
      <c r="G97" s="515">
        <f t="shared" si="66"/>
        <v>1995369.8934785079</v>
      </c>
      <c r="H97" s="515">
        <f t="shared" si="66"/>
        <v>2436782.6338790287</v>
      </c>
      <c r="I97" s="515">
        <f t="shared" si="66"/>
        <v>2388907.0085830293</v>
      </c>
      <c r="J97" s="515">
        <f t="shared" si="66"/>
        <v>1851889.2994011939</v>
      </c>
      <c r="K97" s="515">
        <f t="shared" si="66"/>
        <v>1966215.1836997292</v>
      </c>
      <c r="L97" s="515">
        <f t="shared" si="66"/>
        <v>1847754.5869577075</v>
      </c>
      <c r="M97" s="515">
        <f t="shared" si="66"/>
        <v>1224919.288346186</v>
      </c>
      <c r="N97" s="515">
        <f t="shared" si="66"/>
        <v>1787707.2664696609</v>
      </c>
      <c r="O97" s="515">
        <f t="shared" si="66"/>
        <v>1798834.6628888908</v>
      </c>
      <c r="P97" s="511">
        <f t="shared" si="16"/>
        <v>2.3193191736936569E-5</v>
      </c>
      <c r="Q97" s="530">
        <v>1386563</v>
      </c>
      <c r="R97" s="480"/>
      <c r="S97" s="479"/>
      <c r="U97" s="513"/>
    </row>
    <row r="98" spans="1:21" s="492" customFormat="1" x14ac:dyDescent="0.15">
      <c r="A98" s="579"/>
      <c r="B98" s="528" t="s">
        <v>296</v>
      </c>
      <c r="C98" s="517">
        <f>FFM!J20</f>
        <v>6233282.3636379167</v>
      </c>
      <c r="D98" s="517">
        <f t="shared" ref="D98:O98" si="67">$C98*D$20%</f>
        <v>471380.38447092415</v>
      </c>
      <c r="E98" s="517">
        <f t="shared" si="67"/>
        <v>675800.37131211907</v>
      </c>
      <c r="F98" s="517">
        <f t="shared" si="67"/>
        <v>436482.92257541814</v>
      </c>
      <c r="G98" s="517">
        <f t="shared" si="67"/>
        <v>536402.13129568228</v>
      </c>
      <c r="H98" s="517">
        <f t="shared" si="67"/>
        <v>655284.15477246745</v>
      </c>
      <c r="I98" s="517">
        <f t="shared" si="67"/>
        <v>642390.20876119833</v>
      </c>
      <c r="J98" s="517">
        <f t="shared" si="67"/>
        <v>497716.05381954106</v>
      </c>
      <c r="K98" s="517">
        <f t="shared" si="67"/>
        <v>528506.49388609373</v>
      </c>
      <c r="L98" s="517">
        <f t="shared" si="67"/>
        <v>496602.48343549873</v>
      </c>
      <c r="M98" s="517">
        <f t="shared" si="67"/>
        <v>328859.43036642665</v>
      </c>
      <c r="N98" s="517">
        <f t="shared" si="67"/>
        <v>480430.43931918108</v>
      </c>
      <c r="O98" s="517">
        <f t="shared" si="67"/>
        <v>483427.2895485668</v>
      </c>
      <c r="P98" s="511">
        <f t="shared" si="16"/>
        <v>7.4799812864512205E-5</v>
      </c>
      <c r="Q98" s="530">
        <v>424520</v>
      </c>
      <c r="R98" s="480"/>
      <c r="S98" s="479"/>
      <c r="U98" s="513"/>
    </row>
    <row r="99" spans="1:21" s="492" customFormat="1" ht="18" x14ac:dyDescent="0.15">
      <c r="A99" s="579"/>
      <c r="B99" s="528" t="s">
        <v>297</v>
      </c>
      <c r="C99" s="517">
        <f>IEPS!I19</f>
        <v>560818.47590191953</v>
      </c>
      <c r="D99" s="517">
        <f t="shared" ref="D99:O99" si="68">$C99*D$21%</f>
        <v>39391.789319343072</v>
      </c>
      <c r="E99" s="517">
        <f t="shared" si="68"/>
        <v>90038.075906106169</v>
      </c>
      <c r="F99" s="517">
        <f t="shared" si="68"/>
        <v>37398.198474946788</v>
      </c>
      <c r="G99" s="517">
        <f t="shared" si="68"/>
        <v>36345.811983575724</v>
      </c>
      <c r="H99" s="517">
        <f t="shared" si="68"/>
        <v>40127.775908550015</v>
      </c>
      <c r="I99" s="517">
        <f t="shared" si="68"/>
        <v>41613.303076877732</v>
      </c>
      <c r="J99" s="517">
        <f t="shared" si="68"/>
        <v>42854.009578080084</v>
      </c>
      <c r="K99" s="517">
        <f t="shared" si="68"/>
        <v>47469.696622789517</v>
      </c>
      <c r="L99" s="517">
        <f t="shared" si="68"/>
        <v>47569.167224795492</v>
      </c>
      <c r="M99" s="517">
        <f t="shared" si="68"/>
        <v>47040.47143013226</v>
      </c>
      <c r="N99" s="517">
        <f t="shared" si="68"/>
        <v>45519.61180163479</v>
      </c>
      <c r="O99" s="517">
        <f t="shared" si="68"/>
        <v>45450.564574527038</v>
      </c>
      <c r="P99" s="511">
        <f t="shared" si="16"/>
        <v>5.6092540035024285E-7</v>
      </c>
      <c r="Q99" s="530">
        <v>35810</v>
      </c>
      <c r="R99" s="480"/>
      <c r="S99" s="479"/>
      <c r="U99" s="513"/>
    </row>
    <row r="100" spans="1:21" s="492" customFormat="1" x14ac:dyDescent="0.15">
      <c r="A100" s="579"/>
      <c r="B100" s="528" t="s">
        <v>236</v>
      </c>
      <c r="C100" s="517">
        <f>ISR!C10</f>
        <v>1286519.44</v>
      </c>
      <c r="D100" s="517">
        <f>ISR!D10</f>
        <v>103001.67819321965</v>
      </c>
      <c r="E100" s="517">
        <f>ISR!E10</f>
        <v>103027.13978286044</v>
      </c>
      <c r="F100" s="517">
        <f>ISR!F10</f>
        <v>102753.4276942217</v>
      </c>
      <c r="G100" s="517">
        <f>ISR!G10</f>
        <v>106448.54089084532</v>
      </c>
      <c r="H100" s="517">
        <f>ISR!H10</f>
        <v>105368.54513024726</v>
      </c>
      <c r="I100" s="517">
        <f>ISR!I10</f>
        <v>108368.76910959017</v>
      </c>
      <c r="J100" s="517">
        <f>ISR!J10</f>
        <v>114972.86892267705</v>
      </c>
      <c r="K100" s="517">
        <f>ISR!K10</f>
        <v>108665.82098873303</v>
      </c>
      <c r="L100" s="517">
        <f>ISR!L10</f>
        <v>106966.2598802086</v>
      </c>
      <c r="M100" s="517">
        <f>ISR!M10</f>
        <v>107940.16568396972</v>
      </c>
      <c r="N100" s="517">
        <f>ISR!N10</f>
        <v>108184.17258469424</v>
      </c>
      <c r="O100" s="517">
        <f>ISR!O10</f>
        <v>110822.05113873252</v>
      </c>
      <c r="P100" s="511">
        <f t="shared" ref="P100:P163" si="69">C100-D100-E100-F100-G100-H100-I100-J100-K100-L100-M100-N100-O100</f>
        <v>1.6007106751203537E-10</v>
      </c>
      <c r="Q100" s="530">
        <v>0</v>
      </c>
      <c r="R100" s="480"/>
      <c r="S100" s="479"/>
      <c r="U100" s="513"/>
    </row>
    <row r="101" spans="1:21" s="492" customFormat="1" ht="18" x14ac:dyDescent="0.15">
      <c r="A101" s="579"/>
      <c r="B101" s="528" t="s">
        <v>298</v>
      </c>
      <c r="C101" s="517">
        <f>FOFIR!I19</f>
        <v>1084620.1722305708</v>
      </c>
      <c r="D101" s="517">
        <f t="shared" ref="D101:O101" si="70">$C101*D$23%</f>
        <v>148284.38437015979</v>
      </c>
      <c r="E101" s="517">
        <f t="shared" si="70"/>
        <v>37726.633599607456</v>
      </c>
      <c r="F101" s="517">
        <f t="shared" si="70"/>
        <v>37726.633599607456</v>
      </c>
      <c r="G101" s="517">
        <f t="shared" si="70"/>
        <v>212904.00953716249</v>
      </c>
      <c r="H101" s="517">
        <f t="shared" si="70"/>
        <v>37726.633599607456</v>
      </c>
      <c r="I101" s="517">
        <f t="shared" si="70"/>
        <v>37726.633599607456</v>
      </c>
      <c r="J101" s="517">
        <f t="shared" si="70"/>
        <v>264818.2822658323</v>
      </c>
      <c r="K101" s="517">
        <f t="shared" si="70"/>
        <v>37726.633599607456</v>
      </c>
      <c r="L101" s="517">
        <f t="shared" si="70"/>
        <v>37726.633599607456</v>
      </c>
      <c r="M101" s="517">
        <f t="shared" si="70"/>
        <v>156800.42726489509</v>
      </c>
      <c r="N101" s="517">
        <f t="shared" si="70"/>
        <v>37726.633599607456</v>
      </c>
      <c r="O101" s="517">
        <f t="shared" si="70"/>
        <v>37726.633599607456</v>
      </c>
      <c r="P101" s="511">
        <f t="shared" si="69"/>
        <v>-4.3387262849137187E-6</v>
      </c>
      <c r="Q101" s="530">
        <v>42177</v>
      </c>
      <c r="R101" s="480"/>
      <c r="S101" s="479"/>
      <c r="U101" s="513"/>
    </row>
    <row r="102" spans="1:21" s="492" customFormat="1" ht="27" x14ac:dyDescent="0.15">
      <c r="A102" s="579"/>
      <c r="B102" s="528" t="s">
        <v>407</v>
      </c>
      <c r="C102" s="517">
        <f>FCISAN!I19</f>
        <v>68853.043002638413</v>
      </c>
      <c r="D102" s="517">
        <f t="shared" ref="D102:O102" si="71">$C102*D$24%</f>
        <v>5737.7535835302506</v>
      </c>
      <c r="E102" s="517">
        <f t="shared" si="71"/>
        <v>5737.7535835302506</v>
      </c>
      <c r="F102" s="517">
        <f t="shared" si="71"/>
        <v>5737.7535835302506</v>
      </c>
      <c r="G102" s="517">
        <f t="shared" si="71"/>
        <v>5737.7535835302506</v>
      </c>
      <c r="H102" s="517">
        <f t="shared" si="71"/>
        <v>5737.7535835302506</v>
      </c>
      <c r="I102" s="517">
        <f t="shared" si="71"/>
        <v>5737.7535835302506</v>
      </c>
      <c r="J102" s="517">
        <f t="shared" si="71"/>
        <v>5737.7535835302506</v>
      </c>
      <c r="K102" s="517">
        <f t="shared" si="71"/>
        <v>5737.7535835302506</v>
      </c>
      <c r="L102" s="517">
        <f t="shared" si="71"/>
        <v>5737.7535835302506</v>
      </c>
      <c r="M102" s="517">
        <f t="shared" si="71"/>
        <v>5737.7535835302506</v>
      </c>
      <c r="N102" s="517">
        <f t="shared" si="71"/>
        <v>5737.7535835302506</v>
      </c>
      <c r="O102" s="517">
        <f t="shared" si="71"/>
        <v>5737.7535835302506</v>
      </c>
      <c r="P102" s="511">
        <f t="shared" si="69"/>
        <v>2.7541864255908877E-7</v>
      </c>
      <c r="Q102" s="530">
        <v>5017</v>
      </c>
      <c r="R102" s="480"/>
      <c r="S102" s="479"/>
      <c r="U102" s="513"/>
    </row>
    <row r="103" spans="1:21" s="492" customFormat="1" ht="27" x14ac:dyDescent="0.15">
      <c r="A103" s="579"/>
      <c r="B103" s="528" t="s">
        <v>242</v>
      </c>
      <c r="C103" s="517">
        <f>ISAN!I19</f>
        <v>343929.02456902189</v>
      </c>
      <c r="D103" s="517">
        <f t="shared" ref="D103:O103" si="72">$C103*D$25%</f>
        <v>33097.530766831333</v>
      </c>
      <c r="E103" s="517">
        <f t="shared" si="72"/>
        <v>36966.485644188928</v>
      </c>
      <c r="F103" s="517">
        <f t="shared" si="72"/>
        <v>28689.256716334909</v>
      </c>
      <c r="G103" s="517">
        <f t="shared" si="72"/>
        <v>26626.589550342189</v>
      </c>
      <c r="H103" s="517">
        <f t="shared" si="72"/>
        <v>28469.711032234554</v>
      </c>
      <c r="I103" s="517">
        <f t="shared" si="72"/>
        <v>24726.810296012336</v>
      </c>
      <c r="J103" s="517">
        <f t="shared" si="72"/>
        <v>26787.707748038738</v>
      </c>
      <c r="K103" s="517">
        <f t="shared" si="72"/>
        <v>27625.16814299145</v>
      </c>
      <c r="L103" s="517">
        <f t="shared" si="72"/>
        <v>27145.35443299812</v>
      </c>
      <c r="M103" s="517">
        <f t="shared" si="72"/>
        <v>27811.073979589579</v>
      </c>
      <c r="N103" s="517">
        <f t="shared" si="72"/>
        <v>26927.579190617904</v>
      </c>
      <c r="O103" s="517">
        <f t="shared" si="72"/>
        <v>29055.757064714708</v>
      </c>
      <c r="P103" s="511">
        <f t="shared" si="69"/>
        <v>4.1271305235568434E-6</v>
      </c>
      <c r="Q103" s="530">
        <v>21554</v>
      </c>
      <c r="R103" s="480"/>
      <c r="S103" s="479"/>
      <c r="U103" s="513"/>
    </row>
    <row r="104" spans="1:21" s="492" customFormat="1" ht="18" x14ac:dyDescent="0.15">
      <c r="A104" s="579"/>
      <c r="B104" s="528" t="s">
        <v>403</v>
      </c>
      <c r="C104" s="517">
        <f>LOT!I19</f>
        <v>16648.57058056899</v>
      </c>
      <c r="D104" s="517">
        <f t="shared" ref="D104:O104" si="73">$C104*D$26%</f>
        <v>1258.8048969418087</v>
      </c>
      <c r="E104" s="517">
        <f t="shared" si="73"/>
        <v>1240.9621753714187</v>
      </c>
      <c r="F104" s="517">
        <f t="shared" si="73"/>
        <v>1219.7134936435268</v>
      </c>
      <c r="G104" s="517">
        <f t="shared" si="73"/>
        <v>1341.9572011494688</v>
      </c>
      <c r="H104" s="517">
        <f t="shared" si="73"/>
        <v>1097.9652524594455</v>
      </c>
      <c r="I104" s="517">
        <f t="shared" si="73"/>
        <v>1489.9948263935655</v>
      </c>
      <c r="J104" s="517">
        <f t="shared" si="73"/>
        <v>3419.5365244995164</v>
      </c>
      <c r="K104" s="517">
        <f t="shared" si="73"/>
        <v>1244.8339332156318</v>
      </c>
      <c r="L104" s="517">
        <f t="shared" si="73"/>
        <v>1510.4513553648658</v>
      </c>
      <c r="M104" s="517">
        <f t="shared" si="73"/>
        <v>935.17637818331013</v>
      </c>
      <c r="N104" s="517">
        <f t="shared" si="73"/>
        <v>944.58727157332487</v>
      </c>
      <c r="O104" s="517">
        <f t="shared" si="73"/>
        <v>944.58727157332487</v>
      </c>
      <c r="P104" s="511">
        <f t="shared" si="69"/>
        <v>1.9978187992819585E-7</v>
      </c>
      <c r="Q104" s="530">
        <v>1053</v>
      </c>
      <c r="R104" s="480"/>
      <c r="S104" s="479"/>
      <c r="U104" s="513"/>
    </row>
    <row r="105" spans="1:21" s="492" customFormat="1" ht="45" x14ac:dyDescent="0.15">
      <c r="A105" s="579"/>
      <c r="B105" s="518" t="s">
        <v>301</v>
      </c>
      <c r="C105" s="517">
        <f>'ENAJENAC DE INMUE'!I19</f>
        <v>65464.155690719868</v>
      </c>
      <c r="D105" s="517">
        <f t="shared" ref="D105:O105" si="74">$C105*D$27%</f>
        <v>2827.1165436586762</v>
      </c>
      <c r="E105" s="517">
        <f t="shared" si="74"/>
        <v>2868.7571378475882</v>
      </c>
      <c r="F105" s="517">
        <f t="shared" si="74"/>
        <v>2830.0824549716303</v>
      </c>
      <c r="G105" s="517">
        <f t="shared" si="74"/>
        <v>2813.5046202588287</v>
      </c>
      <c r="H105" s="517">
        <f t="shared" si="74"/>
        <v>3902.8682196316131</v>
      </c>
      <c r="I105" s="517">
        <f t="shared" si="74"/>
        <v>2809.1970788143794</v>
      </c>
      <c r="J105" s="517">
        <f t="shared" si="74"/>
        <v>3228.5512182014872</v>
      </c>
      <c r="K105" s="517">
        <f t="shared" si="74"/>
        <v>3225.227949584309</v>
      </c>
      <c r="L105" s="517">
        <f t="shared" si="74"/>
        <v>3221.1422160834168</v>
      </c>
      <c r="M105" s="517">
        <f t="shared" si="74"/>
        <v>2813.0440606770826</v>
      </c>
      <c r="N105" s="517">
        <f t="shared" si="74"/>
        <v>11695.602707388871</v>
      </c>
      <c r="O105" s="517">
        <f t="shared" si="74"/>
        <v>23229.061483471058</v>
      </c>
      <c r="P105" s="511">
        <f t="shared" si="69"/>
        <v>1.3092358130961657E-7</v>
      </c>
      <c r="Q105" s="530">
        <v>15362</v>
      </c>
      <c r="R105" s="480"/>
      <c r="S105" s="479"/>
      <c r="U105" s="513"/>
    </row>
    <row r="106" spans="1:21" s="492" customFormat="1" ht="27" x14ac:dyDescent="0.15">
      <c r="A106" s="579"/>
      <c r="B106" s="518" t="s">
        <v>248</v>
      </c>
      <c r="C106" s="517">
        <f>'IMP BEBIDAS AL'!I19</f>
        <v>25586.851460871825</v>
      </c>
      <c r="D106" s="517">
        <f t="shared" ref="D106:O106" si="75">$C106*D$28%</f>
        <v>5818.2093884473888</v>
      </c>
      <c r="E106" s="517">
        <f t="shared" si="75"/>
        <v>2001.2527406828822</v>
      </c>
      <c r="F106" s="517">
        <f t="shared" si="75"/>
        <v>2150.6523992828711</v>
      </c>
      <c r="G106" s="517">
        <f t="shared" si="75"/>
        <v>2135.213581742858</v>
      </c>
      <c r="H106" s="517">
        <f t="shared" si="75"/>
        <v>1359.7142981500483</v>
      </c>
      <c r="I106" s="517">
        <f t="shared" si="75"/>
        <v>2225.1746362601857</v>
      </c>
      <c r="J106" s="517">
        <f t="shared" si="75"/>
        <v>2212.6494574073099</v>
      </c>
      <c r="K106" s="517">
        <f t="shared" si="75"/>
        <v>2023.6293733405785</v>
      </c>
      <c r="L106" s="517">
        <f t="shared" si="75"/>
        <v>1467.5929654236886</v>
      </c>
      <c r="M106" s="517">
        <f t="shared" si="75"/>
        <v>1364.2576626901712</v>
      </c>
      <c r="N106" s="517">
        <f t="shared" si="75"/>
        <v>1373.9010663861</v>
      </c>
      <c r="O106" s="517">
        <f t="shared" si="75"/>
        <v>1454.6038910577438</v>
      </c>
      <c r="P106" s="511">
        <f t="shared" si="69"/>
        <v>0</v>
      </c>
      <c r="Q106" s="530">
        <v>656</v>
      </c>
      <c r="R106" s="480"/>
      <c r="S106" s="479"/>
      <c r="U106" s="513"/>
    </row>
    <row r="107" spans="1:21" s="492" customFormat="1" ht="18" x14ac:dyDescent="0.15">
      <c r="A107" s="579"/>
      <c r="B107" s="518" t="s">
        <v>253</v>
      </c>
      <c r="C107" s="517">
        <f>'FOND GASO Y D'!Q20</f>
        <v>0</v>
      </c>
      <c r="D107" s="517">
        <f t="shared" ref="D107:O107" si="76">$C107*D$29%</f>
        <v>0</v>
      </c>
      <c r="E107" s="517">
        <f t="shared" si="76"/>
        <v>0</v>
      </c>
      <c r="F107" s="517">
        <f t="shared" si="76"/>
        <v>0</v>
      </c>
      <c r="G107" s="517">
        <f t="shared" si="76"/>
        <v>0</v>
      </c>
      <c r="H107" s="517">
        <f t="shared" si="76"/>
        <v>0</v>
      </c>
      <c r="I107" s="517">
        <f t="shared" si="76"/>
        <v>0</v>
      </c>
      <c r="J107" s="517">
        <f t="shared" si="76"/>
        <v>0</v>
      </c>
      <c r="K107" s="517">
        <f t="shared" si="76"/>
        <v>0</v>
      </c>
      <c r="L107" s="517">
        <f t="shared" si="76"/>
        <v>0</v>
      </c>
      <c r="M107" s="517">
        <f t="shared" si="76"/>
        <v>0</v>
      </c>
      <c r="N107" s="517">
        <f t="shared" si="76"/>
        <v>0</v>
      </c>
      <c r="O107" s="517">
        <f t="shared" si="76"/>
        <v>0</v>
      </c>
      <c r="P107" s="511">
        <f t="shared" si="69"/>
        <v>0</v>
      </c>
      <c r="Q107" s="530">
        <v>29406</v>
      </c>
      <c r="R107" s="480"/>
      <c r="S107" s="479"/>
      <c r="U107" s="513"/>
    </row>
    <row r="108" spans="1:21" s="492" customFormat="1" ht="18" x14ac:dyDescent="0.15">
      <c r="A108" s="579"/>
      <c r="B108" s="528" t="s">
        <v>408</v>
      </c>
      <c r="C108" s="519">
        <f>'FOND GASO Y D'!H20</f>
        <v>952416.53989746689</v>
      </c>
      <c r="D108" s="517">
        <f t="shared" ref="D108:O108" si="77">$C108*D$30%</f>
        <v>74089.2470671872</v>
      </c>
      <c r="E108" s="517">
        <f t="shared" si="77"/>
        <v>81459.440956233506</v>
      </c>
      <c r="F108" s="517">
        <f t="shared" si="77"/>
        <v>79309.170604600775</v>
      </c>
      <c r="G108" s="517">
        <f t="shared" si="77"/>
        <v>73899.623739912742</v>
      </c>
      <c r="H108" s="517">
        <f t="shared" si="77"/>
        <v>81426.822526953518</v>
      </c>
      <c r="I108" s="517">
        <f t="shared" si="77"/>
        <v>78586.559186723796</v>
      </c>
      <c r="J108" s="517">
        <f t="shared" si="77"/>
        <v>80224.979820456938</v>
      </c>
      <c r="K108" s="517">
        <f t="shared" si="77"/>
        <v>80177.307713450718</v>
      </c>
      <c r="L108" s="517">
        <f t="shared" si="77"/>
        <v>83434.075707059659</v>
      </c>
      <c r="M108" s="517">
        <f t="shared" si="77"/>
        <v>82701.428504666808</v>
      </c>
      <c r="N108" s="517">
        <f t="shared" si="77"/>
        <v>77291.88163997879</v>
      </c>
      <c r="O108" s="517">
        <f t="shared" si="77"/>
        <v>79816.002431194851</v>
      </c>
      <c r="P108" s="511">
        <f t="shared" si="69"/>
        <v>-9.5251016318798065E-7</v>
      </c>
      <c r="Q108" s="530">
        <v>58208</v>
      </c>
      <c r="R108" s="480"/>
      <c r="S108" s="479"/>
      <c r="U108" s="513"/>
    </row>
    <row r="109" spans="1:21" s="492" customFormat="1" x14ac:dyDescent="0.15">
      <c r="A109" s="579"/>
      <c r="B109" s="520"/>
      <c r="C109" s="521"/>
      <c r="D109" s="522"/>
      <c r="E109" s="522"/>
      <c r="F109" s="522"/>
      <c r="G109" s="522"/>
      <c r="H109" s="522"/>
      <c r="I109" s="522"/>
      <c r="J109" s="522"/>
      <c r="K109" s="522"/>
      <c r="L109" s="522"/>
      <c r="M109" s="522"/>
      <c r="N109" s="522"/>
      <c r="O109" s="522"/>
      <c r="P109" s="511">
        <f t="shared" si="69"/>
        <v>0</v>
      </c>
      <c r="Q109" s="530">
        <v>0</v>
      </c>
      <c r="R109" s="480"/>
      <c r="S109" s="479"/>
      <c r="U109" s="513"/>
    </row>
    <row r="110" spans="1:21" s="492" customFormat="1" x14ac:dyDescent="0.15">
      <c r="A110" s="590"/>
      <c r="B110" s="522"/>
      <c r="C110" s="522"/>
      <c r="D110" s="522"/>
      <c r="E110" s="522"/>
      <c r="F110" s="522"/>
      <c r="G110" s="522"/>
      <c r="H110" s="522"/>
      <c r="I110" s="522"/>
      <c r="J110" s="522"/>
      <c r="K110" s="522"/>
      <c r="L110" s="522"/>
      <c r="M110" s="522"/>
      <c r="N110" s="522"/>
      <c r="O110" s="522"/>
      <c r="P110" s="511">
        <f t="shared" si="69"/>
        <v>0</v>
      </c>
      <c r="Q110" s="530">
        <v>0</v>
      </c>
      <c r="R110" s="480"/>
      <c r="S110" s="479"/>
      <c r="U110" s="513"/>
    </row>
    <row r="111" spans="1:21" s="492" customFormat="1" x14ac:dyDescent="0.15">
      <c r="A111" s="584">
        <v>6</v>
      </c>
      <c r="B111" s="509" t="s">
        <v>57</v>
      </c>
      <c r="C111" s="524">
        <f t="shared" ref="C111:O111" si="78">SUM(C112:C123)</f>
        <v>211622209.68546742</v>
      </c>
      <c r="D111" s="524">
        <f t="shared" si="78"/>
        <v>16470150.288236702</v>
      </c>
      <c r="E111" s="524">
        <f t="shared" si="78"/>
        <v>22418186.18925662</v>
      </c>
      <c r="F111" s="524">
        <f t="shared" si="78"/>
        <v>14675672.822505351</v>
      </c>
      <c r="G111" s="524">
        <f t="shared" si="78"/>
        <v>18804654.301888146</v>
      </c>
      <c r="H111" s="524">
        <f t="shared" si="78"/>
        <v>21366504.431665804</v>
      </c>
      <c r="I111" s="524">
        <f t="shared" si="78"/>
        <v>20946309.846231319</v>
      </c>
      <c r="J111" s="524">
        <f t="shared" si="78"/>
        <v>18055133.585714407</v>
      </c>
      <c r="K111" s="524">
        <f t="shared" si="78"/>
        <v>17546636.56015759</v>
      </c>
      <c r="L111" s="524">
        <f t="shared" si="78"/>
        <v>16656822.487565812</v>
      </c>
      <c r="M111" s="524">
        <f t="shared" si="78"/>
        <v>12242576.454576286</v>
      </c>
      <c r="N111" s="524">
        <f t="shared" si="78"/>
        <v>16122448.799152493</v>
      </c>
      <c r="O111" s="524">
        <f t="shared" si="78"/>
        <v>16317113.917882513</v>
      </c>
      <c r="P111" s="511">
        <f t="shared" si="69"/>
        <v>6.3440576195716858E-4</v>
      </c>
      <c r="Q111" s="530">
        <v>13214148</v>
      </c>
      <c r="R111" s="480"/>
      <c r="S111" s="479"/>
      <c r="T111" s="512"/>
      <c r="U111" s="513"/>
    </row>
    <row r="112" spans="1:21" s="492" customFormat="1" x14ac:dyDescent="0.15">
      <c r="A112" s="579"/>
      <c r="B112" s="525" t="s">
        <v>294</v>
      </c>
      <c r="C112" s="526">
        <f>'FG1'!I21</f>
        <v>149791149.06357691</v>
      </c>
      <c r="D112" s="526">
        <f t="shared" ref="D112:O112" si="79">$C112*D$19%</f>
        <v>11329408.410424028</v>
      </c>
      <c r="E112" s="526">
        <f t="shared" si="79"/>
        <v>16232206.591968762</v>
      </c>
      <c r="F112" s="526">
        <f t="shared" si="79"/>
        <v>10492429.474408686</v>
      </c>
      <c r="G112" s="526">
        <f t="shared" si="79"/>
        <v>12888886.51705374</v>
      </c>
      <c r="H112" s="526">
        <f t="shared" si="79"/>
        <v>15740146.695328699</v>
      </c>
      <c r="I112" s="526">
        <f t="shared" si="79"/>
        <v>15430899.019802533</v>
      </c>
      <c r="J112" s="526">
        <f t="shared" si="79"/>
        <v>11962088.38277996</v>
      </c>
      <c r="K112" s="526">
        <f t="shared" si="79"/>
        <v>12700564.66905731</v>
      </c>
      <c r="L112" s="526">
        <f t="shared" si="79"/>
        <v>11935380.6331848</v>
      </c>
      <c r="M112" s="526">
        <f t="shared" si="79"/>
        <v>7912240.10728228</v>
      </c>
      <c r="N112" s="526">
        <f t="shared" si="79"/>
        <v>11547511.144949522</v>
      </c>
      <c r="O112" s="526">
        <f t="shared" si="79"/>
        <v>11619387.417186799</v>
      </c>
      <c r="P112" s="511">
        <f t="shared" si="69"/>
        <v>1.4981068670749664E-4</v>
      </c>
      <c r="Q112" s="530">
        <v>9166455</v>
      </c>
      <c r="R112" s="480"/>
      <c r="S112" s="479"/>
      <c r="U112" s="513"/>
    </row>
    <row r="113" spans="1:21" s="492" customFormat="1" x14ac:dyDescent="0.15">
      <c r="A113" s="579"/>
      <c r="B113" s="525" t="s">
        <v>296</v>
      </c>
      <c r="C113" s="526">
        <f>FFM!J21</f>
        <v>40263246.065933965</v>
      </c>
      <c r="D113" s="526">
        <f t="shared" ref="D113:O113" si="80">$C113*D$20%</f>
        <v>3044833.0916827787</v>
      </c>
      <c r="E113" s="526">
        <f t="shared" si="80"/>
        <v>4365262.9632694721</v>
      </c>
      <c r="F113" s="526">
        <f t="shared" si="80"/>
        <v>2819416.5272781355</v>
      </c>
      <c r="G113" s="526">
        <f t="shared" si="80"/>
        <v>3464834.3750057067</v>
      </c>
      <c r="H113" s="526">
        <f t="shared" si="80"/>
        <v>4232740.5735095004</v>
      </c>
      <c r="I113" s="526">
        <f t="shared" si="80"/>
        <v>4149453.4559482802</v>
      </c>
      <c r="J113" s="526">
        <f t="shared" si="80"/>
        <v>3214945.6380804977</v>
      </c>
      <c r="K113" s="526">
        <f t="shared" si="80"/>
        <v>3413833.317565382</v>
      </c>
      <c r="L113" s="526">
        <f t="shared" si="80"/>
        <v>3207752.6447635279</v>
      </c>
      <c r="M113" s="526">
        <f t="shared" si="80"/>
        <v>2124233.653073038</v>
      </c>
      <c r="N113" s="526">
        <f t="shared" si="80"/>
        <v>3103290.9897865481</v>
      </c>
      <c r="O113" s="526">
        <f t="shared" si="80"/>
        <v>3122648.8354879394</v>
      </c>
      <c r="P113" s="511">
        <f t="shared" si="69"/>
        <v>4.8315851017832756E-4</v>
      </c>
      <c r="Q113" s="530">
        <v>2806470</v>
      </c>
      <c r="R113" s="480"/>
      <c r="S113" s="479"/>
      <c r="U113" s="513"/>
    </row>
    <row r="114" spans="1:21" s="492" customFormat="1" ht="18" x14ac:dyDescent="0.15">
      <c r="A114" s="579"/>
      <c r="B114" s="527" t="s">
        <v>297</v>
      </c>
      <c r="C114" s="515">
        <f>IEPS!I20</f>
        <v>3622549.240715371</v>
      </c>
      <c r="D114" s="515">
        <f t="shared" ref="D114:O114" si="81">$C114*D$21%</f>
        <v>254447.20996346491</v>
      </c>
      <c r="E114" s="515">
        <f t="shared" si="81"/>
        <v>581591.6870152842</v>
      </c>
      <c r="F114" s="515">
        <f t="shared" si="81"/>
        <v>241569.81503090588</v>
      </c>
      <c r="G114" s="515">
        <f t="shared" si="81"/>
        <v>234772.03277324344</v>
      </c>
      <c r="H114" s="515">
        <f t="shared" si="81"/>
        <v>259201.23960847713</v>
      </c>
      <c r="I114" s="515">
        <f t="shared" si="81"/>
        <v>268796.84950173745</v>
      </c>
      <c r="J114" s="515">
        <f t="shared" si="81"/>
        <v>276811.06548606826</v>
      </c>
      <c r="K114" s="515">
        <f t="shared" si="81"/>
        <v>306625.62102884275</v>
      </c>
      <c r="L114" s="515">
        <f t="shared" si="81"/>
        <v>307268.14114765794</v>
      </c>
      <c r="M114" s="515">
        <f t="shared" si="81"/>
        <v>303853.08506120037</v>
      </c>
      <c r="N114" s="515">
        <f t="shared" si="81"/>
        <v>294029.24877694133</v>
      </c>
      <c r="O114" s="515">
        <f t="shared" si="81"/>
        <v>293583.24531792465</v>
      </c>
      <c r="P114" s="511">
        <f t="shared" si="69"/>
        <v>3.6224955692887306E-6</v>
      </c>
      <c r="Q114" s="530">
        <v>236733</v>
      </c>
      <c r="R114" s="480"/>
      <c r="S114" s="479"/>
      <c r="U114" s="513"/>
    </row>
    <row r="115" spans="1:21" s="492" customFormat="1" x14ac:dyDescent="0.15">
      <c r="A115" s="579"/>
      <c r="B115" s="528" t="s">
        <v>236</v>
      </c>
      <c r="C115" s="517">
        <f>ISR!C11</f>
        <v>2825479.52</v>
      </c>
      <c r="D115" s="517">
        <f>ISR!D11</f>
        <v>199160.60940649401</v>
      </c>
      <c r="E115" s="517">
        <f>ISR!E11</f>
        <v>273699.43375289033</v>
      </c>
      <c r="F115" s="517">
        <f>ISR!F11</f>
        <v>220447.56514959733</v>
      </c>
      <c r="G115" s="517">
        <f>ISR!G11</f>
        <v>222541.78147837313</v>
      </c>
      <c r="H115" s="517">
        <f>ISR!H11</f>
        <v>222425.08249348696</v>
      </c>
      <c r="I115" s="517">
        <f>ISR!I11</f>
        <v>222459.03128909032</v>
      </c>
      <c r="J115" s="517">
        <f>ISR!J11</f>
        <v>223133.763601705</v>
      </c>
      <c r="K115" s="517">
        <f>ISR!K11</f>
        <v>224451.40123105637</v>
      </c>
      <c r="L115" s="517">
        <f>ISR!L11</f>
        <v>294012.48342212482</v>
      </c>
      <c r="M115" s="517">
        <f>ISR!M11</f>
        <v>227070.76299181976</v>
      </c>
      <c r="N115" s="517">
        <f>ISR!N11</f>
        <v>246780.58499917941</v>
      </c>
      <c r="O115" s="517">
        <f>ISR!O11</f>
        <v>249297.02018418256</v>
      </c>
      <c r="P115" s="511">
        <f t="shared" si="69"/>
        <v>0</v>
      </c>
      <c r="Q115" s="530">
        <v>0</v>
      </c>
      <c r="R115" s="480"/>
      <c r="S115" s="479"/>
      <c r="U115" s="513"/>
    </row>
    <row r="116" spans="1:21" s="492" customFormat="1" ht="18" x14ac:dyDescent="0.15">
      <c r="A116" s="579"/>
      <c r="B116" s="528" t="s">
        <v>298</v>
      </c>
      <c r="C116" s="517">
        <f>FOFIR!I20</f>
        <v>7005992.4025498396</v>
      </c>
      <c r="D116" s="517">
        <f t="shared" ref="D116:O116" si="82">$C116*D$23%</f>
        <v>957827.72339335806</v>
      </c>
      <c r="E116" s="517">
        <f t="shared" si="82"/>
        <v>243691.30792493065</v>
      </c>
      <c r="F116" s="517">
        <f t="shared" si="82"/>
        <v>243691.30792493065</v>
      </c>
      <c r="G116" s="517">
        <f t="shared" si="82"/>
        <v>1375231.543243574</v>
      </c>
      <c r="H116" s="517">
        <f t="shared" si="82"/>
        <v>243691.30792493065</v>
      </c>
      <c r="I116" s="517">
        <f t="shared" si="82"/>
        <v>243691.30792493065</v>
      </c>
      <c r="J116" s="517">
        <f t="shared" si="82"/>
        <v>1710566.4463119661</v>
      </c>
      <c r="K116" s="517">
        <f t="shared" si="82"/>
        <v>243691.30792493065</v>
      </c>
      <c r="L116" s="517">
        <f t="shared" si="82"/>
        <v>243691.30792493065</v>
      </c>
      <c r="M116" s="517">
        <f t="shared" si="82"/>
        <v>1012836.2262295203</v>
      </c>
      <c r="N116" s="517">
        <f t="shared" si="82"/>
        <v>243691.30792493065</v>
      </c>
      <c r="O116" s="517">
        <f t="shared" si="82"/>
        <v>243691.30792493065</v>
      </c>
      <c r="P116" s="511">
        <f t="shared" si="69"/>
        <v>-2.8024544008076191E-5</v>
      </c>
      <c r="Q116" s="530">
        <v>278849</v>
      </c>
      <c r="R116" s="480"/>
      <c r="S116" s="479"/>
      <c r="U116" s="513"/>
    </row>
    <row r="117" spans="1:21" s="492" customFormat="1" ht="27" x14ac:dyDescent="0.15">
      <c r="A117" s="579"/>
      <c r="B117" s="528" t="s">
        <v>407</v>
      </c>
      <c r="C117" s="517">
        <f>FCISAN!I20</f>
        <v>444749.14676985738</v>
      </c>
      <c r="D117" s="517">
        <f t="shared" ref="D117:O117" si="83">$C117*D$24%</f>
        <v>37062.428897339872</v>
      </c>
      <c r="E117" s="517">
        <f t="shared" si="83"/>
        <v>37062.428897339872</v>
      </c>
      <c r="F117" s="517">
        <f t="shared" si="83"/>
        <v>37062.428897339872</v>
      </c>
      <c r="G117" s="517">
        <f t="shared" si="83"/>
        <v>37062.428897339872</v>
      </c>
      <c r="H117" s="517">
        <f t="shared" si="83"/>
        <v>37062.428897339872</v>
      </c>
      <c r="I117" s="517">
        <f t="shared" si="83"/>
        <v>37062.428897339872</v>
      </c>
      <c r="J117" s="517">
        <f t="shared" si="83"/>
        <v>37062.428897339872</v>
      </c>
      <c r="K117" s="517">
        <f t="shared" si="83"/>
        <v>37062.428897339872</v>
      </c>
      <c r="L117" s="517">
        <f t="shared" si="83"/>
        <v>37062.428897339872</v>
      </c>
      <c r="M117" s="517">
        <f t="shared" si="83"/>
        <v>37062.428897339872</v>
      </c>
      <c r="N117" s="517">
        <f t="shared" si="83"/>
        <v>37062.428897339872</v>
      </c>
      <c r="O117" s="517">
        <f t="shared" si="83"/>
        <v>37062.428897339872</v>
      </c>
      <c r="P117" s="511">
        <f t="shared" si="69"/>
        <v>1.7789570847526193E-6</v>
      </c>
      <c r="Q117" s="530">
        <v>33164</v>
      </c>
      <c r="R117" s="480"/>
      <c r="S117" s="479"/>
      <c r="U117" s="513"/>
    </row>
    <row r="118" spans="1:21" s="492" customFormat="1" ht="27" x14ac:dyDescent="0.15">
      <c r="A118" s="579"/>
      <c r="B118" s="528" t="s">
        <v>242</v>
      </c>
      <c r="C118" s="517">
        <f>ISAN!I20</f>
        <v>2221574.1462668595</v>
      </c>
      <c r="D118" s="517">
        <f t="shared" ref="D118:O118" si="84">$C118*D$25%</f>
        <v>213790.09447953189</v>
      </c>
      <c r="E118" s="517">
        <f t="shared" si="84"/>
        <v>238781.2104209135</v>
      </c>
      <c r="F118" s="517">
        <f t="shared" si="84"/>
        <v>185315.30183150238</v>
      </c>
      <c r="G118" s="517">
        <f t="shared" si="84"/>
        <v>171991.71550707065</v>
      </c>
      <c r="H118" s="517">
        <f t="shared" si="84"/>
        <v>183897.16907480059</v>
      </c>
      <c r="I118" s="517">
        <f t="shared" si="84"/>
        <v>159720.28688797681</v>
      </c>
      <c r="J118" s="517">
        <f t="shared" si="84"/>
        <v>173032.4419271345</v>
      </c>
      <c r="K118" s="517">
        <f t="shared" si="84"/>
        <v>178441.93117940318</v>
      </c>
      <c r="L118" s="517">
        <f t="shared" si="84"/>
        <v>175342.62388923977</v>
      </c>
      <c r="M118" s="517">
        <f t="shared" si="84"/>
        <v>179642.77080247382</v>
      </c>
      <c r="N118" s="517">
        <f t="shared" si="84"/>
        <v>173935.92711866292</v>
      </c>
      <c r="O118" s="517">
        <f t="shared" si="84"/>
        <v>187682.6731214906</v>
      </c>
      <c r="P118" s="511">
        <f t="shared" si="69"/>
        <v>2.6658788556233048E-5</v>
      </c>
      <c r="Q118" s="530">
        <v>142492</v>
      </c>
      <c r="R118" s="480"/>
      <c r="S118" s="479"/>
      <c r="U118" s="513"/>
    </row>
    <row r="119" spans="1:21" s="492" customFormat="1" ht="18" x14ac:dyDescent="0.15">
      <c r="A119" s="579"/>
      <c r="B119" s="528" t="s">
        <v>403</v>
      </c>
      <c r="C119" s="517">
        <f>LOT!I20</f>
        <v>107539.72864150787</v>
      </c>
      <c r="D119" s="517">
        <f t="shared" ref="D119:O119" si="85">$C119*D$26%</f>
        <v>8131.1207094090869</v>
      </c>
      <c r="E119" s="517">
        <f t="shared" si="85"/>
        <v>8015.867485318774</v>
      </c>
      <c r="F119" s="517">
        <f t="shared" si="85"/>
        <v>7878.6138120410069</v>
      </c>
      <c r="G119" s="517">
        <f t="shared" si="85"/>
        <v>8668.2344626369195</v>
      </c>
      <c r="H119" s="517">
        <f t="shared" si="85"/>
        <v>7092.193575171068</v>
      </c>
      <c r="I119" s="517">
        <f t="shared" si="85"/>
        <v>9624.4682708452947</v>
      </c>
      <c r="J119" s="517">
        <f t="shared" si="85"/>
        <v>22088.14433315962</v>
      </c>
      <c r="K119" s="517">
        <f t="shared" si="85"/>
        <v>8040.8767067361523</v>
      </c>
      <c r="L119" s="517">
        <f t="shared" si="85"/>
        <v>9756.6051148989409</v>
      </c>
      <c r="M119" s="517">
        <f t="shared" si="85"/>
        <v>6040.6755916425482</v>
      </c>
      <c r="N119" s="517">
        <f t="shared" si="85"/>
        <v>6101.4642891789927</v>
      </c>
      <c r="O119" s="517">
        <f t="shared" si="85"/>
        <v>6101.4642891789927</v>
      </c>
      <c r="P119" s="511">
        <f t="shared" si="69"/>
        <v>1.2904820323456079E-6</v>
      </c>
      <c r="Q119" s="530">
        <v>6960</v>
      </c>
      <c r="R119" s="480"/>
      <c r="S119" s="479"/>
      <c r="U119" s="513"/>
    </row>
    <row r="120" spans="1:21" s="492" customFormat="1" ht="45" x14ac:dyDescent="0.15">
      <c r="A120" s="579"/>
      <c r="B120" s="518" t="s">
        <v>301</v>
      </c>
      <c r="C120" s="517">
        <f>'ENAJENAC DE INMUE'!I20</f>
        <v>422858.97787177085</v>
      </c>
      <c r="D120" s="517">
        <f t="shared" ref="D120:O120" si="86">$C120*D$27%</f>
        <v>18261.468422869315</v>
      </c>
      <c r="E120" s="517">
        <f t="shared" si="86"/>
        <v>18530.44155650117</v>
      </c>
      <c r="F120" s="517">
        <f t="shared" si="86"/>
        <v>18280.626421823417</v>
      </c>
      <c r="G120" s="517">
        <f t="shared" si="86"/>
        <v>18173.54360424152</v>
      </c>
      <c r="H120" s="517">
        <f t="shared" si="86"/>
        <v>25210.17568635038</v>
      </c>
      <c r="I120" s="517">
        <f t="shared" si="86"/>
        <v>18145.719483497556</v>
      </c>
      <c r="J120" s="517">
        <f t="shared" si="86"/>
        <v>20854.494398205061</v>
      </c>
      <c r="K120" s="517">
        <f t="shared" si="86"/>
        <v>20833.028086513936</v>
      </c>
      <c r="L120" s="517">
        <f t="shared" si="86"/>
        <v>20806.636711358868</v>
      </c>
      <c r="M120" s="517">
        <f t="shared" si="86"/>
        <v>18170.568667011652</v>
      </c>
      <c r="N120" s="517">
        <f t="shared" si="86"/>
        <v>75546.542291109945</v>
      </c>
      <c r="O120" s="517">
        <f t="shared" si="86"/>
        <v>150045.73254144232</v>
      </c>
      <c r="P120" s="511">
        <f t="shared" si="69"/>
        <v>8.4572820924222469E-7</v>
      </c>
      <c r="Q120" s="530">
        <v>101561</v>
      </c>
      <c r="R120" s="480"/>
      <c r="S120" s="479"/>
      <c r="U120" s="513"/>
    </row>
    <row r="121" spans="1:21" s="492" customFormat="1" ht="27" x14ac:dyDescent="0.15">
      <c r="A121" s="579"/>
      <c r="B121" s="518" t="s">
        <v>248</v>
      </c>
      <c r="C121" s="517">
        <f>'IMP BEBIDAS AL'!I20</f>
        <v>165275.63430005204</v>
      </c>
      <c r="D121" s="517">
        <f t="shared" ref="D121:O121" si="87">$C121*D$28%</f>
        <v>37582.124890851854</v>
      </c>
      <c r="E121" s="517">
        <f t="shared" si="87"/>
        <v>12926.886163265784</v>
      </c>
      <c r="F121" s="517">
        <f t="shared" si="87"/>
        <v>13891.91788579266</v>
      </c>
      <c r="G121" s="517">
        <f t="shared" si="87"/>
        <v>13792.192432441336</v>
      </c>
      <c r="H121" s="517">
        <f t="shared" si="87"/>
        <v>8782.9346036287243</v>
      </c>
      <c r="I121" s="517">
        <f t="shared" si="87"/>
        <v>14373.286607720775</v>
      </c>
      <c r="J121" s="517">
        <f t="shared" si="87"/>
        <v>14292.381503675588</v>
      </c>
      <c r="K121" s="517">
        <f t="shared" si="87"/>
        <v>13071.425719516212</v>
      </c>
      <c r="L121" s="517">
        <f t="shared" si="87"/>
        <v>9479.7657549081578</v>
      </c>
      <c r="M121" s="517">
        <f t="shared" si="87"/>
        <v>8812.2819993946105</v>
      </c>
      <c r="N121" s="517">
        <f t="shared" si="87"/>
        <v>8874.5725733283907</v>
      </c>
      <c r="O121" s="517">
        <f t="shared" si="87"/>
        <v>9395.8641655279625</v>
      </c>
      <c r="P121" s="511">
        <f t="shared" si="69"/>
        <v>0</v>
      </c>
      <c r="Q121" s="530">
        <v>4347</v>
      </c>
      <c r="R121" s="480"/>
      <c r="S121" s="479"/>
      <c r="U121" s="513"/>
    </row>
    <row r="122" spans="1:21" s="492" customFormat="1" ht="18" x14ac:dyDescent="0.15">
      <c r="A122" s="579"/>
      <c r="B122" s="518" t="s">
        <v>253</v>
      </c>
      <c r="C122" s="517">
        <f>'FOND GASO Y D'!Q21</f>
        <v>0</v>
      </c>
      <c r="D122" s="517">
        <f t="shared" ref="D122:O122" si="88">$C122*D$29%</f>
        <v>0</v>
      </c>
      <c r="E122" s="517">
        <f t="shared" si="88"/>
        <v>0</v>
      </c>
      <c r="F122" s="517">
        <f t="shared" si="88"/>
        <v>0</v>
      </c>
      <c r="G122" s="517">
        <f t="shared" si="88"/>
        <v>0</v>
      </c>
      <c r="H122" s="517">
        <f t="shared" si="88"/>
        <v>0</v>
      </c>
      <c r="I122" s="517">
        <f t="shared" si="88"/>
        <v>0</v>
      </c>
      <c r="J122" s="517">
        <f t="shared" si="88"/>
        <v>0</v>
      </c>
      <c r="K122" s="517">
        <f t="shared" si="88"/>
        <v>0</v>
      </c>
      <c r="L122" s="517">
        <f t="shared" si="88"/>
        <v>0</v>
      </c>
      <c r="M122" s="517">
        <f t="shared" si="88"/>
        <v>0</v>
      </c>
      <c r="N122" s="517">
        <f t="shared" si="88"/>
        <v>0</v>
      </c>
      <c r="O122" s="517">
        <f t="shared" si="88"/>
        <v>0</v>
      </c>
      <c r="P122" s="511">
        <f t="shared" si="69"/>
        <v>0</v>
      </c>
      <c r="Q122" s="530">
        <v>146714</v>
      </c>
      <c r="R122" s="480"/>
      <c r="S122" s="479"/>
      <c r="U122" s="513"/>
    </row>
    <row r="123" spans="1:21" s="492" customFormat="1" ht="18" x14ac:dyDescent="0.15">
      <c r="A123" s="579"/>
      <c r="B123" s="528" t="s">
        <v>408</v>
      </c>
      <c r="C123" s="519">
        <f>'FOND GASO Y D'!H21</f>
        <v>4751795.7588412864</v>
      </c>
      <c r="D123" s="517">
        <f t="shared" ref="D123:O123" si="89">$C123*D$30%</f>
        <v>369646.00596657564</v>
      </c>
      <c r="E123" s="517">
        <f t="shared" si="89"/>
        <v>406417.37080194324</v>
      </c>
      <c r="F123" s="517">
        <f t="shared" si="89"/>
        <v>395689.24386459443</v>
      </c>
      <c r="G123" s="517">
        <f t="shared" si="89"/>
        <v>368699.93742978061</v>
      </c>
      <c r="H123" s="517">
        <f t="shared" si="89"/>
        <v>406254.63096341689</v>
      </c>
      <c r="I123" s="517">
        <f t="shared" si="89"/>
        <v>392083.99161737092</v>
      </c>
      <c r="J123" s="517">
        <f t="shared" si="89"/>
        <v>400258.39839469275</v>
      </c>
      <c r="K123" s="517">
        <f t="shared" si="89"/>
        <v>400020.55276056338</v>
      </c>
      <c r="L123" s="517">
        <f t="shared" si="89"/>
        <v>416269.21675502427</v>
      </c>
      <c r="M123" s="517">
        <f t="shared" si="89"/>
        <v>412613.89398056676</v>
      </c>
      <c r="N123" s="517">
        <f t="shared" si="89"/>
        <v>385624.58754575299</v>
      </c>
      <c r="O123" s="517">
        <f t="shared" si="89"/>
        <v>398217.92876575619</v>
      </c>
      <c r="P123" s="511">
        <f t="shared" si="69"/>
        <v>-4.7516077756881714E-6</v>
      </c>
      <c r="Q123" s="530">
        <v>290403</v>
      </c>
      <c r="R123" s="480"/>
      <c r="S123" s="479"/>
      <c r="U123" s="513"/>
    </row>
    <row r="124" spans="1:21" s="492" customFormat="1" x14ac:dyDescent="0.15">
      <c r="A124" s="579"/>
      <c r="B124" s="520"/>
      <c r="C124" s="521"/>
      <c r="D124" s="522"/>
      <c r="E124" s="522"/>
      <c r="F124" s="522"/>
      <c r="G124" s="522"/>
      <c r="H124" s="522"/>
      <c r="I124" s="522"/>
      <c r="J124" s="522"/>
      <c r="K124" s="522"/>
      <c r="L124" s="522"/>
      <c r="M124" s="522"/>
      <c r="N124" s="522"/>
      <c r="O124" s="522"/>
      <c r="P124" s="511">
        <f t="shared" si="69"/>
        <v>0</v>
      </c>
      <c r="Q124" s="530">
        <v>0</v>
      </c>
      <c r="R124" s="480"/>
      <c r="S124" s="479"/>
      <c r="U124" s="513"/>
    </row>
    <row r="125" spans="1:21" s="492" customFormat="1" x14ac:dyDescent="0.15">
      <c r="A125" s="588"/>
      <c r="B125" s="523"/>
      <c r="C125" s="521"/>
      <c r="D125" s="521"/>
      <c r="E125" s="521"/>
      <c r="F125" s="521"/>
      <c r="G125" s="521"/>
      <c r="H125" s="521"/>
      <c r="I125" s="521"/>
      <c r="J125" s="521"/>
      <c r="K125" s="521"/>
      <c r="L125" s="521"/>
      <c r="M125" s="521"/>
      <c r="N125" s="521"/>
      <c r="O125" s="521"/>
      <c r="P125" s="511">
        <f t="shared" si="69"/>
        <v>0</v>
      </c>
      <c r="Q125" s="530">
        <v>0</v>
      </c>
      <c r="R125" s="480"/>
      <c r="S125" s="479"/>
      <c r="U125" s="513"/>
    </row>
    <row r="126" spans="1:21" s="492" customFormat="1" x14ac:dyDescent="0.15">
      <c r="A126" s="584">
        <v>7</v>
      </c>
      <c r="B126" s="509" t="s">
        <v>44</v>
      </c>
      <c r="C126" s="524">
        <f t="shared" ref="C126:O126" si="90">SUM(C127:C138)</f>
        <v>22270945.993665099</v>
      </c>
      <c r="D126" s="524">
        <f t="shared" si="90"/>
        <v>1745559.0955373542</v>
      </c>
      <c r="E126" s="524">
        <f t="shared" si="90"/>
        <v>2342042.074324362</v>
      </c>
      <c r="F126" s="524">
        <f t="shared" si="90"/>
        <v>1489946.1874122599</v>
      </c>
      <c r="G126" s="524">
        <f t="shared" si="90"/>
        <v>1983945.5702305888</v>
      </c>
      <c r="H126" s="524">
        <f t="shared" si="90"/>
        <v>2239559.0559927495</v>
      </c>
      <c r="I126" s="524">
        <f t="shared" si="90"/>
        <v>2194213.8003364643</v>
      </c>
      <c r="J126" s="524">
        <f t="shared" si="90"/>
        <v>1906781.2231785129</v>
      </c>
      <c r="K126" s="524">
        <f t="shared" si="90"/>
        <v>1854200.9546260575</v>
      </c>
      <c r="L126" s="524">
        <f t="shared" si="90"/>
        <v>1759705.8841231836</v>
      </c>
      <c r="M126" s="524">
        <f t="shared" si="90"/>
        <v>1318253.9599692703</v>
      </c>
      <c r="N126" s="524">
        <f t="shared" si="90"/>
        <v>1707970.8491756693</v>
      </c>
      <c r="O126" s="524">
        <f t="shared" si="90"/>
        <v>1728767.3386947697</v>
      </c>
      <c r="P126" s="511">
        <f t="shared" si="69"/>
        <v>6.3856365159153938E-5</v>
      </c>
      <c r="Q126" s="530">
        <v>1449573</v>
      </c>
      <c r="R126" s="480"/>
      <c r="S126" s="479"/>
      <c r="T126" s="512"/>
      <c r="U126" s="513"/>
    </row>
    <row r="127" spans="1:21" s="492" customFormat="1" x14ac:dyDescent="0.15">
      <c r="A127" s="579"/>
      <c r="B127" s="527" t="s">
        <v>294</v>
      </c>
      <c r="C127" s="515">
        <f>'FG1'!I22</f>
        <v>15133780.403704993</v>
      </c>
      <c r="D127" s="515">
        <f t="shared" ref="D127:O127" si="91">$C127*D$19%</f>
        <v>1144638.9193160743</v>
      </c>
      <c r="E127" s="515">
        <f t="shared" si="91"/>
        <v>1639981.0774277654</v>
      </c>
      <c r="F127" s="515">
        <f t="shared" si="91"/>
        <v>1060076.8106776888</v>
      </c>
      <c r="G127" s="515">
        <f t="shared" si="91"/>
        <v>1302196.955005504</v>
      </c>
      <c r="H127" s="515">
        <f t="shared" si="91"/>
        <v>1590267.0157640832</v>
      </c>
      <c r="I127" s="515">
        <f t="shared" si="91"/>
        <v>1559022.9373186817</v>
      </c>
      <c r="J127" s="515">
        <f t="shared" si="91"/>
        <v>1208560.1845397821</v>
      </c>
      <c r="K127" s="515">
        <f t="shared" si="91"/>
        <v>1283170.3201835209</v>
      </c>
      <c r="L127" s="515">
        <f t="shared" si="91"/>
        <v>1205861.8327347718</v>
      </c>
      <c r="M127" s="515">
        <f t="shared" si="91"/>
        <v>799393.72275042953</v>
      </c>
      <c r="N127" s="515">
        <f t="shared" si="91"/>
        <v>1166674.3927762283</v>
      </c>
      <c r="O127" s="515">
        <f t="shared" si="91"/>
        <v>1173936.2351953299</v>
      </c>
      <c r="P127" s="511">
        <f t="shared" si="69"/>
        <v>1.5133293345570564E-5</v>
      </c>
      <c r="Q127" s="530">
        <v>993094</v>
      </c>
      <c r="R127" s="480"/>
      <c r="S127" s="479"/>
      <c r="U127" s="513"/>
    </row>
    <row r="128" spans="1:21" s="492" customFormat="1" x14ac:dyDescent="0.15">
      <c r="A128" s="579"/>
      <c r="B128" s="528" t="s">
        <v>296</v>
      </c>
      <c r="C128" s="517">
        <f>FFM!J22</f>
        <v>4067898.0574717349</v>
      </c>
      <c r="D128" s="517">
        <f t="shared" ref="D128:O128" si="92">$C128*D$20%</f>
        <v>307627.22406183917</v>
      </c>
      <c r="E128" s="517">
        <f t="shared" si="92"/>
        <v>441033.60915208131</v>
      </c>
      <c r="F128" s="517">
        <f t="shared" si="92"/>
        <v>284852.81578482164</v>
      </c>
      <c r="G128" s="517">
        <f t="shared" si="92"/>
        <v>350061.02092379972</v>
      </c>
      <c r="H128" s="517">
        <f t="shared" si="92"/>
        <v>427644.5353801031</v>
      </c>
      <c r="I128" s="517">
        <f t="shared" si="92"/>
        <v>419229.82626338425</v>
      </c>
      <c r="J128" s="517">
        <f t="shared" si="92"/>
        <v>324814.12687413726</v>
      </c>
      <c r="K128" s="517">
        <f t="shared" si="92"/>
        <v>344908.25449878874</v>
      </c>
      <c r="L128" s="517">
        <f t="shared" si="92"/>
        <v>324087.40048219182</v>
      </c>
      <c r="M128" s="517">
        <f t="shared" si="92"/>
        <v>214616.72356971333</v>
      </c>
      <c r="N128" s="517">
        <f t="shared" si="92"/>
        <v>313533.3740466364</v>
      </c>
      <c r="O128" s="517">
        <f t="shared" si="92"/>
        <v>315489.14638542343</v>
      </c>
      <c r="P128" s="511">
        <f t="shared" si="69"/>
        <v>4.8814283218234777E-5</v>
      </c>
      <c r="Q128" s="530">
        <v>304053</v>
      </c>
      <c r="R128" s="480"/>
      <c r="S128" s="479"/>
      <c r="U128" s="513"/>
    </row>
    <row r="129" spans="1:21" s="492" customFormat="1" ht="18" x14ac:dyDescent="0.15">
      <c r="A129" s="579"/>
      <c r="B129" s="528" t="s">
        <v>297</v>
      </c>
      <c r="C129" s="517">
        <f>IEPS!I21</f>
        <v>365995.35455413209</v>
      </c>
      <c r="D129" s="517">
        <f t="shared" ref="D129:O129" si="93">$C129*D$21%</f>
        <v>25707.448163630113</v>
      </c>
      <c r="E129" s="517">
        <f t="shared" si="93"/>
        <v>58759.68594228405</v>
      </c>
      <c r="F129" s="517">
        <f t="shared" si="93"/>
        <v>24406.412232605806</v>
      </c>
      <c r="G129" s="517">
        <f t="shared" si="93"/>
        <v>23719.615018198958</v>
      </c>
      <c r="H129" s="517">
        <f t="shared" si="93"/>
        <v>26187.759858480535</v>
      </c>
      <c r="I129" s="517">
        <f t="shared" si="93"/>
        <v>27157.228708089166</v>
      </c>
      <c r="J129" s="517">
        <f t="shared" si="93"/>
        <v>27966.925312814772</v>
      </c>
      <c r="K129" s="517">
        <f t="shared" si="93"/>
        <v>30979.165616992595</v>
      </c>
      <c r="L129" s="517">
        <f t="shared" si="93"/>
        <v>31044.081057216532</v>
      </c>
      <c r="M129" s="517">
        <f t="shared" si="93"/>
        <v>30699.049263269557</v>
      </c>
      <c r="N129" s="517">
        <f t="shared" si="93"/>
        <v>29706.522121463437</v>
      </c>
      <c r="O129" s="517">
        <f t="shared" si="93"/>
        <v>29661.461258720567</v>
      </c>
      <c r="P129" s="511">
        <f t="shared" si="69"/>
        <v>3.6602068576030433E-7</v>
      </c>
      <c r="Q129" s="530">
        <v>25647</v>
      </c>
      <c r="R129" s="480"/>
      <c r="S129" s="479"/>
      <c r="U129" s="513"/>
    </row>
    <row r="130" spans="1:21" s="492" customFormat="1" x14ac:dyDescent="0.15">
      <c r="A130" s="579"/>
      <c r="B130" s="528" t="s">
        <v>236</v>
      </c>
      <c r="C130" s="517">
        <f>ISR!C12</f>
        <v>945979.81</v>
      </c>
      <c r="D130" s="517">
        <f>ISR!D12</f>
        <v>83790.96211493024</v>
      </c>
      <c r="E130" s="517">
        <f>ISR!E12</f>
        <v>85082.077711008606</v>
      </c>
      <c r="F130" s="517">
        <f>ISR!F12</f>
        <v>10370.416157883876</v>
      </c>
      <c r="G130" s="517">
        <f>ISR!G12</f>
        <v>88724.556634619075</v>
      </c>
      <c r="H130" s="517">
        <f>ISR!H12</f>
        <v>83680.628489628492</v>
      </c>
      <c r="I130" s="517">
        <f>ISR!I12</f>
        <v>81477.138684324571</v>
      </c>
      <c r="J130" s="517">
        <f>ISR!J12</f>
        <v>85820.464280335291</v>
      </c>
      <c r="K130" s="517">
        <f>ISR!K12</f>
        <v>84759.564037049859</v>
      </c>
      <c r="L130" s="517">
        <f>ISR!L12</f>
        <v>86407.142114872171</v>
      </c>
      <c r="M130" s="517">
        <f>ISR!M12</f>
        <v>84351.117443384908</v>
      </c>
      <c r="N130" s="517">
        <f>ISR!N12</f>
        <v>85370.642577182269</v>
      </c>
      <c r="O130" s="517">
        <f>ISR!O12</f>
        <v>86145.09975478072</v>
      </c>
      <c r="P130" s="511">
        <f t="shared" si="69"/>
        <v>0</v>
      </c>
      <c r="Q130" s="530">
        <v>0</v>
      </c>
      <c r="R130" s="480"/>
      <c r="S130" s="479"/>
      <c r="U130" s="513"/>
    </row>
    <row r="131" spans="1:21" s="492" customFormat="1" ht="18" x14ac:dyDescent="0.15">
      <c r="A131" s="579"/>
      <c r="B131" s="528" t="s">
        <v>298</v>
      </c>
      <c r="C131" s="517">
        <f>FOFIR!I21</f>
        <v>707833.21439915639</v>
      </c>
      <c r="D131" s="517">
        <f t="shared" ref="D131:O131" si="94">$C131*D$23%</f>
        <v>96771.768699519889</v>
      </c>
      <c r="E131" s="517">
        <f t="shared" si="94"/>
        <v>24620.752050324707</v>
      </c>
      <c r="F131" s="517">
        <f t="shared" si="94"/>
        <v>24620.752050324707</v>
      </c>
      <c r="G131" s="517">
        <f t="shared" si="94"/>
        <v>138943.13722677299</v>
      </c>
      <c r="H131" s="517">
        <f t="shared" si="94"/>
        <v>24620.752050324707</v>
      </c>
      <c r="I131" s="517">
        <f t="shared" si="94"/>
        <v>24620.752050324707</v>
      </c>
      <c r="J131" s="517">
        <f t="shared" si="94"/>
        <v>172822.87455745318</v>
      </c>
      <c r="K131" s="517">
        <f t="shared" si="94"/>
        <v>24620.752050324707</v>
      </c>
      <c r="L131" s="517">
        <f t="shared" si="94"/>
        <v>24620.752050324707</v>
      </c>
      <c r="M131" s="517">
        <f t="shared" si="94"/>
        <v>102329.41751564402</v>
      </c>
      <c r="N131" s="517">
        <f t="shared" si="94"/>
        <v>24620.752050324707</v>
      </c>
      <c r="O131" s="517">
        <f t="shared" si="94"/>
        <v>24620.752050324707</v>
      </c>
      <c r="P131" s="511">
        <f t="shared" si="69"/>
        <v>-2.8312788344919682E-6</v>
      </c>
      <c r="Q131" s="530">
        <v>30214</v>
      </c>
      <c r="R131" s="480"/>
      <c r="S131" s="479"/>
      <c r="U131" s="513"/>
    </row>
    <row r="132" spans="1:21" s="492" customFormat="1" ht="27" x14ac:dyDescent="0.15">
      <c r="A132" s="579"/>
      <c r="B132" s="528" t="s">
        <v>407</v>
      </c>
      <c r="C132" s="517">
        <f>FCISAN!I21</f>
        <v>44934.136389416504</v>
      </c>
      <c r="D132" s="517">
        <f t="shared" ref="D132:O132" si="95">$C132*D$24%</f>
        <v>3744.5113657697311</v>
      </c>
      <c r="E132" s="517">
        <f t="shared" si="95"/>
        <v>3744.5113657697311</v>
      </c>
      <c r="F132" s="517">
        <f t="shared" si="95"/>
        <v>3744.5113657697311</v>
      </c>
      <c r="G132" s="517">
        <f t="shared" si="95"/>
        <v>3744.5113657697311</v>
      </c>
      <c r="H132" s="517">
        <f t="shared" si="95"/>
        <v>3744.5113657697311</v>
      </c>
      <c r="I132" s="517">
        <f t="shared" si="95"/>
        <v>3744.5113657697311</v>
      </c>
      <c r="J132" s="517">
        <f t="shared" si="95"/>
        <v>3744.5113657697311</v>
      </c>
      <c r="K132" s="517">
        <f t="shared" si="95"/>
        <v>3744.5113657697311</v>
      </c>
      <c r="L132" s="517">
        <f t="shared" si="95"/>
        <v>3744.5113657697311</v>
      </c>
      <c r="M132" s="517">
        <f t="shared" si="95"/>
        <v>3744.5113657697311</v>
      </c>
      <c r="N132" s="517">
        <f t="shared" si="95"/>
        <v>3744.5113657697311</v>
      </c>
      <c r="O132" s="517">
        <f t="shared" si="95"/>
        <v>3744.5113657697311</v>
      </c>
      <c r="P132" s="511">
        <f t="shared" si="69"/>
        <v>1.7974343791138381E-7</v>
      </c>
      <c r="Q132" s="530">
        <v>3597</v>
      </c>
      <c r="R132" s="480"/>
      <c r="S132" s="479"/>
      <c r="U132" s="513"/>
    </row>
    <row r="133" spans="1:21" s="492" customFormat="1" ht="27" x14ac:dyDescent="0.15">
      <c r="A133" s="579"/>
      <c r="B133" s="528" t="s">
        <v>242</v>
      </c>
      <c r="C133" s="517">
        <f>ISAN!I21</f>
        <v>224451.28093570555</v>
      </c>
      <c r="D133" s="517">
        <f t="shared" ref="D133:O133" si="96">$C133*D$25%</f>
        <v>21599.756478050203</v>
      </c>
      <c r="E133" s="517">
        <f t="shared" si="96"/>
        <v>24124.672423116313</v>
      </c>
      <c r="F133" s="517">
        <f t="shared" si="96"/>
        <v>18722.875823416805</v>
      </c>
      <c r="G133" s="517">
        <f t="shared" si="96"/>
        <v>17376.760042315647</v>
      </c>
      <c r="H133" s="517">
        <f t="shared" si="96"/>
        <v>18579.59826758394</v>
      </c>
      <c r="I133" s="517">
        <f t="shared" si="96"/>
        <v>16136.946427678886</v>
      </c>
      <c r="J133" s="517">
        <f t="shared" si="96"/>
        <v>17481.907276982332</v>
      </c>
      <c r="K133" s="517">
        <f t="shared" si="96"/>
        <v>18028.441721452677</v>
      </c>
      <c r="L133" s="517">
        <f t="shared" si="96"/>
        <v>17715.310830701397</v>
      </c>
      <c r="M133" s="517">
        <f t="shared" si="96"/>
        <v>18149.765599860908</v>
      </c>
      <c r="N133" s="517">
        <f t="shared" si="96"/>
        <v>17573.188681605159</v>
      </c>
      <c r="O133" s="517">
        <f t="shared" si="96"/>
        <v>18962.057360247869</v>
      </c>
      <c r="P133" s="511">
        <f t="shared" si="69"/>
        <v>2.6934394554700702E-6</v>
      </c>
      <c r="Q133" s="530">
        <v>15439</v>
      </c>
      <c r="R133" s="480"/>
      <c r="S133" s="479"/>
      <c r="U133" s="513"/>
    </row>
    <row r="134" spans="1:21" s="492" customFormat="1" ht="18" x14ac:dyDescent="0.15">
      <c r="A134" s="579"/>
      <c r="B134" s="528" t="s">
        <v>403</v>
      </c>
      <c r="C134" s="517">
        <f>LOT!I21</f>
        <v>10865.012039154866</v>
      </c>
      <c r="D134" s="517">
        <f t="shared" ref="D134:O134" si="97">$C134*D$26%</f>
        <v>821.507786150877</v>
      </c>
      <c r="E134" s="517">
        <f t="shared" si="97"/>
        <v>809.86346006682049</v>
      </c>
      <c r="F134" s="517">
        <f t="shared" si="97"/>
        <v>795.99637269902166</v>
      </c>
      <c r="G134" s="517">
        <f t="shared" si="97"/>
        <v>875.77375342581752</v>
      </c>
      <c r="H134" s="517">
        <f t="shared" si="97"/>
        <v>716.54233790309468</v>
      </c>
      <c r="I134" s="517">
        <f t="shared" si="97"/>
        <v>972.38448482411866</v>
      </c>
      <c r="J134" s="517">
        <f t="shared" si="97"/>
        <v>2231.6213471431411</v>
      </c>
      <c r="K134" s="517">
        <f t="shared" si="97"/>
        <v>812.39020525413196</v>
      </c>
      <c r="L134" s="517">
        <f t="shared" si="97"/>
        <v>985.73460593372931</v>
      </c>
      <c r="M134" s="517">
        <f t="shared" si="97"/>
        <v>610.30480415860734</v>
      </c>
      <c r="N134" s="517">
        <f t="shared" si="97"/>
        <v>616.44644073256347</v>
      </c>
      <c r="O134" s="517">
        <f t="shared" si="97"/>
        <v>616.44644073256347</v>
      </c>
      <c r="P134" s="511">
        <f t="shared" si="69"/>
        <v>1.3038061297265813E-7</v>
      </c>
      <c r="Q134" s="530">
        <v>757</v>
      </c>
      <c r="R134" s="480"/>
      <c r="S134" s="479"/>
      <c r="U134" s="513"/>
    </row>
    <row r="135" spans="1:21" s="492" customFormat="1" ht="45" x14ac:dyDescent="0.15">
      <c r="A135" s="579"/>
      <c r="B135" s="518" t="s">
        <v>301</v>
      </c>
      <c r="C135" s="517">
        <f>'ENAJENAC DE INMUE'!I21</f>
        <v>42722.517003527115</v>
      </c>
      <c r="D135" s="517">
        <f t="shared" ref="D135:O135" si="98">$C135*D$27%</f>
        <v>1845.0025564834782</v>
      </c>
      <c r="E135" s="517">
        <f t="shared" si="98"/>
        <v>1872.1775956251645</v>
      </c>
      <c r="F135" s="517">
        <f t="shared" si="98"/>
        <v>1846.9381377975835</v>
      </c>
      <c r="G135" s="517">
        <f t="shared" si="98"/>
        <v>1836.1192886437752</v>
      </c>
      <c r="H135" s="517">
        <f t="shared" si="98"/>
        <v>2547.0481077230806</v>
      </c>
      <c r="I135" s="517">
        <f t="shared" si="98"/>
        <v>1833.3081470249431</v>
      </c>
      <c r="J135" s="517">
        <f t="shared" si="98"/>
        <v>2106.9825595554776</v>
      </c>
      <c r="K135" s="517">
        <f t="shared" si="98"/>
        <v>2104.8137635402131</v>
      </c>
      <c r="L135" s="517">
        <f t="shared" si="98"/>
        <v>2102.1473758487805</v>
      </c>
      <c r="M135" s="517">
        <f t="shared" si="98"/>
        <v>1835.8187231762354</v>
      </c>
      <c r="N135" s="517">
        <f t="shared" si="98"/>
        <v>7632.6591286619296</v>
      </c>
      <c r="O135" s="517">
        <f t="shared" si="98"/>
        <v>15159.501619361008</v>
      </c>
      <c r="P135" s="511">
        <f t="shared" si="69"/>
        <v>8.5447027231566608E-8</v>
      </c>
      <c r="Q135" s="530">
        <v>11004</v>
      </c>
      <c r="R135" s="480"/>
      <c r="S135" s="479"/>
      <c r="U135" s="513"/>
    </row>
    <row r="136" spans="1:21" s="492" customFormat="1" ht="27" x14ac:dyDescent="0.15">
      <c r="A136" s="579"/>
      <c r="B136" s="518" t="s">
        <v>248</v>
      </c>
      <c r="C136" s="517">
        <f>'IMP BEBIDAS AL'!I21</f>
        <v>16698.217292654717</v>
      </c>
      <c r="D136" s="517">
        <f t="shared" ref="D136:O136" si="99">$C136*D$28%</f>
        <v>3797.0175725226914</v>
      </c>
      <c r="E136" s="517">
        <f t="shared" si="99"/>
        <v>1306.0361558180132</v>
      </c>
      <c r="F136" s="517">
        <f t="shared" si="99"/>
        <v>1403.5357628550896</v>
      </c>
      <c r="G136" s="517">
        <f t="shared" si="99"/>
        <v>1393.4602469042886</v>
      </c>
      <c r="H136" s="517">
        <f t="shared" si="99"/>
        <v>887.36220011906789</v>
      </c>
      <c r="I136" s="517">
        <f t="shared" si="99"/>
        <v>1452.1696679717413</v>
      </c>
      <c r="J136" s="517">
        <f t="shared" si="99"/>
        <v>1443.995619733156</v>
      </c>
      <c r="K136" s="517">
        <f t="shared" si="99"/>
        <v>1320.6393544557009</v>
      </c>
      <c r="L136" s="517">
        <f t="shared" si="99"/>
        <v>957.76482195520794</v>
      </c>
      <c r="M136" s="517">
        <f t="shared" si="99"/>
        <v>890.32724208395086</v>
      </c>
      <c r="N136" s="517">
        <f t="shared" si="99"/>
        <v>896.62061704654275</v>
      </c>
      <c r="O136" s="517">
        <f t="shared" si="99"/>
        <v>949.28803118926783</v>
      </c>
      <c r="P136" s="511">
        <f t="shared" si="69"/>
        <v>-2.1600499167107046E-12</v>
      </c>
      <c r="Q136" s="530">
        <v>472</v>
      </c>
      <c r="R136" s="480"/>
      <c r="S136" s="479"/>
      <c r="U136" s="513"/>
    </row>
    <row r="137" spans="1:21" s="492" customFormat="1" ht="18" x14ac:dyDescent="0.15">
      <c r="A137" s="579"/>
      <c r="B137" s="518" t="s">
        <v>253</v>
      </c>
      <c r="C137" s="517">
        <f>'FOND GASO Y D'!Q22</f>
        <v>0</v>
      </c>
      <c r="D137" s="517">
        <f t="shared" ref="D137:O137" si="100">$C137*D$29%</f>
        <v>0</v>
      </c>
      <c r="E137" s="517">
        <f t="shared" si="100"/>
        <v>0</v>
      </c>
      <c r="F137" s="517">
        <f t="shared" si="100"/>
        <v>0</v>
      </c>
      <c r="G137" s="517">
        <f t="shared" si="100"/>
        <v>0</v>
      </c>
      <c r="H137" s="517">
        <f t="shared" si="100"/>
        <v>0</v>
      </c>
      <c r="I137" s="517">
        <f t="shared" si="100"/>
        <v>0</v>
      </c>
      <c r="J137" s="517">
        <f t="shared" si="100"/>
        <v>0</v>
      </c>
      <c r="K137" s="517">
        <f t="shared" si="100"/>
        <v>0</v>
      </c>
      <c r="L137" s="517">
        <f t="shared" si="100"/>
        <v>0</v>
      </c>
      <c r="M137" s="517">
        <f t="shared" si="100"/>
        <v>0</v>
      </c>
      <c r="N137" s="517">
        <f t="shared" si="100"/>
        <v>0</v>
      </c>
      <c r="O137" s="517">
        <f t="shared" si="100"/>
        <v>0</v>
      </c>
      <c r="P137" s="511">
        <f t="shared" si="69"/>
        <v>0</v>
      </c>
      <c r="Q137" s="530">
        <v>21918</v>
      </c>
      <c r="R137" s="480"/>
      <c r="S137" s="479"/>
      <c r="U137" s="513"/>
    </row>
    <row r="138" spans="1:21" s="492" customFormat="1" ht="18" x14ac:dyDescent="0.15">
      <c r="A138" s="579"/>
      <c r="B138" s="528" t="s">
        <v>408</v>
      </c>
      <c r="C138" s="519">
        <f>'FOND GASO Y D'!H22</f>
        <v>709787.98987462767</v>
      </c>
      <c r="D138" s="517">
        <f t="shared" ref="D138:O138" si="101">$C138*D$30%</f>
        <v>55214.977422383723</v>
      </c>
      <c r="E138" s="517">
        <f t="shared" si="101"/>
        <v>60707.611040501717</v>
      </c>
      <c r="F138" s="517">
        <f t="shared" si="101"/>
        <v>59105.123046397042</v>
      </c>
      <c r="G138" s="517">
        <f t="shared" si="101"/>
        <v>55073.660724635098</v>
      </c>
      <c r="H138" s="517">
        <f t="shared" si="101"/>
        <v>60683.302171029536</v>
      </c>
      <c r="I138" s="517">
        <f t="shared" si="101"/>
        <v>58566.597218390547</v>
      </c>
      <c r="J138" s="517">
        <f t="shared" si="101"/>
        <v>59787.629444806691</v>
      </c>
      <c r="K138" s="517">
        <f t="shared" si="101"/>
        <v>59752.101828908009</v>
      </c>
      <c r="L138" s="517">
        <f t="shared" si="101"/>
        <v>62179.206683597498</v>
      </c>
      <c r="M138" s="517">
        <f t="shared" si="101"/>
        <v>61633.201691779876</v>
      </c>
      <c r="N138" s="517">
        <f t="shared" si="101"/>
        <v>57601.739370017938</v>
      </c>
      <c r="O138" s="517">
        <f t="shared" si="101"/>
        <v>59482.83923288979</v>
      </c>
      <c r="P138" s="511">
        <f t="shared" si="69"/>
        <v>-7.098133210092783E-7</v>
      </c>
      <c r="Q138" s="530">
        <v>43378</v>
      </c>
      <c r="R138" s="480"/>
      <c r="S138" s="479"/>
      <c r="U138" s="513"/>
    </row>
    <row r="139" spans="1:21" s="492" customFormat="1" x14ac:dyDescent="0.15">
      <c r="A139" s="579"/>
      <c r="B139" s="520"/>
      <c r="C139" s="521"/>
      <c r="D139" s="522"/>
      <c r="E139" s="522"/>
      <c r="F139" s="522"/>
      <c r="G139" s="522"/>
      <c r="H139" s="522"/>
      <c r="I139" s="522"/>
      <c r="J139" s="522"/>
      <c r="K139" s="522"/>
      <c r="L139" s="522"/>
      <c r="M139" s="522"/>
      <c r="N139" s="522"/>
      <c r="O139" s="522"/>
      <c r="P139" s="511">
        <f t="shared" si="69"/>
        <v>0</v>
      </c>
      <c r="Q139" s="530">
        <v>0</v>
      </c>
      <c r="R139" s="480"/>
      <c r="S139" s="479"/>
      <c r="U139" s="513"/>
    </row>
    <row r="140" spans="1:21" s="492" customFormat="1" x14ac:dyDescent="0.15">
      <c r="A140" s="588"/>
      <c r="B140" s="523"/>
      <c r="C140" s="521"/>
      <c r="D140" s="521"/>
      <c r="E140" s="521"/>
      <c r="F140" s="521"/>
      <c r="G140" s="521"/>
      <c r="H140" s="521"/>
      <c r="I140" s="521"/>
      <c r="J140" s="521"/>
      <c r="K140" s="521"/>
      <c r="L140" s="521"/>
      <c r="M140" s="521"/>
      <c r="N140" s="521"/>
      <c r="O140" s="521"/>
      <c r="P140" s="511">
        <f t="shared" si="69"/>
        <v>0</v>
      </c>
      <c r="Q140" s="530">
        <v>0</v>
      </c>
      <c r="R140" s="480"/>
      <c r="S140" s="479"/>
      <c r="U140" s="513"/>
    </row>
    <row r="141" spans="1:21" s="492" customFormat="1" x14ac:dyDescent="0.15">
      <c r="A141" s="584">
        <v>8</v>
      </c>
      <c r="B141" s="509" t="s">
        <v>59</v>
      </c>
      <c r="C141" s="524">
        <f t="shared" ref="C141:O141" si="102">SUM(C142:C153)</f>
        <v>117753457.35341644</v>
      </c>
      <c r="D141" s="524">
        <f t="shared" si="102"/>
        <v>9177803.2326984778</v>
      </c>
      <c r="E141" s="524">
        <f t="shared" si="102"/>
        <v>12509374.867845958</v>
      </c>
      <c r="F141" s="524">
        <f t="shared" si="102"/>
        <v>8137653.5298319533</v>
      </c>
      <c r="G141" s="524">
        <f t="shared" si="102"/>
        <v>10492927.816788377</v>
      </c>
      <c r="H141" s="524">
        <f t="shared" si="102"/>
        <v>11940257.808747899</v>
      </c>
      <c r="I141" s="524">
        <f t="shared" si="102"/>
        <v>11705044.607623896</v>
      </c>
      <c r="J141" s="524">
        <f t="shared" si="102"/>
        <v>10057553.863876326</v>
      </c>
      <c r="K141" s="524">
        <f t="shared" si="102"/>
        <v>9767570.0773989521</v>
      </c>
      <c r="L141" s="524">
        <f t="shared" si="102"/>
        <v>9217318.6735980865</v>
      </c>
      <c r="M141" s="524">
        <f t="shared" si="102"/>
        <v>6745005.7618786925</v>
      </c>
      <c r="N141" s="524">
        <f t="shared" si="102"/>
        <v>8948532.4258176088</v>
      </c>
      <c r="O141" s="524">
        <f t="shared" si="102"/>
        <v>9054414.686948007</v>
      </c>
      <c r="P141" s="511">
        <f t="shared" si="69"/>
        <v>3.6222673952579498E-4</v>
      </c>
      <c r="Q141" s="530">
        <v>7348401</v>
      </c>
      <c r="R141" s="480"/>
      <c r="S141" s="479"/>
      <c r="T141" s="512"/>
      <c r="U141" s="513"/>
    </row>
    <row r="142" spans="1:21" s="492" customFormat="1" x14ac:dyDescent="0.15">
      <c r="A142" s="579"/>
      <c r="B142" s="525" t="s">
        <v>294</v>
      </c>
      <c r="C142" s="526">
        <f>'FG1'!I23</f>
        <v>85220631.494897261</v>
      </c>
      <c r="D142" s="526">
        <f t="shared" ref="D142:O142" si="103">$C142*D$19%</f>
        <v>6445636.7765103541</v>
      </c>
      <c r="E142" s="526">
        <f t="shared" si="103"/>
        <v>9234984.2094881069</v>
      </c>
      <c r="F142" s="526">
        <f t="shared" si="103"/>
        <v>5969454.612737244</v>
      </c>
      <c r="G142" s="526">
        <f t="shared" si="103"/>
        <v>7332870.167002894</v>
      </c>
      <c r="H142" s="526">
        <f t="shared" si="103"/>
        <v>8955036.7266953699</v>
      </c>
      <c r="I142" s="526">
        <f t="shared" si="103"/>
        <v>8779096.5435709115</v>
      </c>
      <c r="J142" s="526">
        <f t="shared" si="103"/>
        <v>6805587.1949123265</v>
      </c>
      <c r="K142" s="526">
        <f t="shared" si="103"/>
        <v>7225728.2770389542</v>
      </c>
      <c r="L142" s="526">
        <f t="shared" si="103"/>
        <v>6790392.3633048795</v>
      </c>
      <c r="M142" s="526">
        <f t="shared" si="103"/>
        <v>4501508.2846828122</v>
      </c>
      <c r="N142" s="526">
        <f t="shared" si="103"/>
        <v>6569721.8969144821</v>
      </c>
      <c r="O142" s="526">
        <f t="shared" si="103"/>
        <v>6610614.4419537084</v>
      </c>
      <c r="P142" s="511">
        <f t="shared" si="69"/>
        <v>8.5205771028995514E-5</v>
      </c>
      <c r="Q142" s="530">
        <v>5179039</v>
      </c>
      <c r="R142" s="480"/>
      <c r="S142" s="479"/>
      <c r="U142" s="513"/>
    </row>
    <row r="143" spans="1:21" s="492" customFormat="1" x14ac:dyDescent="0.15">
      <c r="A143" s="579"/>
      <c r="B143" s="525" t="s">
        <v>296</v>
      </c>
      <c r="C143" s="526">
        <f>FFM!J23</f>
        <v>22906955.966516931</v>
      </c>
      <c r="D143" s="526">
        <f t="shared" ref="D143:O143" si="104">$C143*D$20%</f>
        <v>1732295.9366553279</v>
      </c>
      <c r="E143" s="526">
        <f t="shared" si="104"/>
        <v>2483527.6896982468</v>
      </c>
      <c r="F143" s="526">
        <f t="shared" si="104"/>
        <v>1604049.7613100784</v>
      </c>
      <c r="G143" s="526">
        <f t="shared" si="104"/>
        <v>1971247.1351554168</v>
      </c>
      <c r="H143" s="526">
        <f t="shared" si="104"/>
        <v>2408131.7680222322</v>
      </c>
      <c r="I143" s="526">
        <f t="shared" si="104"/>
        <v>2360747.2543288074</v>
      </c>
      <c r="J143" s="526">
        <f t="shared" si="104"/>
        <v>1829078.0143671792</v>
      </c>
      <c r="K143" s="526">
        <f t="shared" si="104"/>
        <v>1942231.1195287041</v>
      </c>
      <c r="L143" s="526">
        <f t="shared" si="104"/>
        <v>1824985.70693351</v>
      </c>
      <c r="M143" s="526">
        <f t="shared" si="104"/>
        <v>1208539.5865463424</v>
      </c>
      <c r="N143" s="526">
        <f t="shared" si="104"/>
        <v>1765554.3703038546</v>
      </c>
      <c r="O143" s="526">
        <f t="shared" si="104"/>
        <v>1776567.6233923477</v>
      </c>
      <c r="P143" s="511">
        <f t="shared" si="69"/>
        <v>2.7488335035741329E-4</v>
      </c>
      <c r="Q143" s="530">
        <v>1585653</v>
      </c>
      <c r="R143" s="480"/>
      <c r="S143" s="479"/>
      <c r="U143" s="513"/>
    </row>
    <row r="144" spans="1:21" s="492" customFormat="1" ht="18" x14ac:dyDescent="0.15">
      <c r="A144" s="579"/>
      <c r="B144" s="527" t="s">
        <v>297</v>
      </c>
      <c r="C144" s="515">
        <f>IEPS!I22</f>
        <v>2060975.8042786226</v>
      </c>
      <c r="D144" s="515">
        <f t="shared" ref="D144:O144" si="105">$C144*D$21%</f>
        <v>144762.57142534928</v>
      </c>
      <c r="E144" s="515">
        <f t="shared" si="105"/>
        <v>330884.77623326407</v>
      </c>
      <c r="F144" s="515">
        <f t="shared" si="105"/>
        <v>137436.23916191168</v>
      </c>
      <c r="G144" s="515">
        <f t="shared" si="105"/>
        <v>133568.7790323621</v>
      </c>
      <c r="H144" s="515">
        <f t="shared" si="105"/>
        <v>147467.28002145895</v>
      </c>
      <c r="I144" s="515">
        <f t="shared" si="105"/>
        <v>152926.50735094055</v>
      </c>
      <c r="J144" s="515">
        <f t="shared" si="105"/>
        <v>157486.03273939516</v>
      </c>
      <c r="K144" s="515">
        <f t="shared" si="105"/>
        <v>174448.4184810021</v>
      </c>
      <c r="L144" s="515">
        <f t="shared" si="105"/>
        <v>174813.9672508454</v>
      </c>
      <c r="M144" s="515">
        <f t="shared" si="105"/>
        <v>172871.04046179407</v>
      </c>
      <c r="N144" s="515">
        <f t="shared" si="105"/>
        <v>167281.96836320357</v>
      </c>
      <c r="O144" s="515">
        <f t="shared" si="105"/>
        <v>167028.22375503468</v>
      </c>
      <c r="P144" s="511">
        <f t="shared" si="69"/>
        <v>2.0612496882677078E-6</v>
      </c>
      <c r="Q144" s="530">
        <v>133753</v>
      </c>
      <c r="R144" s="480"/>
      <c r="S144" s="479"/>
      <c r="U144" s="513"/>
    </row>
    <row r="145" spans="1:21" s="492" customFormat="1" x14ac:dyDescent="0.15">
      <c r="A145" s="579"/>
      <c r="B145" s="528" t="s">
        <v>236</v>
      </c>
      <c r="C145" s="517">
        <f>ISR!C13</f>
        <v>259604.29</v>
      </c>
      <c r="D145" s="517">
        <f>ISR!D13</f>
        <v>21633.690833333327</v>
      </c>
      <c r="E145" s="517">
        <f>ISR!E13</f>
        <v>21633.690833333327</v>
      </c>
      <c r="F145" s="517">
        <f>ISR!F13</f>
        <v>21633.690833333327</v>
      </c>
      <c r="G145" s="517">
        <f>ISR!G13</f>
        <v>21633.690833333327</v>
      </c>
      <c r="H145" s="517">
        <f>ISR!H13</f>
        <v>21633.690833333327</v>
      </c>
      <c r="I145" s="517">
        <f>ISR!I13</f>
        <v>21633.690833333327</v>
      </c>
      <c r="J145" s="517">
        <f>ISR!J13</f>
        <v>21633.690833333327</v>
      </c>
      <c r="K145" s="517">
        <f>ISR!K13</f>
        <v>21633.690833333327</v>
      </c>
      <c r="L145" s="517">
        <f>ISR!L13</f>
        <v>21633.690833333327</v>
      </c>
      <c r="M145" s="517">
        <f>ISR!M13</f>
        <v>21633.690833333327</v>
      </c>
      <c r="N145" s="517">
        <f>ISR!N13</f>
        <v>21633.690833333327</v>
      </c>
      <c r="O145" s="517">
        <f>ISR!O13</f>
        <v>21633.690833333327</v>
      </c>
      <c r="P145" s="511">
        <f t="shared" si="69"/>
        <v>8.7311491370201111E-11</v>
      </c>
      <c r="Q145" s="530">
        <v>0</v>
      </c>
      <c r="R145" s="480"/>
      <c r="S145" s="479"/>
      <c r="U145" s="513"/>
    </row>
    <row r="146" spans="1:21" s="492" customFormat="1" ht="18" x14ac:dyDescent="0.15">
      <c r="A146" s="579"/>
      <c r="B146" s="528" t="s">
        <v>298</v>
      </c>
      <c r="C146" s="517">
        <f>FOFIR!I22</f>
        <v>3985917.0620310651</v>
      </c>
      <c r="D146" s="517">
        <f t="shared" ref="D146:O146" si="106">$C146*D$23%</f>
        <v>544936.62650425604</v>
      </c>
      <c r="E146" s="517">
        <f t="shared" si="106"/>
        <v>138643.21944927162</v>
      </c>
      <c r="F146" s="517">
        <f t="shared" si="106"/>
        <v>138643.21944927162</v>
      </c>
      <c r="G146" s="517">
        <f t="shared" si="106"/>
        <v>782410.05092481314</v>
      </c>
      <c r="H146" s="517">
        <f t="shared" si="106"/>
        <v>138643.21944927162</v>
      </c>
      <c r="I146" s="517">
        <f t="shared" si="106"/>
        <v>138643.21944927162</v>
      </c>
      <c r="J146" s="517">
        <f t="shared" si="106"/>
        <v>973192.03223960497</v>
      </c>
      <c r="K146" s="517">
        <f t="shared" si="106"/>
        <v>138643.21944927162</v>
      </c>
      <c r="L146" s="517">
        <f t="shared" si="106"/>
        <v>138643.21944927162</v>
      </c>
      <c r="M146" s="517">
        <f t="shared" si="106"/>
        <v>576232.59678416152</v>
      </c>
      <c r="N146" s="517">
        <f t="shared" si="106"/>
        <v>138643.21944927162</v>
      </c>
      <c r="O146" s="517">
        <f t="shared" si="106"/>
        <v>138643.21944927162</v>
      </c>
      <c r="P146" s="511">
        <f t="shared" si="69"/>
        <v>-1.5942612662911415E-5</v>
      </c>
      <c r="Q146" s="530">
        <v>157546</v>
      </c>
      <c r="R146" s="480"/>
      <c r="S146" s="479"/>
      <c r="U146" s="513"/>
    </row>
    <row r="147" spans="1:21" s="492" customFormat="1" ht="27" x14ac:dyDescent="0.15">
      <c r="A147" s="579"/>
      <c r="B147" s="528" t="s">
        <v>407</v>
      </c>
      <c r="C147" s="517">
        <f>FCISAN!I22</f>
        <v>253030.99269541661</v>
      </c>
      <c r="D147" s="517">
        <f t="shared" ref="D147:O147" si="107">$C147*D$24%</f>
        <v>21085.916057867045</v>
      </c>
      <c r="E147" s="517">
        <f t="shared" si="107"/>
        <v>21085.916057867045</v>
      </c>
      <c r="F147" s="517">
        <f t="shared" si="107"/>
        <v>21085.916057867045</v>
      </c>
      <c r="G147" s="517">
        <f t="shared" si="107"/>
        <v>21085.916057867045</v>
      </c>
      <c r="H147" s="517">
        <f t="shared" si="107"/>
        <v>21085.916057867045</v>
      </c>
      <c r="I147" s="517">
        <f t="shared" si="107"/>
        <v>21085.916057867045</v>
      </c>
      <c r="J147" s="517">
        <f t="shared" si="107"/>
        <v>21085.916057867045</v>
      </c>
      <c r="K147" s="517">
        <f t="shared" si="107"/>
        <v>21085.916057867045</v>
      </c>
      <c r="L147" s="517">
        <f t="shared" si="107"/>
        <v>21085.916057867045</v>
      </c>
      <c r="M147" s="517">
        <f t="shared" si="107"/>
        <v>21085.916057867045</v>
      </c>
      <c r="N147" s="517">
        <f t="shared" si="107"/>
        <v>21085.916057867045</v>
      </c>
      <c r="O147" s="517">
        <f t="shared" si="107"/>
        <v>21085.916057867045</v>
      </c>
      <c r="P147" s="511">
        <f t="shared" si="69"/>
        <v>1.0120347724296153E-6</v>
      </c>
      <c r="Q147" s="530">
        <v>18740</v>
      </c>
      <c r="R147" s="480"/>
      <c r="S147" s="479"/>
      <c r="U147" s="513"/>
    </row>
    <row r="148" spans="1:21" s="492" customFormat="1" ht="27" x14ac:dyDescent="0.15">
      <c r="A148" s="579"/>
      <c r="B148" s="528" t="s">
        <v>242</v>
      </c>
      <c r="C148" s="517">
        <f>ISAN!I22</f>
        <v>1263919.4828343492</v>
      </c>
      <c r="D148" s="517">
        <f t="shared" ref="D148:O148" si="108">$C148*D$25%</f>
        <v>121631.53145428174</v>
      </c>
      <c r="E148" s="517">
        <f t="shared" si="108"/>
        <v>135849.71921504711</v>
      </c>
      <c r="F148" s="517">
        <f t="shared" si="108"/>
        <v>105431.37659652457</v>
      </c>
      <c r="G148" s="517">
        <f t="shared" si="108"/>
        <v>97851.192804337188</v>
      </c>
      <c r="H148" s="517">
        <f t="shared" si="108"/>
        <v>104624.55877167144</v>
      </c>
      <c r="I148" s="517">
        <f t="shared" si="108"/>
        <v>90869.612765720449</v>
      </c>
      <c r="J148" s="517">
        <f t="shared" si="108"/>
        <v>98443.292960359235</v>
      </c>
      <c r="K148" s="517">
        <f t="shared" si="108"/>
        <v>101520.91198541613</v>
      </c>
      <c r="L148" s="517">
        <f t="shared" si="108"/>
        <v>99757.624060090428</v>
      </c>
      <c r="M148" s="517">
        <f t="shared" si="108"/>
        <v>102204.10529584822</v>
      </c>
      <c r="N148" s="517">
        <f t="shared" si="108"/>
        <v>98957.312507239534</v>
      </c>
      <c r="O148" s="517">
        <f t="shared" si="108"/>
        <v>106778.24440264612</v>
      </c>
      <c r="P148" s="511">
        <f t="shared" si="69"/>
        <v>1.5166893717832863E-5</v>
      </c>
      <c r="Q148" s="530">
        <v>80507</v>
      </c>
      <c r="R148" s="480"/>
      <c r="S148" s="479"/>
      <c r="U148" s="513"/>
    </row>
    <row r="149" spans="1:21" s="492" customFormat="1" ht="18" x14ac:dyDescent="0.15">
      <c r="A149" s="579"/>
      <c r="B149" s="528" t="s">
        <v>403</v>
      </c>
      <c r="C149" s="517">
        <f>LOT!I22</f>
        <v>61182.544115002383</v>
      </c>
      <c r="D149" s="517">
        <f t="shared" ref="D149:O149" si="109">$C149*D$26%</f>
        <v>4626.0359570575856</v>
      </c>
      <c r="E149" s="517">
        <f t="shared" si="109"/>
        <v>4560.4649763941652</v>
      </c>
      <c r="F149" s="517">
        <f t="shared" si="109"/>
        <v>4482.37728706907</v>
      </c>
      <c r="G149" s="517">
        <f t="shared" si="109"/>
        <v>4931.6159163597367</v>
      </c>
      <c r="H149" s="517">
        <f t="shared" si="109"/>
        <v>4034.9594681565691</v>
      </c>
      <c r="I149" s="517">
        <f t="shared" si="109"/>
        <v>5475.6457171973052</v>
      </c>
      <c r="J149" s="517">
        <f t="shared" si="109"/>
        <v>12566.60103343859</v>
      </c>
      <c r="K149" s="517">
        <f t="shared" si="109"/>
        <v>4574.6934648977158</v>
      </c>
      <c r="L149" s="517">
        <f t="shared" si="109"/>
        <v>5550.822290475443</v>
      </c>
      <c r="M149" s="517">
        <f t="shared" si="109"/>
        <v>3436.7196713144526</v>
      </c>
      <c r="N149" s="517">
        <f t="shared" si="109"/>
        <v>3471.3041659537807</v>
      </c>
      <c r="O149" s="517">
        <f t="shared" si="109"/>
        <v>3471.3041659537807</v>
      </c>
      <c r="P149" s="511">
        <f t="shared" si="69"/>
        <v>7.3419414547970518E-7</v>
      </c>
      <c r="Q149" s="530">
        <v>3932</v>
      </c>
      <c r="R149" s="480"/>
      <c r="S149" s="479"/>
      <c r="U149" s="513"/>
    </row>
    <row r="150" spans="1:21" s="492" customFormat="1" ht="45" x14ac:dyDescent="0.15">
      <c r="A150" s="579"/>
      <c r="B150" s="518" t="s">
        <v>301</v>
      </c>
      <c r="C150" s="517">
        <f>'ENAJENAC DE INMUE'!I22</f>
        <v>240577.02576421225</v>
      </c>
      <c r="D150" s="517">
        <f t="shared" ref="D150:O150" si="110">$C150*D$27%</f>
        <v>10389.491507008313</v>
      </c>
      <c r="E150" s="517">
        <f t="shared" si="110"/>
        <v>10542.518307634156</v>
      </c>
      <c r="F150" s="517">
        <f t="shared" si="110"/>
        <v>10400.391061349499</v>
      </c>
      <c r="G150" s="517">
        <f t="shared" si="110"/>
        <v>10339.468467500454</v>
      </c>
      <c r="H150" s="517">
        <f t="shared" si="110"/>
        <v>14342.81735282111</v>
      </c>
      <c r="I150" s="517">
        <f t="shared" si="110"/>
        <v>10323.638499205168</v>
      </c>
      <c r="J150" s="517">
        <f t="shared" si="110"/>
        <v>11864.740962548523</v>
      </c>
      <c r="K150" s="517">
        <f t="shared" si="110"/>
        <v>11852.528140565246</v>
      </c>
      <c r="L150" s="517">
        <f t="shared" si="110"/>
        <v>11837.513303768854</v>
      </c>
      <c r="M150" s="517">
        <f t="shared" si="110"/>
        <v>10337.775937394556</v>
      </c>
      <c r="N150" s="517">
        <f t="shared" si="110"/>
        <v>42980.67063075785</v>
      </c>
      <c r="O150" s="517">
        <f t="shared" si="110"/>
        <v>85365.471593177353</v>
      </c>
      <c r="P150" s="511">
        <f t="shared" si="69"/>
        <v>4.8114452511072159E-7</v>
      </c>
      <c r="Q150" s="530">
        <v>57381</v>
      </c>
      <c r="R150" s="480"/>
      <c r="S150" s="479"/>
      <c r="U150" s="513"/>
    </row>
    <row r="151" spans="1:21" s="492" customFormat="1" ht="27" x14ac:dyDescent="0.15">
      <c r="A151" s="579"/>
      <c r="B151" s="518" t="s">
        <v>248</v>
      </c>
      <c r="C151" s="517">
        <f>'IMP BEBIDAS AL'!I22</f>
        <v>94030.214827926757</v>
      </c>
      <c r="D151" s="517">
        <f t="shared" ref="D151:O151" si="111">$C151*D$28%</f>
        <v>21381.586536592469</v>
      </c>
      <c r="E151" s="517">
        <f t="shared" si="111"/>
        <v>7354.4892938139092</v>
      </c>
      <c r="F151" s="517">
        <f t="shared" si="111"/>
        <v>7903.5244892875935</v>
      </c>
      <c r="G151" s="517">
        <f t="shared" si="111"/>
        <v>7846.7877183645824</v>
      </c>
      <c r="H151" s="517">
        <f t="shared" si="111"/>
        <v>4996.8722316292487</v>
      </c>
      <c r="I151" s="517">
        <f t="shared" si="111"/>
        <v>8177.3894454018837</v>
      </c>
      <c r="J151" s="517">
        <f t="shared" si="111"/>
        <v>8131.3601299116544</v>
      </c>
      <c r="K151" s="517">
        <f t="shared" si="111"/>
        <v>7436.7221382553753</v>
      </c>
      <c r="L151" s="517">
        <f t="shared" si="111"/>
        <v>5393.320160152346</v>
      </c>
      <c r="M151" s="517">
        <f t="shared" si="111"/>
        <v>5013.5688363053896</v>
      </c>
      <c r="N151" s="517">
        <f t="shared" si="111"/>
        <v>5049.0077930127936</v>
      </c>
      <c r="O151" s="517">
        <f t="shared" si="111"/>
        <v>5345.5860551995165</v>
      </c>
      <c r="P151" s="511">
        <f t="shared" si="69"/>
        <v>0</v>
      </c>
      <c r="Q151" s="530">
        <v>2455</v>
      </c>
      <c r="R151" s="480"/>
      <c r="S151" s="479"/>
      <c r="U151" s="513"/>
    </row>
    <row r="152" spans="1:21" s="492" customFormat="1" ht="18" x14ac:dyDescent="0.15">
      <c r="A152" s="579"/>
      <c r="B152" s="518" t="s">
        <v>253</v>
      </c>
      <c r="C152" s="517">
        <f>'FOND GASO Y D'!Q23</f>
        <v>0</v>
      </c>
      <c r="D152" s="517">
        <f t="shared" ref="D152:O152" si="112">$C152*D$29%</f>
        <v>0</v>
      </c>
      <c r="E152" s="517">
        <f t="shared" si="112"/>
        <v>0</v>
      </c>
      <c r="F152" s="517">
        <f t="shared" si="112"/>
        <v>0</v>
      </c>
      <c r="G152" s="517">
        <f t="shared" si="112"/>
        <v>0</v>
      </c>
      <c r="H152" s="517">
        <f t="shared" si="112"/>
        <v>0</v>
      </c>
      <c r="I152" s="517">
        <f t="shared" si="112"/>
        <v>0</v>
      </c>
      <c r="J152" s="517">
        <f t="shared" si="112"/>
        <v>0</v>
      </c>
      <c r="K152" s="517">
        <f t="shared" si="112"/>
        <v>0</v>
      </c>
      <c r="L152" s="517">
        <f t="shared" si="112"/>
        <v>0</v>
      </c>
      <c r="M152" s="517">
        <f t="shared" si="112"/>
        <v>0</v>
      </c>
      <c r="N152" s="517">
        <f t="shared" si="112"/>
        <v>0</v>
      </c>
      <c r="O152" s="517">
        <f t="shared" si="112"/>
        <v>0</v>
      </c>
      <c r="P152" s="511">
        <f t="shared" si="69"/>
        <v>0</v>
      </c>
      <c r="Q152" s="530">
        <v>43430</v>
      </c>
      <c r="R152" s="480"/>
      <c r="S152" s="479"/>
      <c r="U152" s="513"/>
    </row>
    <row r="153" spans="1:21" s="492" customFormat="1" ht="18" x14ac:dyDescent="0.15">
      <c r="A153" s="579"/>
      <c r="B153" s="528" t="s">
        <v>408</v>
      </c>
      <c r="C153" s="519">
        <f>'FOND GASO Y D'!H23</f>
        <v>1406632.4754556383</v>
      </c>
      <c r="D153" s="517">
        <f t="shared" ref="D153:O153" si="113">$C153*D$30%</f>
        <v>109423.06925705155</v>
      </c>
      <c r="E153" s="517">
        <f t="shared" si="113"/>
        <v>120308.17429297765</v>
      </c>
      <c r="F153" s="517">
        <f t="shared" si="113"/>
        <v>117132.42084801791</v>
      </c>
      <c r="G153" s="517">
        <f t="shared" si="113"/>
        <v>109143.01287512759</v>
      </c>
      <c r="H153" s="517">
        <f t="shared" si="113"/>
        <v>120259.99984408732</v>
      </c>
      <c r="I153" s="517">
        <f t="shared" si="113"/>
        <v>116065.18960523601</v>
      </c>
      <c r="J153" s="517">
        <f t="shared" si="113"/>
        <v>118484.98764036228</v>
      </c>
      <c r="K153" s="517">
        <f t="shared" si="113"/>
        <v>118414.58028068375</v>
      </c>
      <c r="L153" s="517">
        <f t="shared" si="113"/>
        <v>123224.52995388872</v>
      </c>
      <c r="M153" s="517">
        <f t="shared" si="113"/>
        <v>122142.47677151911</v>
      </c>
      <c r="N153" s="517">
        <f t="shared" si="113"/>
        <v>114153.06879862882</v>
      </c>
      <c r="O153" s="517">
        <f t="shared" si="113"/>
        <v>117880.96528946416</v>
      </c>
      <c r="P153" s="511">
        <f t="shared" si="69"/>
        <v>-1.4064280549064279E-6</v>
      </c>
      <c r="Q153" s="530">
        <v>85965</v>
      </c>
      <c r="R153" s="480"/>
      <c r="S153" s="479"/>
      <c r="U153" s="513"/>
    </row>
    <row r="154" spans="1:21" s="492" customFormat="1" x14ac:dyDescent="0.15">
      <c r="A154" s="579"/>
      <c r="B154" s="520"/>
      <c r="C154" s="521"/>
      <c r="D154" s="522"/>
      <c r="E154" s="522"/>
      <c r="F154" s="522"/>
      <c r="G154" s="522"/>
      <c r="H154" s="522"/>
      <c r="I154" s="522"/>
      <c r="J154" s="522"/>
      <c r="K154" s="522"/>
      <c r="L154" s="522"/>
      <c r="M154" s="522"/>
      <c r="N154" s="522"/>
      <c r="O154" s="522"/>
      <c r="P154" s="511">
        <f t="shared" si="69"/>
        <v>0</v>
      </c>
      <c r="Q154" s="530">
        <v>0</v>
      </c>
      <c r="R154" s="480"/>
      <c r="S154" s="479"/>
      <c r="U154" s="513"/>
    </row>
    <row r="155" spans="1:21" s="492" customFormat="1" x14ac:dyDescent="0.15">
      <c r="A155" s="590"/>
      <c r="B155" s="522"/>
      <c r="C155" s="522"/>
      <c r="D155" s="522"/>
      <c r="E155" s="522"/>
      <c r="F155" s="522"/>
      <c r="G155" s="522"/>
      <c r="H155" s="522"/>
      <c r="I155" s="522"/>
      <c r="J155" s="522"/>
      <c r="K155" s="522"/>
      <c r="L155" s="522"/>
      <c r="M155" s="522"/>
      <c r="N155" s="522"/>
      <c r="O155" s="522"/>
      <c r="P155" s="511">
        <f t="shared" si="69"/>
        <v>0</v>
      </c>
      <c r="Q155" s="530">
        <v>0</v>
      </c>
      <c r="R155" s="480"/>
      <c r="S155" s="479"/>
      <c r="U155" s="513"/>
    </row>
    <row r="156" spans="1:21" s="492" customFormat="1" x14ac:dyDescent="0.15">
      <c r="A156" s="584">
        <v>9</v>
      </c>
      <c r="B156" s="509" t="s">
        <v>342</v>
      </c>
      <c r="C156" s="524">
        <f t="shared" ref="C156:O156" si="114">SUM(C157:C168)</f>
        <v>81762193.821118653</v>
      </c>
      <c r="D156" s="524">
        <f t="shared" si="114"/>
        <v>6361123.1062175492</v>
      </c>
      <c r="E156" s="524">
        <f t="shared" si="114"/>
        <v>8517987.7263988238</v>
      </c>
      <c r="F156" s="524">
        <f t="shared" si="114"/>
        <v>5755421.9519151188</v>
      </c>
      <c r="G156" s="524">
        <f t="shared" si="114"/>
        <v>7240849.9589535184</v>
      </c>
      <c r="H156" s="524">
        <f t="shared" si="114"/>
        <v>8196566.3828805666</v>
      </c>
      <c r="I156" s="524">
        <f t="shared" si="114"/>
        <v>8027817.7634869944</v>
      </c>
      <c r="J156" s="524">
        <f t="shared" si="114"/>
        <v>6971860.7085938556</v>
      </c>
      <c r="K156" s="524">
        <f t="shared" si="114"/>
        <v>6784414.9716142239</v>
      </c>
      <c r="L156" s="524">
        <f t="shared" si="114"/>
        <v>6434743.3988897633</v>
      </c>
      <c r="M156" s="524">
        <f t="shared" si="114"/>
        <v>4856710.7981270123</v>
      </c>
      <c r="N156" s="524">
        <f t="shared" si="114"/>
        <v>6271108.8840577872</v>
      </c>
      <c r="O156" s="524">
        <f t="shared" si="114"/>
        <v>6343588.1697530812</v>
      </c>
      <c r="P156" s="511">
        <f t="shared" si="69"/>
        <v>2.3035891354084015E-4</v>
      </c>
      <c r="Q156" s="530">
        <v>4698593</v>
      </c>
      <c r="R156" s="480"/>
      <c r="S156" s="479"/>
      <c r="T156" s="512"/>
      <c r="U156" s="513"/>
    </row>
    <row r="157" spans="1:21" s="492" customFormat="1" x14ac:dyDescent="0.15">
      <c r="A157" s="579"/>
      <c r="B157" s="527" t="s">
        <v>294</v>
      </c>
      <c r="C157" s="515">
        <f>'FG1'!I24</f>
        <v>54410116.875404626</v>
      </c>
      <c r="D157" s="515">
        <f t="shared" ref="D157:O157" si="115">$C157*D$19%</f>
        <v>4115292.7899546712</v>
      </c>
      <c r="E157" s="515">
        <f t="shared" si="115"/>
        <v>5896184.5431860099</v>
      </c>
      <c r="F157" s="515">
        <f t="shared" si="115"/>
        <v>3811268.673606398</v>
      </c>
      <c r="G157" s="515">
        <f t="shared" si="115"/>
        <v>4681757.4080366334</v>
      </c>
      <c r="H157" s="515">
        <f t="shared" si="115"/>
        <v>5717448.7723927582</v>
      </c>
      <c r="I157" s="515">
        <f t="shared" si="115"/>
        <v>5605117.6882531727</v>
      </c>
      <c r="J157" s="515">
        <f t="shared" si="115"/>
        <v>4345107.3781717839</v>
      </c>
      <c r="K157" s="515">
        <f t="shared" si="115"/>
        <v>4613351.4052538592</v>
      </c>
      <c r="L157" s="515">
        <f t="shared" si="115"/>
        <v>4335406.0587945301</v>
      </c>
      <c r="M157" s="515">
        <f t="shared" si="115"/>
        <v>2874041.0342988307</v>
      </c>
      <c r="N157" s="515">
        <f t="shared" si="115"/>
        <v>4194516.3979619825</v>
      </c>
      <c r="O157" s="515">
        <f t="shared" si="115"/>
        <v>4220624.7254395867</v>
      </c>
      <c r="P157" s="511">
        <f t="shared" si="69"/>
        <v>5.441717803478241E-5</v>
      </c>
      <c r="Q157" s="530">
        <v>3252803</v>
      </c>
      <c r="R157" s="480"/>
      <c r="S157" s="479"/>
      <c r="U157" s="513"/>
    </row>
    <row r="158" spans="1:21" s="492" customFormat="1" x14ac:dyDescent="0.15">
      <c r="A158" s="579"/>
      <c r="B158" s="528" t="s">
        <v>296</v>
      </c>
      <c r="C158" s="517">
        <f>FFM!J24</f>
        <v>14625216.095383691</v>
      </c>
      <c r="D158" s="517">
        <f t="shared" ref="D158:O158" si="116">$C158*D$20%</f>
        <v>1106004.7634339412</v>
      </c>
      <c r="E158" s="517">
        <f t="shared" si="116"/>
        <v>1585637.5327126784</v>
      </c>
      <c r="F158" s="517">
        <f t="shared" si="116"/>
        <v>1024124.4808432581</v>
      </c>
      <c r="G158" s="517">
        <f t="shared" si="116"/>
        <v>1258565.9732002211</v>
      </c>
      <c r="H158" s="517">
        <f t="shared" si="116"/>
        <v>1537500.1176482707</v>
      </c>
      <c r="I158" s="517">
        <f t="shared" si="116"/>
        <v>1507246.9162471774</v>
      </c>
      <c r="J158" s="517">
        <f t="shared" si="116"/>
        <v>1167796.4219487181</v>
      </c>
      <c r="K158" s="517">
        <f t="shared" si="116"/>
        <v>1240040.3559428258</v>
      </c>
      <c r="L158" s="517">
        <f t="shared" si="116"/>
        <v>1165183.6400219686</v>
      </c>
      <c r="M158" s="517">
        <f t="shared" si="116"/>
        <v>771606.34694988129</v>
      </c>
      <c r="N158" s="517">
        <f t="shared" si="116"/>
        <v>1127239.0024927962</v>
      </c>
      <c r="O158" s="517">
        <f t="shared" si="116"/>
        <v>1134270.5437664513</v>
      </c>
      <c r="P158" s="511">
        <f t="shared" si="69"/>
        <v>1.7550564371049404E-4</v>
      </c>
      <c r="Q158" s="530">
        <v>995903</v>
      </c>
      <c r="R158" s="480"/>
      <c r="S158" s="479"/>
      <c r="U158" s="513"/>
    </row>
    <row r="159" spans="1:21" s="492" customFormat="1" ht="18" x14ac:dyDescent="0.15">
      <c r="A159" s="579"/>
      <c r="B159" s="528" t="s">
        <v>297</v>
      </c>
      <c r="C159" s="517">
        <f>IEPS!I23</f>
        <v>1315854.299846339</v>
      </c>
      <c r="D159" s="517">
        <f t="shared" ref="D159:O159" si="117">$C159*D$21%</f>
        <v>92425.37038591395</v>
      </c>
      <c r="E159" s="517">
        <f t="shared" si="117"/>
        <v>211257.28630891448</v>
      </c>
      <c r="F159" s="517">
        <f t="shared" si="117"/>
        <v>87747.78717948636</v>
      </c>
      <c r="G159" s="517">
        <f t="shared" si="117"/>
        <v>85278.561664860128</v>
      </c>
      <c r="H159" s="517">
        <f t="shared" si="117"/>
        <v>94152.22347590838</v>
      </c>
      <c r="I159" s="517">
        <f t="shared" si="117"/>
        <v>97637.731525262396</v>
      </c>
      <c r="J159" s="517">
        <f t="shared" si="117"/>
        <v>100548.8142634494</v>
      </c>
      <c r="K159" s="517">
        <f t="shared" si="117"/>
        <v>111378.64941600621</v>
      </c>
      <c r="L159" s="517">
        <f t="shared" si="117"/>
        <v>111612.03833770208</v>
      </c>
      <c r="M159" s="517">
        <f t="shared" si="117"/>
        <v>110371.55382335102</v>
      </c>
      <c r="N159" s="517">
        <f t="shared" si="117"/>
        <v>106803.14485037152</v>
      </c>
      <c r="O159" s="517">
        <f t="shared" si="117"/>
        <v>106641.13861379721</v>
      </c>
      <c r="P159" s="511">
        <f t="shared" si="69"/>
        <v>1.316031557507813E-6</v>
      </c>
      <c r="Q159" s="530">
        <v>84008</v>
      </c>
      <c r="R159" s="480"/>
      <c r="S159" s="479"/>
      <c r="U159" s="513"/>
    </row>
    <row r="160" spans="1:21" s="492" customFormat="1" x14ac:dyDescent="0.15">
      <c r="A160" s="579"/>
      <c r="B160" s="528" t="s">
        <v>236</v>
      </c>
      <c r="C160" s="517">
        <f>ISR!C14</f>
        <v>5856322.5</v>
      </c>
      <c r="D160" s="517">
        <f>ISR!D14</f>
        <v>445983.23343555053</v>
      </c>
      <c r="E160" s="517">
        <f>ISR!E14</f>
        <v>468875.33207695838</v>
      </c>
      <c r="F160" s="517">
        <f>ISR!F14</f>
        <v>499497.14759209339</v>
      </c>
      <c r="G160" s="517">
        <f>ISR!G14</f>
        <v>486230.59399533743</v>
      </c>
      <c r="H160" s="517">
        <f>ISR!H14</f>
        <v>510843.98359929887</v>
      </c>
      <c r="I160" s="517">
        <f>ISR!I14</f>
        <v>494925.7298033351</v>
      </c>
      <c r="J160" s="517">
        <f>ISR!J14</f>
        <v>489296.59478659125</v>
      </c>
      <c r="K160" s="517">
        <f>ISR!K14</f>
        <v>487038.99974029802</v>
      </c>
      <c r="L160" s="517">
        <f>ISR!L14</f>
        <v>485636.75526076875</v>
      </c>
      <c r="M160" s="517">
        <f>ISR!M14</f>
        <v>486766.52527551557</v>
      </c>
      <c r="N160" s="517">
        <f>ISR!N14</f>
        <v>499355.1094954143</v>
      </c>
      <c r="O160" s="517">
        <f>ISR!O14</f>
        <v>501872.49493883888</v>
      </c>
      <c r="P160" s="511">
        <f t="shared" si="69"/>
        <v>-6.9849193096160889E-10</v>
      </c>
      <c r="Q160" s="530">
        <v>0</v>
      </c>
      <c r="R160" s="480"/>
      <c r="S160" s="479"/>
      <c r="U160" s="513"/>
    </row>
    <row r="161" spans="1:21" s="492" customFormat="1" ht="18" x14ac:dyDescent="0.15">
      <c r="A161" s="579"/>
      <c r="B161" s="528" t="s">
        <v>298</v>
      </c>
      <c r="C161" s="517">
        <f>FOFIR!I23</f>
        <v>2544855.7397015463</v>
      </c>
      <c r="D161" s="517">
        <f t="shared" ref="D161:O161" si="118">$C161*D$23%</f>
        <v>347921.21365071833</v>
      </c>
      <c r="E161" s="517">
        <f t="shared" si="118"/>
        <v>88518.397973487517</v>
      </c>
      <c r="F161" s="517">
        <f t="shared" si="118"/>
        <v>88518.397973487517</v>
      </c>
      <c r="G161" s="517">
        <f t="shared" si="118"/>
        <v>499538.9211338968</v>
      </c>
      <c r="H161" s="517">
        <f t="shared" si="118"/>
        <v>88518.397973487517</v>
      </c>
      <c r="I161" s="517">
        <f t="shared" si="118"/>
        <v>88518.397973487517</v>
      </c>
      <c r="J161" s="517">
        <f t="shared" si="118"/>
        <v>621345.92630353849</v>
      </c>
      <c r="K161" s="517">
        <f t="shared" si="118"/>
        <v>88518.397973487517</v>
      </c>
      <c r="L161" s="517">
        <f t="shared" si="118"/>
        <v>88518.397973487517</v>
      </c>
      <c r="M161" s="517">
        <f t="shared" si="118"/>
        <v>367902.49483567179</v>
      </c>
      <c r="N161" s="517">
        <f t="shared" si="118"/>
        <v>88518.397973487517</v>
      </c>
      <c r="O161" s="517">
        <f t="shared" si="118"/>
        <v>88518.397973487517</v>
      </c>
      <c r="P161" s="511">
        <f t="shared" si="69"/>
        <v>-1.0179675882682204E-5</v>
      </c>
      <c r="Q161" s="530">
        <v>98954</v>
      </c>
      <c r="R161" s="480"/>
      <c r="S161" s="479"/>
      <c r="U161" s="513"/>
    </row>
    <row r="162" spans="1:21" s="492" customFormat="1" ht="27" x14ac:dyDescent="0.15">
      <c r="A162" s="579"/>
      <c r="B162" s="528" t="s">
        <v>407</v>
      </c>
      <c r="C162" s="517">
        <f>FCISAN!I23</f>
        <v>161550.62036217866</v>
      </c>
      <c r="D162" s="517">
        <f t="shared" ref="D162:O162" si="119">$C162*D$24%</f>
        <v>13462.551696794373</v>
      </c>
      <c r="E162" s="517">
        <f t="shared" si="119"/>
        <v>13462.551696794373</v>
      </c>
      <c r="F162" s="517">
        <f t="shared" si="119"/>
        <v>13462.551696794373</v>
      </c>
      <c r="G162" s="517">
        <f t="shared" si="119"/>
        <v>13462.551696794373</v>
      </c>
      <c r="H162" s="517">
        <f t="shared" si="119"/>
        <v>13462.551696794373</v>
      </c>
      <c r="I162" s="517">
        <f t="shared" si="119"/>
        <v>13462.551696794373</v>
      </c>
      <c r="J162" s="517">
        <f t="shared" si="119"/>
        <v>13462.551696794373</v>
      </c>
      <c r="K162" s="517">
        <f t="shared" si="119"/>
        <v>13462.551696794373</v>
      </c>
      <c r="L162" s="517">
        <f t="shared" si="119"/>
        <v>13462.551696794373</v>
      </c>
      <c r="M162" s="517">
        <f t="shared" si="119"/>
        <v>13462.551696794373</v>
      </c>
      <c r="N162" s="517">
        <f t="shared" si="119"/>
        <v>13462.551696794373</v>
      </c>
      <c r="O162" s="517">
        <f t="shared" si="119"/>
        <v>13462.551696794373</v>
      </c>
      <c r="P162" s="511">
        <f t="shared" si="69"/>
        <v>6.4621053752489388E-7</v>
      </c>
      <c r="Q162" s="530">
        <v>11775</v>
      </c>
      <c r="R162" s="480"/>
      <c r="S162" s="479"/>
      <c r="U162" s="513"/>
    </row>
    <row r="163" spans="1:21" s="492" customFormat="1" ht="27" x14ac:dyDescent="0.15">
      <c r="A163" s="579"/>
      <c r="B163" s="528" t="s">
        <v>242</v>
      </c>
      <c r="C163" s="517">
        <f>ISAN!I23</f>
        <v>806964.29462900234</v>
      </c>
      <c r="D163" s="517">
        <f t="shared" ref="D163:O163" si="120">$C163*D$25%</f>
        <v>77657.085216015883</v>
      </c>
      <c r="E163" s="517">
        <f t="shared" si="120"/>
        <v>86734.854815341285</v>
      </c>
      <c r="F163" s="517">
        <f t="shared" si="120"/>
        <v>67313.905357474228</v>
      </c>
      <c r="G163" s="517">
        <f t="shared" si="120"/>
        <v>62474.247649766927</v>
      </c>
      <c r="H163" s="517">
        <f t="shared" si="120"/>
        <v>66798.783005323538</v>
      </c>
      <c r="I163" s="517">
        <f t="shared" si="120"/>
        <v>58016.775565687451</v>
      </c>
      <c r="J163" s="517">
        <f t="shared" si="120"/>
        <v>62852.280974866539</v>
      </c>
      <c r="K163" s="517">
        <f t="shared" si="120"/>
        <v>64817.223124601027</v>
      </c>
      <c r="L163" s="517">
        <f t="shared" si="120"/>
        <v>63691.431160624496</v>
      </c>
      <c r="M163" s="517">
        <f t="shared" si="120"/>
        <v>65253.415948064569</v>
      </c>
      <c r="N163" s="517">
        <f t="shared" si="120"/>
        <v>63180.462814538478</v>
      </c>
      <c r="O163" s="517">
        <f t="shared" si="120"/>
        <v>68173.828987014349</v>
      </c>
      <c r="P163" s="511">
        <f t="shared" si="69"/>
        <v>9.6835283329710364E-6</v>
      </c>
      <c r="Q163" s="530">
        <v>50564</v>
      </c>
      <c r="R163" s="480"/>
      <c r="S163" s="479"/>
      <c r="U163" s="513"/>
    </row>
    <row r="164" spans="1:21" s="492" customFormat="1" ht="18" x14ac:dyDescent="0.15">
      <c r="A164" s="579"/>
      <c r="B164" s="528" t="s">
        <v>403</v>
      </c>
      <c r="C164" s="517">
        <f>LOT!I23</f>
        <v>39062.716593823949</v>
      </c>
      <c r="D164" s="517">
        <f t="shared" ref="D164:O164" si="121">$C164*D$26%</f>
        <v>2953.5471948292088</v>
      </c>
      <c r="E164" s="517">
        <f t="shared" si="121"/>
        <v>2911.6826291841485</v>
      </c>
      <c r="F164" s="517">
        <f t="shared" si="121"/>
        <v>2861.8266233299428</v>
      </c>
      <c r="G164" s="517">
        <f t="shared" si="121"/>
        <v>3148.6483224406252</v>
      </c>
      <c r="H164" s="517">
        <f t="shared" si="121"/>
        <v>2576.1674420714062</v>
      </c>
      <c r="I164" s="517">
        <f t="shared" si="121"/>
        <v>3495.9905625535439</v>
      </c>
      <c r="J164" s="517">
        <f t="shared" si="121"/>
        <v>8023.2945820979394</v>
      </c>
      <c r="K164" s="517">
        <f t="shared" si="121"/>
        <v>2920.7669754141443</v>
      </c>
      <c r="L164" s="517">
        <f t="shared" si="121"/>
        <v>3543.9879320473483</v>
      </c>
      <c r="M164" s="517">
        <f t="shared" si="121"/>
        <v>2194.2141909077268</v>
      </c>
      <c r="N164" s="517">
        <f t="shared" si="121"/>
        <v>2216.2950692395812</v>
      </c>
      <c r="O164" s="517">
        <f t="shared" si="121"/>
        <v>2216.2950692395812</v>
      </c>
      <c r="P164" s="511">
        <f t="shared" ref="P164:P227" si="122">C164-D164-E164-F164-G164-H164-I164-J164-K164-L164-M164-N164-O164</f>
        <v>4.6874902182025835E-7</v>
      </c>
      <c r="Q164" s="530">
        <v>2470</v>
      </c>
      <c r="R164" s="480"/>
      <c r="S164" s="479"/>
      <c r="U164" s="513"/>
    </row>
    <row r="165" spans="1:21" s="492" customFormat="1" ht="45" x14ac:dyDescent="0.15">
      <c r="A165" s="579"/>
      <c r="B165" s="518" t="s">
        <v>301</v>
      </c>
      <c r="C165" s="517">
        <f>'ENAJENAC DE INMUE'!I23</f>
        <v>153599.23835053714</v>
      </c>
      <c r="D165" s="517">
        <f t="shared" ref="D165:O165" si="123">$C165*D$27%</f>
        <v>6633.2933382005504</v>
      </c>
      <c r="E165" s="517">
        <f t="shared" si="123"/>
        <v>6730.9951031495684</v>
      </c>
      <c r="F165" s="517">
        <f t="shared" si="123"/>
        <v>6640.2522871685505</v>
      </c>
      <c r="G165" s="517">
        <f t="shared" si="123"/>
        <v>6601.3555388866762</v>
      </c>
      <c r="H165" s="517">
        <f t="shared" si="123"/>
        <v>9157.3408316776622</v>
      </c>
      <c r="I165" s="517">
        <f t="shared" si="123"/>
        <v>6591.2487090032109</v>
      </c>
      <c r="J165" s="517">
        <f t="shared" si="123"/>
        <v>7575.1837453506787</v>
      </c>
      <c r="K165" s="517">
        <f t="shared" si="123"/>
        <v>7567.3863251739886</v>
      </c>
      <c r="L165" s="517">
        <f t="shared" si="123"/>
        <v>7557.7999256058765</v>
      </c>
      <c r="M165" s="517">
        <f t="shared" si="123"/>
        <v>6600.2749230867039</v>
      </c>
      <c r="N165" s="517">
        <f t="shared" si="123"/>
        <v>27441.515879201535</v>
      </c>
      <c r="O165" s="517">
        <f t="shared" si="123"/>
        <v>54502.591743724937</v>
      </c>
      <c r="P165" s="511">
        <f t="shared" si="122"/>
        <v>3.0722003430128098E-7</v>
      </c>
      <c r="Q165" s="530">
        <v>36040</v>
      </c>
      <c r="R165" s="480"/>
      <c r="S165" s="479"/>
      <c r="U165" s="513"/>
    </row>
    <row r="166" spans="1:21" s="492" customFormat="1" ht="27" x14ac:dyDescent="0.15">
      <c r="A166" s="579"/>
      <c r="B166" s="518" t="s">
        <v>248</v>
      </c>
      <c r="C166" s="517">
        <f>'IMP BEBIDAS AL'!I23</f>
        <v>60034.699213807646</v>
      </c>
      <c r="D166" s="517">
        <f t="shared" ref="D166:O166" si="124">$C166*D$28%</f>
        <v>13651.325999705052</v>
      </c>
      <c r="E166" s="517">
        <f t="shared" si="124"/>
        <v>4695.5603944249933</v>
      </c>
      <c r="F166" s="517">
        <f t="shared" si="124"/>
        <v>5046.0983877537856</v>
      </c>
      <c r="G166" s="517">
        <f t="shared" si="124"/>
        <v>5009.8741274672502</v>
      </c>
      <c r="H166" s="517">
        <f t="shared" si="124"/>
        <v>3190.3119862552376</v>
      </c>
      <c r="I166" s="517">
        <f t="shared" si="124"/>
        <v>5220.9506976800312</v>
      </c>
      <c r="J166" s="517">
        <f t="shared" si="124"/>
        <v>5191.5627385487005</v>
      </c>
      <c r="K166" s="517">
        <f t="shared" si="124"/>
        <v>4748.0629234320104</v>
      </c>
      <c r="L166" s="517">
        <f t="shared" si="124"/>
        <v>3443.428840091804</v>
      </c>
      <c r="M166" s="517">
        <f t="shared" si="124"/>
        <v>3200.9721303531569</v>
      </c>
      <c r="N166" s="517">
        <f t="shared" si="124"/>
        <v>3223.5985500659431</v>
      </c>
      <c r="O166" s="517">
        <f t="shared" si="124"/>
        <v>3412.9524380296839</v>
      </c>
      <c r="P166" s="511">
        <f t="shared" si="122"/>
        <v>-5.4569682106375694E-12</v>
      </c>
      <c r="Q166" s="530">
        <v>1542</v>
      </c>
      <c r="R166" s="480"/>
      <c r="S166" s="479"/>
      <c r="U166" s="513"/>
    </row>
    <row r="167" spans="1:21" s="492" customFormat="1" ht="18" x14ac:dyDescent="0.15">
      <c r="A167" s="579"/>
      <c r="B167" s="518" t="s">
        <v>253</v>
      </c>
      <c r="C167" s="517">
        <f>'FOND GASO Y D'!Q24</f>
        <v>0</v>
      </c>
      <c r="D167" s="517">
        <f t="shared" ref="D167:O167" si="125">$C167*D$29%</f>
        <v>0</v>
      </c>
      <c r="E167" s="517">
        <f t="shared" si="125"/>
        <v>0</v>
      </c>
      <c r="F167" s="517">
        <f t="shared" si="125"/>
        <v>0</v>
      </c>
      <c r="G167" s="517">
        <f t="shared" si="125"/>
        <v>0</v>
      </c>
      <c r="H167" s="517">
        <f t="shared" si="125"/>
        <v>0</v>
      </c>
      <c r="I167" s="517">
        <f t="shared" si="125"/>
        <v>0</v>
      </c>
      <c r="J167" s="517">
        <f t="shared" si="125"/>
        <v>0</v>
      </c>
      <c r="K167" s="517">
        <f t="shared" si="125"/>
        <v>0</v>
      </c>
      <c r="L167" s="517">
        <f t="shared" si="125"/>
        <v>0</v>
      </c>
      <c r="M167" s="517">
        <f t="shared" si="125"/>
        <v>0</v>
      </c>
      <c r="N167" s="517">
        <f t="shared" si="125"/>
        <v>0</v>
      </c>
      <c r="O167" s="517">
        <f t="shared" si="125"/>
        <v>0</v>
      </c>
      <c r="P167" s="511">
        <f t="shared" si="122"/>
        <v>0</v>
      </c>
      <c r="Q167" s="530">
        <v>55224</v>
      </c>
      <c r="R167" s="480"/>
      <c r="S167" s="479"/>
      <c r="U167" s="513"/>
    </row>
    <row r="168" spans="1:21" s="492" customFormat="1" ht="18" x14ac:dyDescent="0.15">
      <c r="A168" s="579"/>
      <c r="B168" s="528" t="s">
        <v>408</v>
      </c>
      <c r="C168" s="519">
        <f>'FOND GASO Y D'!H24</f>
        <v>1788616.7416331139</v>
      </c>
      <c r="D168" s="517">
        <f t="shared" ref="D168:O168" si="126">$C168*D$30%</f>
        <v>139137.9319112091</v>
      </c>
      <c r="E168" s="517">
        <f t="shared" si="126"/>
        <v>152978.98950188205</v>
      </c>
      <c r="F168" s="517">
        <f t="shared" si="126"/>
        <v>148940.83036787366</v>
      </c>
      <c r="G168" s="517">
        <f t="shared" si="126"/>
        <v>138781.82358721487</v>
      </c>
      <c r="H168" s="517">
        <f t="shared" si="126"/>
        <v>152917.7328287228</v>
      </c>
      <c r="I168" s="517">
        <f t="shared" si="126"/>
        <v>147583.78245284146</v>
      </c>
      <c r="J168" s="517">
        <f t="shared" si="126"/>
        <v>150660.6993821167</v>
      </c>
      <c r="K168" s="517">
        <f t="shared" si="126"/>
        <v>150571.17224233242</v>
      </c>
      <c r="L168" s="517">
        <f t="shared" si="126"/>
        <v>156687.30894614369</v>
      </c>
      <c r="M168" s="517">
        <f t="shared" si="126"/>
        <v>155311.41405455396</v>
      </c>
      <c r="N168" s="517">
        <f t="shared" si="126"/>
        <v>145152.40727389519</v>
      </c>
      <c r="O168" s="517">
        <f t="shared" si="126"/>
        <v>149892.64908611667</v>
      </c>
      <c r="P168" s="511">
        <f t="shared" si="122"/>
        <v>-1.78866321220994E-6</v>
      </c>
      <c r="Q168" s="530">
        <v>109310</v>
      </c>
      <c r="R168" s="480"/>
      <c r="S168" s="479"/>
      <c r="U168" s="513"/>
    </row>
    <row r="169" spans="1:21" s="492" customFormat="1" x14ac:dyDescent="0.15">
      <c r="A169" s="579"/>
      <c r="B169" s="520"/>
      <c r="C169" s="521"/>
      <c r="D169" s="522"/>
      <c r="E169" s="522"/>
      <c r="F169" s="522"/>
      <c r="G169" s="522"/>
      <c r="H169" s="522"/>
      <c r="I169" s="522"/>
      <c r="J169" s="522"/>
      <c r="K169" s="522"/>
      <c r="L169" s="522"/>
      <c r="M169" s="522"/>
      <c r="N169" s="522"/>
      <c r="O169" s="522"/>
      <c r="P169" s="511">
        <f t="shared" si="122"/>
        <v>0</v>
      </c>
      <c r="Q169" s="530">
        <v>0</v>
      </c>
      <c r="R169" s="480"/>
      <c r="S169" s="479"/>
      <c r="U169" s="513"/>
    </row>
    <row r="170" spans="1:21" s="492" customFormat="1" x14ac:dyDescent="0.15">
      <c r="A170" s="588"/>
      <c r="B170" s="523"/>
      <c r="C170" s="521"/>
      <c r="D170" s="522"/>
      <c r="E170" s="522"/>
      <c r="F170" s="522"/>
      <c r="G170" s="522"/>
      <c r="H170" s="522"/>
      <c r="I170" s="522"/>
      <c r="J170" s="522"/>
      <c r="K170" s="522"/>
      <c r="L170" s="522"/>
      <c r="M170" s="522"/>
      <c r="N170" s="522"/>
      <c r="O170" s="522"/>
      <c r="P170" s="511">
        <f t="shared" si="122"/>
        <v>0</v>
      </c>
      <c r="Q170" s="530">
        <v>0</v>
      </c>
      <c r="R170" s="480"/>
      <c r="S170" s="479"/>
      <c r="U170" s="513"/>
    </row>
    <row r="171" spans="1:21" s="492" customFormat="1" x14ac:dyDescent="0.15">
      <c r="A171" s="584">
        <v>10</v>
      </c>
      <c r="B171" s="509" t="s">
        <v>64</v>
      </c>
      <c r="C171" s="524">
        <f t="shared" ref="C171:O171" si="127">SUM(C172:C183)</f>
        <v>124702973.51405799</v>
      </c>
      <c r="D171" s="524">
        <f t="shared" si="127"/>
        <v>9735860.3401271477</v>
      </c>
      <c r="E171" s="524">
        <f t="shared" si="127"/>
        <v>13180118.961842334</v>
      </c>
      <c r="F171" s="524">
        <f t="shared" si="127"/>
        <v>8658306.3434064575</v>
      </c>
      <c r="G171" s="524">
        <f t="shared" si="127"/>
        <v>11120508.022404771</v>
      </c>
      <c r="H171" s="524">
        <f t="shared" si="127"/>
        <v>12599508.750244293</v>
      </c>
      <c r="I171" s="524">
        <f t="shared" si="127"/>
        <v>12318067.279687006</v>
      </c>
      <c r="J171" s="524">
        <f t="shared" si="127"/>
        <v>10650219.668009492</v>
      </c>
      <c r="K171" s="524">
        <f t="shared" si="127"/>
        <v>10343736.908119913</v>
      </c>
      <c r="L171" s="524">
        <f t="shared" si="127"/>
        <v>9774287.1861259248</v>
      </c>
      <c r="M171" s="524">
        <f t="shared" si="127"/>
        <v>7221893.2522754399</v>
      </c>
      <c r="N171" s="524">
        <f t="shared" si="127"/>
        <v>9496292.6454593465</v>
      </c>
      <c r="O171" s="524">
        <f t="shared" si="127"/>
        <v>9604174.1559818424</v>
      </c>
      <c r="P171" s="511">
        <f t="shared" si="122"/>
        <v>3.7404149770736694E-4</v>
      </c>
      <c r="Q171" s="530">
        <v>7501932</v>
      </c>
      <c r="R171" s="480"/>
      <c r="S171" s="479"/>
      <c r="T171" s="512"/>
      <c r="U171" s="513"/>
    </row>
    <row r="172" spans="1:21" s="492" customFormat="1" x14ac:dyDescent="0.15">
      <c r="A172" s="579"/>
      <c r="B172" s="525" t="s">
        <v>294</v>
      </c>
      <c r="C172" s="526">
        <f>'FG1'!I25</f>
        <v>87955024.496948257</v>
      </c>
      <c r="D172" s="526">
        <f t="shared" ref="D172:O172" si="128">$C172*D$19%</f>
        <v>6652451.7670388827</v>
      </c>
      <c r="E172" s="526">
        <f t="shared" si="128"/>
        <v>9531298.3267800882</v>
      </c>
      <c r="F172" s="526">
        <f t="shared" si="128"/>
        <v>6160990.8010146935</v>
      </c>
      <c r="G172" s="526">
        <f t="shared" si="128"/>
        <v>7568152.967867868</v>
      </c>
      <c r="H172" s="526">
        <f t="shared" si="128"/>
        <v>9242368.4365061764</v>
      </c>
      <c r="I172" s="526">
        <f t="shared" si="128"/>
        <v>9060783.0287796929</v>
      </c>
      <c r="J172" s="526">
        <f t="shared" si="128"/>
        <v>7023951.5707000187</v>
      </c>
      <c r="K172" s="526">
        <f t="shared" si="128"/>
        <v>7457573.3184200469</v>
      </c>
      <c r="L172" s="526">
        <f t="shared" si="128"/>
        <v>7008269.1970445253</v>
      </c>
      <c r="M172" s="526">
        <f t="shared" si="128"/>
        <v>4645943.8812794918</v>
      </c>
      <c r="N172" s="526">
        <f t="shared" si="128"/>
        <v>6780518.2881782549</v>
      </c>
      <c r="O172" s="526">
        <f t="shared" si="128"/>
        <v>6822722.9132505655</v>
      </c>
      <c r="P172" s="511">
        <f t="shared" si="122"/>
        <v>8.7953172624111176E-5</v>
      </c>
      <c r="Q172" s="530">
        <v>5298632</v>
      </c>
      <c r="R172" s="480"/>
      <c r="S172" s="479"/>
      <c r="U172" s="513"/>
    </row>
    <row r="173" spans="1:21" s="492" customFormat="1" x14ac:dyDescent="0.15">
      <c r="A173" s="579"/>
      <c r="B173" s="525" t="s">
        <v>296</v>
      </c>
      <c r="C173" s="526">
        <f>FFM!J25</f>
        <v>23641949.58243357</v>
      </c>
      <c r="D173" s="526">
        <f t="shared" ref="D173:O173" si="129">$C173*D$20%</f>
        <v>1787878.4617267984</v>
      </c>
      <c r="E173" s="526">
        <f t="shared" si="129"/>
        <v>2563214.2704708544</v>
      </c>
      <c r="F173" s="526">
        <f t="shared" si="129"/>
        <v>1655517.3738509507</v>
      </c>
      <c r="G173" s="526">
        <f t="shared" si="129"/>
        <v>2034496.6590926428</v>
      </c>
      <c r="H173" s="526">
        <f t="shared" si="129"/>
        <v>2485399.1918724175</v>
      </c>
      <c r="I173" s="526">
        <f t="shared" si="129"/>
        <v>2436494.2965486748</v>
      </c>
      <c r="J173" s="526">
        <f t="shared" si="129"/>
        <v>1887765.8935222451</v>
      </c>
      <c r="K173" s="526">
        <f t="shared" si="129"/>
        <v>2004549.6342879259</v>
      </c>
      <c r="L173" s="526">
        <f t="shared" si="129"/>
        <v>1883542.2801288266</v>
      </c>
      <c r="M173" s="526">
        <f t="shared" si="129"/>
        <v>1247316.8418915081</v>
      </c>
      <c r="N173" s="526">
        <f t="shared" si="129"/>
        <v>1822204.0269681385</v>
      </c>
      <c r="O173" s="526">
        <f t="shared" si="129"/>
        <v>1833570.6517888841</v>
      </c>
      <c r="P173" s="511">
        <f t="shared" si="122"/>
        <v>2.8370320796966553E-4</v>
      </c>
      <c r="Q173" s="530">
        <v>1622267</v>
      </c>
      <c r="R173" s="480"/>
      <c r="S173" s="479"/>
      <c r="U173" s="513"/>
    </row>
    <row r="174" spans="1:21" s="492" customFormat="1" ht="18" x14ac:dyDescent="0.15">
      <c r="A174" s="579"/>
      <c r="B174" s="525" t="s">
        <v>297</v>
      </c>
      <c r="C174" s="526">
        <f>IEPS!I24</f>
        <v>2127104.366315309</v>
      </c>
      <c r="D174" s="526">
        <f t="shared" ref="D174:O174" si="130">$C174*D$21%</f>
        <v>149407.42978089998</v>
      </c>
      <c r="E174" s="526">
        <f t="shared" si="130"/>
        <v>341501.55999497115</v>
      </c>
      <c r="F174" s="526">
        <f t="shared" si="130"/>
        <v>141846.02449206429</v>
      </c>
      <c r="G174" s="526">
        <f t="shared" si="130"/>
        <v>137854.47286344404</v>
      </c>
      <c r="H174" s="526">
        <f t="shared" si="130"/>
        <v>152198.92177825957</v>
      </c>
      <c r="I174" s="526">
        <f t="shared" si="130"/>
        <v>157833.31412053778</v>
      </c>
      <c r="J174" s="526">
        <f t="shared" si="130"/>
        <v>162539.13664498125</v>
      </c>
      <c r="K174" s="526">
        <f t="shared" si="130"/>
        <v>180045.77825581058</v>
      </c>
      <c r="L174" s="526">
        <f t="shared" si="130"/>
        <v>180423.05603986833</v>
      </c>
      <c r="M174" s="526">
        <f t="shared" si="130"/>
        <v>178417.78841477429</v>
      </c>
      <c r="N174" s="526">
        <f t="shared" si="130"/>
        <v>172649.38509830544</v>
      </c>
      <c r="O174" s="526">
        <f t="shared" si="130"/>
        <v>172387.49882926507</v>
      </c>
      <c r="P174" s="511">
        <f t="shared" si="122"/>
        <v>2.1270534489303827E-6</v>
      </c>
      <c r="Q174" s="530">
        <v>136841</v>
      </c>
      <c r="R174" s="480"/>
      <c r="S174" s="479"/>
      <c r="U174" s="513"/>
    </row>
    <row r="175" spans="1:21" s="492" customFormat="1" x14ac:dyDescent="0.15">
      <c r="A175" s="579"/>
      <c r="B175" s="525" t="s">
        <v>236</v>
      </c>
      <c r="C175" s="526">
        <f>ISR!C15</f>
        <v>3627485.93</v>
      </c>
      <c r="D175" s="526">
        <f>ISR!D15</f>
        <v>300551.86874653131</v>
      </c>
      <c r="E175" s="526">
        <f>ISR!E15</f>
        <v>307798.87567351497</v>
      </c>
      <c r="F175" s="526">
        <f>ISR!F15</f>
        <v>297553.76574907027</v>
      </c>
      <c r="G175" s="526">
        <f>ISR!G15</f>
        <v>327840.33488265687</v>
      </c>
      <c r="H175" s="526">
        <f>ISR!H15</f>
        <v>314559.99046573677</v>
      </c>
      <c r="I175" s="526">
        <f>ISR!I15</f>
        <v>275317.30473463942</v>
      </c>
      <c r="J175" s="526">
        <f>ISR!J15</f>
        <v>308145.78992693679</v>
      </c>
      <c r="K175" s="526">
        <f>ISR!K15</f>
        <v>300941.82522274484</v>
      </c>
      <c r="L175" s="526">
        <f>ISR!L15</f>
        <v>300042.71259346395</v>
      </c>
      <c r="M175" s="526">
        <f>ISR!M15</f>
        <v>299143.59996418306</v>
      </c>
      <c r="N175" s="526">
        <f>ISR!N15</f>
        <v>298244.48733490176</v>
      </c>
      <c r="O175" s="526">
        <f>ISR!O15</f>
        <v>297345.37470562092</v>
      </c>
      <c r="P175" s="511">
        <f t="shared" si="122"/>
        <v>-6.4028427004814148E-10</v>
      </c>
      <c r="Q175" s="530">
        <v>0</v>
      </c>
      <c r="R175" s="480"/>
      <c r="S175" s="479"/>
      <c r="U175" s="513"/>
    </row>
    <row r="176" spans="1:21" s="492" customFormat="1" ht="18" x14ac:dyDescent="0.15">
      <c r="A176" s="579"/>
      <c r="B176" s="525" t="s">
        <v>298</v>
      </c>
      <c r="C176" s="526">
        <f>FOFIR!I24</f>
        <v>4113809.375547024</v>
      </c>
      <c r="D176" s="526">
        <f t="shared" ref="D176:O176" si="131">$C176*D$23%</f>
        <v>562421.48752835835</v>
      </c>
      <c r="E176" s="526">
        <f t="shared" si="131"/>
        <v>143091.7320030258</v>
      </c>
      <c r="F176" s="526">
        <f t="shared" si="131"/>
        <v>143091.7320030258</v>
      </c>
      <c r="G176" s="526">
        <f t="shared" si="131"/>
        <v>807514.49488931568</v>
      </c>
      <c r="H176" s="526">
        <f t="shared" si="131"/>
        <v>143091.7320030258</v>
      </c>
      <c r="I176" s="526">
        <f t="shared" si="131"/>
        <v>143091.7320030258</v>
      </c>
      <c r="J176" s="526">
        <f t="shared" si="131"/>
        <v>1004417.9154081321</v>
      </c>
      <c r="K176" s="526">
        <f t="shared" si="131"/>
        <v>143091.7320030258</v>
      </c>
      <c r="L176" s="526">
        <f t="shared" si="131"/>
        <v>143091.7320030258</v>
      </c>
      <c r="M176" s="526">
        <f t="shared" si="131"/>
        <v>594721.62171346659</v>
      </c>
      <c r="N176" s="526">
        <f t="shared" si="131"/>
        <v>143091.7320030258</v>
      </c>
      <c r="O176" s="526">
        <f t="shared" si="131"/>
        <v>143091.7320030258</v>
      </c>
      <c r="P176" s="511">
        <f t="shared" si="122"/>
        <v>-1.6454665455967188E-5</v>
      </c>
      <c r="Q176" s="530">
        <v>161185</v>
      </c>
      <c r="R176" s="480"/>
      <c r="S176" s="479"/>
      <c r="U176" s="513"/>
    </row>
    <row r="177" spans="1:21" s="492" customFormat="1" ht="27" x14ac:dyDescent="0.15">
      <c r="A177" s="579"/>
      <c r="B177" s="527" t="s">
        <v>407</v>
      </c>
      <c r="C177" s="515">
        <f>FCISAN!I24</f>
        <v>261149.75646883211</v>
      </c>
      <c r="D177" s="515">
        <f t="shared" ref="D177:O177" si="132">$C177*D$24%</f>
        <v>21762.479705648962</v>
      </c>
      <c r="E177" s="515">
        <f t="shared" si="132"/>
        <v>21762.479705648962</v>
      </c>
      <c r="F177" s="515">
        <f t="shared" si="132"/>
        <v>21762.479705648962</v>
      </c>
      <c r="G177" s="515">
        <f t="shared" si="132"/>
        <v>21762.479705648962</v>
      </c>
      <c r="H177" s="515">
        <f t="shared" si="132"/>
        <v>21762.479705648962</v>
      </c>
      <c r="I177" s="515">
        <f t="shared" si="132"/>
        <v>21762.479705648962</v>
      </c>
      <c r="J177" s="515">
        <f t="shared" si="132"/>
        <v>21762.479705648962</v>
      </c>
      <c r="K177" s="515">
        <f t="shared" si="132"/>
        <v>21762.479705648962</v>
      </c>
      <c r="L177" s="515">
        <f t="shared" si="132"/>
        <v>21762.479705648962</v>
      </c>
      <c r="M177" s="515">
        <f t="shared" si="132"/>
        <v>21762.479705648962</v>
      </c>
      <c r="N177" s="515">
        <f t="shared" si="132"/>
        <v>21762.479705648962</v>
      </c>
      <c r="O177" s="515">
        <f t="shared" si="132"/>
        <v>21762.479705648962</v>
      </c>
      <c r="P177" s="511">
        <f t="shared" si="122"/>
        <v>1.0445655789226294E-6</v>
      </c>
      <c r="Q177" s="530">
        <v>19171</v>
      </c>
      <c r="R177" s="480"/>
      <c r="S177" s="479"/>
      <c r="U177" s="513"/>
    </row>
    <row r="178" spans="1:21" s="492" customFormat="1" ht="27" x14ac:dyDescent="0.15">
      <c r="A178" s="579"/>
      <c r="B178" s="528" t="s">
        <v>242</v>
      </c>
      <c r="C178" s="517">
        <f>ISAN!I24</f>
        <v>1304473.6600141448</v>
      </c>
      <c r="D178" s="517">
        <f t="shared" ref="D178:O178" si="133">$C178*D$25%</f>
        <v>125534.2062245015</v>
      </c>
      <c r="E178" s="517">
        <f t="shared" si="133"/>
        <v>140208.59939507087</v>
      </c>
      <c r="F178" s="517">
        <f t="shared" si="133"/>
        <v>108814.25247182713</v>
      </c>
      <c r="G178" s="517">
        <f t="shared" si="133"/>
        <v>100990.85056271161</v>
      </c>
      <c r="H178" s="517">
        <f t="shared" si="133"/>
        <v>107981.54705408119</v>
      </c>
      <c r="I178" s="517">
        <f t="shared" si="133"/>
        <v>93785.259234035417</v>
      </c>
      <c r="J178" s="517">
        <f t="shared" si="133"/>
        <v>101601.9488708799</v>
      </c>
      <c r="K178" s="517">
        <f t="shared" si="133"/>
        <v>104778.31651792509</v>
      </c>
      <c r="L178" s="517">
        <f t="shared" si="133"/>
        <v>102958.45165719028</v>
      </c>
      <c r="M178" s="517">
        <f t="shared" si="133"/>
        <v>105483.43079953898</v>
      </c>
      <c r="N178" s="517">
        <f t="shared" si="133"/>
        <v>102132.46127198167</v>
      </c>
      <c r="O178" s="517">
        <f t="shared" si="133"/>
        <v>110204.33593874752</v>
      </c>
      <c r="P178" s="511">
        <f t="shared" si="122"/>
        <v>1.5653524314984679E-5</v>
      </c>
      <c r="Q178" s="530">
        <v>82366</v>
      </c>
      <c r="R178" s="480"/>
      <c r="S178" s="479"/>
      <c r="U178" s="513"/>
    </row>
    <row r="179" spans="1:21" s="492" customFormat="1" ht="18" x14ac:dyDescent="0.15">
      <c r="A179" s="579"/>
      <c r="B179" s="528" t="s">
        <v>403</v>
      </c>
      <c r="C179" s="517">
        <f>LOT!I24</f>
        <v>63145.649967905563</v>
      </c>
      <c r="D179" s="517">
        <f t="shared" ref="D179:O179" si="134">$C179*D$26%</f>
        <v>4774.4671541318748</v>
      </c>
      <c r="E179" s="517">
        <f t="shared" si="134"/>
        <v>4706.7922600437523</v>
      </c>
      <c r="F179" s="517">
        <f t="shared" si="134"/>
        <v>4626.1990456187914</v>
      </c>
      <c r="G179" s="517">
        <f t="shared" si="134"/>
        <v>5089.8519657054258</v>
      </c>
      <c r="H179" s="517">
        <f t="shared" si="134"/>
        <v>4164.425358513733</v>
      </c>
      <c r="I179" s="517">
        <f t="shared" si="134"/>
        <v>5651.3375311181071</v>
      </c>
      <c r="J179" s="517">
        <f t="shared" si="134"/>
        <v>12969.813557479305</v>
      </c>
      <c r="K179" s="517">
        <f t="shared" si="134"/>
        <v>4721.4772844672016</v>
      </c>
      <c r="L179" s="517">
        <f t="shared" si="134"/>
        <v>5728.926223296141</v>
      </c>
      <c r="M179" s="517">
        <f t="shared" si="134"/>
        <v>3546.9904127348077</v>
      </c>
      <c r="N179" s="517">
        <f t="shared" si="134"/>
        <v>3582.6845870193388</v>
      </c>
      <c r="O179" s="517">
        <f t="shared" si="134"/>
        <v>3582.6845870193388</v>
      </c>
      <c r="P179" s="511">
        <f t="shared" si="122"/>
        <v>7.5774278229800984E-7</v>
      </c>
      <c r="Q179" s="530">
        <v>4023</v>
      </c>
      <c r="R179" s="480"/>
      <c r="S179" s="479"/>
      <c r="U179" s="513"/>
    </row>
    <row r="180" spans="1:21" s="492" customFormat="1" ht="45" x14ac:dyDescent="0.15">
      <c r="A180" s="579"/>
      <c r="B180" s="518" t="s">
        <v>301</v>
      </c>
      <c r="C180" s="517">
        <f>'ENAJENAC DE INMUE'!I24</f>
        <v>248296.19099643998</v>
      </c>
      <c r="D180" s="517">
        <f t="shared" ref="D180:O180" si="135">$C180*D$27%</f>
        <v>10722.849197197838</v>
      </c>
      <c r="E180" s="517">
        <f t="shared" si="135"/>
        <v>10880.786022607794</v>
      </c>
      <c r="F180" s="517">
        <f t="shared" si="135"/>
        <v>10734.098475128176</v>
      </c>
      <c r="G180" s="517">
        <f t="shared" si="135"/>
        <v>10671.221116202112</v>
      </c>
      <c r="H180" s="517">
        <f t="shared" si="135"/>
        <v>14803.021633302156</v>
      </c>
      <c r="I180" s="517">
        <f t="shared" si="135"/>
        <v>10654.883226834547</v>
      </c>
      <c r="J180" s="517">
        <f t="shared" si="135"/>
        <v>12245.433572894681</v>
      </c>
      <c r="K180" s="517">
        <f t="shared" si="135"/>
        <v>12232.828889757824</v>
      </c>
      <c r="L180" s="517">
        <f t="shared" si="135"/>
        <v>12217.332286234961</v>
      </c>
      <c r="M180" s="517">
        <f t="shared" si="135"/>
        <v>10669.474279499371</v>
      </c>
      <c r="N180" s="517">
        <f t="shared" si="135"/>
        <v>44359.75035516989</v>
      </c>
      <c r="O180" s="517">
        <f t="shared" si="135"/>
        <v>88104.511941114033</v>
      </c>
      <c r="P180" s="511">
        <f t="shared" si="122"/>
        <v>4.9655500333756208E-7</v>
      </c>
      <c r="Q180" s="530">
        <v>58706</v>
      </c>
      <c r="R180" s="480"/>
      <c r="S180" s="479"/>
      <c r="U180" s="513"/>
    </row>
    <row r="181" spans="1:21" s="492" customFormat="1" ht="27" x14ac:dyDescent="0.15">
      <c r="A181" s="579"/>
      <c r="B181" s="518" t="s">
        <v>248</v>
      </c>
      <c r="C181" s="517">
        <f>'IMP BEBIDAS AL'!I24</f>
        <v>97047.272515679622</v>
      </c>
      <c r="D181" s="517">
        <f t="shared" ref="D181:O181" si="136">$C181*D$28%</f>
        <v>22067.637080607819</v>
      </c>
      <c r="E181" s="517">
        <f t="shared" si="136"/>
        <v>7590.4657669507897</v>
      </c>
      <c r="F181" s="517">
        <f t="shared" si="136"/>
        <v>8157.1173303162423</v>
      </c>
      <c r="G181" s="517">
        <f t="shared" si="136"/>
        <v>8098.560100818243</v>
      </c>
      <c r="H181" s="517">
        <f t="shared" si="136"/>
        <v>5157.2020980317056</v>
      </c>
      <c r="I181" s="517">
        <f t="shared" si="136"/>
        <v>8439.7695296880611</v>
      </c>
      <c r="J181" s="517">
        <f t="shared" si="136"/>
        <v>8392.2633155178082</v>
      </c>
      <c r="K181" s="517">
        <f t="shared" si="136"/>
        <v>7675.3371381249872</v>
      </c>
      <c r="L181" s="517">
        <f t="shared" si="136"/>
        <v>5566.3704725596663</v>
      </c>
      <c r="M181" s="517">
        <f t="shared" si="136"/>
        <v>5174.4344307138899</v>
      </c>
      <c r="N181" s="517">
        <f t="shared" si="136"/>
        <v>5211.0104833747127</v>
      </c>
      <c r="O181" s="517">
        <f t="shared" si="136"/>
        <v>5517.1047689757006</v>
      </c>
      <c r="P181" s="511">
        <f t="shared" si="122"/>
        <v>0</v>
      </c>
      <c r="Q181" s="530">
        <v>2513</v>
      </c>
      <c r="R181" s="480"/>
      <c r="S181" s="479"/>
      <c r="U181" s="513"/>
    </row>
    <row r="182" spans="1:21" s="492" customFormat="1" ht="18" x14ac:dyDescent="0.15">
      <c r="A182" s="579"/>
      <c r="B182" s="518" t="s">
        <v>253</v>
      </c>
      <c r="C182" s="517">
        <f>'FOND GASO Y D'!Q25</f>
        <v>0</v>
      </c>
      <c r="D182" s="517">
        <f t="shared" ref="D182:O182" si="137">$C182*D$29%</f>
        <v>0</v>
      </c>
      <c r="E182" s="517">
        <f t="shared" si="137"/>
        <v>0</v>
      </c>
      <c r="F182" s="517">
        <f t="shared" si="137"/>
        <v>0</v>
      </c>
      <c r="G182" s="517">
        <f t="shared" si="137"/>
        <v>0</v>
      </c>
      <c r="H182" s="517">
        <f t="shared" si="137"/>
        <v>0</v>
      </c>
      <c r="I182" s="517">
        <f t="shared" si="137"/>
        <v>0</v>
      </c>
      <c r="J182" s="517">
        <f t="shared" si="137"/>
        <v>0</v>
      </c>
      <c r="K182" s="517">
        <f t="shared" si="137"/>
        <v>0</v>
      </c>
      <c r="L182" s="517">
        <f t="shared" si="137"/>
        <v>0</v>
      </c>
      <c r="M182" s="517">
        <f t="shared" si="137"/>
        <v>0</v>
      </c>
      <c r="N182" s="517">
        <f t="shared" si="137"/>
        <v>0</v>
      </c>
      <c r="O182" s="517">
        <f t="shared" si="137"/>
        <v>0</v>
      </c>
      <c r="P182" s="511">
        <f t="shared" si="122"/>
        <v>0</v>
      </c>
      <c r="Q182" s="530">
        <v>39010</v>
      </c>
      <c r="R182" s="480"/>
      <c r="S182" s="479"/>
      <c r="U182" s="513"/>
    </row>
    <row r="183" spans="1:21" s="492" customFormat="1" ht="18" x14ac:dyDescent="0.15">
      <c r="A183" s="579"/>
      <c r="B183" s="528" t="s">
        <v>408</v>
      </c>
      <c r="C183" s="519">
        <f>'FOND GASO Y D'!H25</f>
        <v>1263487.2328508287</v>
      </c>
      <c r="D183" s="517">
        <f t="shared" ref="D183:O183" si="138">$C183*D$30%</f>
        <v>98287.685943588789</v>
      </c>
      <c r="E183" s="517">
        <f t="shared" si="138"/>
        <v>108065.073769558</v>
      </c>
      <c r="F183" s="517">
        <f t="shared" si="138"/>
        <v>105212.49926811339</v>
      </c>
      <c r="G183" s="517">
        <f t="shared" si="138"/>
        <v>98036.129357761572</v>
      </c>
      <c r="H183" s="517">
        <f t="shared" si="138"/>
        <v>108021.80176909972</v>
      </c>
      <c r="I183" s="517">
        <f t="shared" si="138"/>
        <v>104253.87427311057</v>
      </c>
      <c r="J183" s="517">
        <f t="shared" si="138"/>
        <v>106427.42278475659</v>
      </c>
      <c r="K183" s="517">
        <f t="shared" si="138"/>
        <v>106364.18039443446</v>
      </c>
      <c r="L183" s="517">
        <f t="shared" si="138"/>
        <v>110684.64797128386</v>
      </c>
      <c r="M183" s="517">
        <f t="shared" si="138"/>
        <v>109712.70938388082</v>
      </c>
      <c r="N183" s="517">
        <f t="shared" si="138"/>
        <v>102536.33947352902</v>
      </c>
      <c r="O183" s="517">
        <f t="shared" si="138"/>
        <v>105884.86846297534</v>
      </c>
      <c r="P183" s="511">
        <f t="shared" si="122"/>
        <v>-1.2636592146009207E-6</v>
      </c>
      <c r="Q183" s="530">
        <v>77218</v>
      </c>
      <c r="R183" s="480"/>
      <c r="S183" s="479"/>
      <c r="U183" s="513"/>
    </row>
    <row r="184" spans="1:21" s="492" customFormat="1" x14ac:dyDescent="0.15">
      <c r="A184" s="579"/>
      <c r="B184" s="520"/>
      <c r="C184" s="521"/>
      <c r="D184" s="522"/>
      <c r="E184" s="522"/>
      <c r="F184" s="522"/>
      <c r="G184" s="522"/>
      <c r="H184" s="522"/>
      <c r="I184" s="522"/>
      <c r="J184" s="522"/>
      <c r="K184" s="522"/>
      <c r="L184" s="522"/>
      <c r="M184" s="522"/>
      <c r="N184" s="522"/>
      <c r="O184" s="522"/>
      <c r="P184" s="511">
        <f t="shared" si="122"/>
        <v>0</v>
      </c>
      <c r="Q184" s="530">
        <v>0</v>
      </c>
      <c r="R184" s="480"/>
      <c r="S184" s="479"/>
      <c r="U184" s="513"/>
    </row>
    <row r="185" spans="1:21" s="492" customFormat="1" x14ac:dyDescent="0.15">
      <c r="A185" s="588"/>
      <c r="B185" s="523"/>
      <c r="C185" s="521"/>
      <c r="D185" s="522"/>
      <c r="E185" s="522"/>
      <c r="F185" s="522"/>
      <c r="G185" s="522"/>
      <c r="H185" s="522"/>
      <c r="I185" s="522"/>
      <c r="J185" s="522"/>
      <c r="K185" s="522"/>
      <c r="L185" s="522"/>
      <c r="M185" s="522"/>
      <c r="N185" s="522"/>
      <c r="O185" s="522"/>
      <c r="P185" s="511">
        <f t="shared" si="122"/>
        <v>0</v>
      </c>
      <c r="Q185" s="530">
        <v>0</v>
      </c>
      <c r="R185" s="480"/>
      <c r="S185" s="479"/>
      <c r="U185" s="513"/>
    </row>
    <row r="186" spans="1:21" s="492" customFormat="1" x14ac:dyDescent="0.15">
      <c r="A186" s="584">
        <v>11</v>
      </c>
      <c r="B186" s="509" t="s">
        <v>343</v>
      </c>
      <c r="C186" s="524">
        <f t="shared" ref="C186:O186" si="139">SUM(C187:C198)</f>
        <v>36718101.530955665</v>
      </c>
      <c r="D186" s="524">
        <f t="shared" si="139"/>
        <v>2864906.2128780121</v>
      </c>
      <c r="E186" s="524">
        <f t="shared" si="139"/>
        <v>3864699.2466754518</v>
      </c>
      <c r="F186" s="524">
        <f t="shared" si="139"/>
        <v>2561380.8443992832</v>
      </c>
      <c r="G186" s="524">
        <f t="shared" si="139"/>
        <v>3258752.3186835265</v>
      </c>
      <c r="H186" s="524">
        <f t="shared" si="139"/>
        <v>3694247.0734169115</v>
      </c>
      <c r="I186" s="524">
        <f t="shared" si="139"/>
        <v>3623097.7305801259</v>
      </c>
      <c r="J186" s="524">
        <f t="shared" si="139"/>
        <v>3133107.2333679553</v>
      </c>
      <c r="K186" s="524">
        <f t="shared" si="139"/>
        <v>3047498.383674318</v>
      </c>
      <c r="L186" s="524">
        <f t="shared" si="139"/>
        <v>2885253.3006481538</v>
      </c>
      <c r="M186" s="524">
        <f t="shared" si="139"/>
        <v>2149271.1129529015</v>
      </c>
      <c r="N186" s="524">
        <f t="shared" si="139"/>
        <v>2802102.8864957006</v>
      </c>
      <c r="O186" s="524">
        <f t="shared" si="139"/>
        <v>2833785.1870760019</v>
      </c>
      <c r="P186" s="511">
        <f t="shared" si="122"/>
        <v>1.0732375085353851E-4</v>
      </c>
      <c r="Q186" s="530">
        <v>2229014</v>
      </c>
      <c r="R186" s="480"/>
      <c r="S186" s="479"/>
      <c r="T186" s="512"/>
      <c r="U186" s="513"/>
    </row>
    <row r="187" spans="1:21" s="492" customFormat="1" x14ac:dyDescent="0.15">
      <c r="A187" s="579"/>
      <c r="B187" s="525" t="s">
        <v>294</v>
      </c>
      <c r="C187" s="526">
        <f>'FG1'!I26</f>
        <v>25381568.509446841</v>
      </c>
      <c r="D187" s="526">
        <f t="shared" ref="D187:O187" si="140">$C187*D$19%</f>
        <v>1919727.2838773027</v>
      </c>
      <c r="E187" s="526">
        <f t="shared" si="140"/>
        <v>2750488.7054353403</v>
      </c>
      <c r="F187" s="526">
        <f t="shared" si="140"/>
        <v>1777904.2299903163</v>
      </c>
      <c r="G187" s="526">
        <f t="shared" si="140"/>
        <v>2183975.2094046278</v>
      </c>
      <c r="H187" s="526">
        <f t="shared" si="140"/>
        <v>2667110.935417566</v>
      </c>
      <c r="I187" s="526">
        <f t="shared" si="140"/>
        <v>2614710.0351519366</v>
      </c>
      <c r="J187" s="526">
        <f t="shared" si="140"/>
        <v>2026932.6171916982</v>
      </c>
      <c r="K187" s="526">
        <f t="shared" si="140"/>
        <v>2152064.7533020559</v>
      </c>
      <c r="L187" s="526">
        <f t="shared" si="140"/>
        <v>2022407.0856077527</v>
      </c>
      <c r="M187" s="526">
        <f t="shared" si="140"/>
        <v>1340700.4726356736</v>
      </c>
      <c r="N187" s="526">
        <f t="shared" si="140"/>
        <v>1956684.003503687</v>
      </c>
      <c r="O187" s="526">
        <f t="shared" si="140"/>
        <v>1968863.1779035025</v>
      </c>
      <c r="P187" s="511">
        <f t="shared" si="122"/>
        <v>2.5383662432432175E-5</v>
      </c>
      <c r="Q187" s="530">
        <v>1534560</v>
      </c>
      <c r="R187" s="480"/>
      <c r="S187" s="479"/>
      <c r="U187" s="513"/>
    </row>
    <row r="188" spans="1:21" s="492" customFormat="1" x14ac:dyDescent="0.15">
      <c r="A188" s="579"/>
      <c r="B188" s="525" t="s">
        <v>296</v>
      </c>
      <c r="C188" s="526">
        <f>FFM!J26</f>
        <v>6822461.4393035211</v>
      </c>
      <c r="D188" s="526">
        <f t="shared" ref="D188:O188" si="141">$C188*D$20%</f>
        <v>515935.95615970402</v>
      </c>
      <c r="E188" s="526">
        <f t="shared" si="141"/>
        <v>739678.02274451219</v>
      </c>
      <c r="F188" s="526">
        <f t="shared" si="141"/>
        <v>477739.93450977188</v>
      </c>
      <c r="G188" s="526">
        <f t="shared" si="141"/>
        <v>587103.65474109259</v>
      </c>
      <c r="H188" s="526">
        <f t="shared" si="141"/>
        <v>717222.58304893528</v>
      </c>
      <c r="I188" s="526">
        <f t="shared" si="141"/>
        <v>703109.88217475195</v>
      </c>
      <c r="J188" s="526">
        <f t="shared" si="141"/>
        <v>544760.91195784369</v>
      </c>
      <c r="K188" s="526">
        <f t="shared" si="141"/>
        <v>578461.70999623719</v>
      </c>
      <c r="L188" s="526">
        <f t="shared" si="141"/>
        <v>543542.08525276801</v>
      </c>
      <c r="M188" s="526">
        <f t="shared" si="141"/>
        <v>359943.71051030356</v>
      </c>
      <c r="N188" s="526">
        <f t="shared" si="141"/>
        <v>525841.43558832712</v>
      </c>
      <c r="O188" s="526">
        <f t="shared" si="141"/>
        <v>529121.55253740423</v>
      </c>
      <c r="P188" s="511">
        <f t="shared" si="122"/>
        <v>8.1869424320757389E-5</v>
      </c>
      <c r="Q188" s="530">
        <v>469832</v>
      </c>
      <c r="R188" s="480"/>
      <c r="S188" s="479"/>
      <c r="U188" s="513"/>
    </row>
    <row r="189" spans="1:21" s="492" customFormat="1" ht="18" x14ac:dyDescent="0.15">
      <c r="A189" s="579"/>
      <c r="B189" s="525" t="s">
        <v>297</v>
      </c>
      <c r="C189" s="526">
        <f>IEPS!I25</f>
        <v>613827.86838117219</v>
      </c>
      <c r="D189" s="526">
        <f t="shared" ref="D189:O189" si="142">$C189*D$21%</f>
        <v>43115.159554481826</v>
      </c>
      <c r="E189" s="526">
        <f t="shared" si="142"/>
        <v>98548.608117277909</v>
      </c>
      <c r="F189" s="526">
        <f t="shared" si="142"/>
        <v>40933.131552512074</v>
      </c>
      <c r="G189" s="526">
        <f t="shared" si="142"/>
        <v>39781.271932208809</v>
      </c>
      <c r="H189" s="526">
        <f t="shared" si="142"/>
        <v>43920.712685525672</v>
      </c>
      <c r="I189" s="526">
        <f t="shared" si="142"/>
        <v>45546.654080716784</v>
      </c>
      <c r="J189" s="526">
        <f t="shared" si="142"/>
        <v>46904.633996936405</v>
      </c>
      <c r="K189" s="526">
        <f t="shared" si="142"/>
        <v>51956.602613362804</v>
      </c>
      <c r="L189" s="526">
        <f t="shared" si="142"/>
        <v>52065.475323909166</v>
      </c>
      <c r="M189" s="526">
        <f t="shared" si="142"/>
        <v>51486.806420146124</v>
      </c>
      <c r="N189" s="526">
        <f t="shared" si="142"/>
        <v>49822.192888350059</v>
      </c>
      <c r="O189" s="526">
        <f t="shared" si="142"/>
        <v>49746.619215130711</v>
      </c>
      <c r="P189" s="511">
        <f t="shared" si="122"/>
        <v>6.1387254390865564E-7</v>
      </c>
      <c r="Q189" s="530">
        <v>39632</v>
      </c>
      <c r="R189" s="480"/>
      <c r="S189" s="479"/>
      <c r="U189" s="513"/>
    </row>
    <row r="190" spans="1:21" s="492" customFormat="1" x14ac:dyDescent="0.15">
      <c r="A190" s="579"/>
      <c r="B190" s="525" t="s">
        <v>236</v>
      </c>
      <c r="C190" s="526">
        <f>ISR!C16</f>
        <v>1165009.31</v>
      </c>
      <c r="D190" s="526">
        <f>ISR!D16</f>
        <v>94369.267671391965</v>
      </c>
      <c r="E190" s="526">
        <f>ISR!E16</f>
        <v>97578.848942539204</v>
      </c>
      <c r="F190" s="526">
        <f>ISR!F16</f>
        <v>97569.127332996184</v>
      </c>
      <c r="G190" s="526">
        <f>ISR!G16</f>
        <v>96638.457681860469</v>
      </c>
      <c r="H190" s="526">
        <f>ISR!H16</f>
        <v>96648.02603220848</v>
      </c>
      <c r="I190" s="526">
        <f>ISR!I16</f>
        <v>97221.523012276084</v>
      </c>
      <c r="J190" s="526">
        <f>ISR!J16</f>
        <v>96946.695321057181</v>
      </c>
      <c r="K190" s="526">
        <f>ISR!K16</f>
        <v>97732.768025362137</v>
      </c>
      <c r="L190" s="526">
        <f>ISR!L16</f>
        <v>97457.940334143466</v>
      </c>
      <c r="M190" s="526">
        <f>ISR!M16</f>
        <v>98244.013038448422</v>
      </c>
      <c r="N190" s="526">
        <f>ISR!N16</f>
        <v>97969.185347229621</v>
      </c>
      <c r="O190" s="526">
        <f>ISR!O16</f>
        <v>96633.457260487092</v>
      </c>
      <c r="P190" s="511">
        <f t="shared" si="122"/>
        <v>-2.1827872842550278E-10</v>
      </c>
      <c r="Q190" s="530">
        <v>0</v>
      </c>
      <c r="R190" s="480"/>
      <c r="S190" s="479"/>
      <c r="U190" s="513"/>
    </row>
    <row r="191" spans="1:21" s="492" customFormat="1" ht="18" x14ac:dyDescent="0.15">
      <c r="A191" s="579"/>
      <c r="B191" s="527" t="s">
        <v>298</v>
      </c>
      <c r="C191" s="515">
        <f>FOFIR!I25</f>
        <v>1187140.0763906827</v>
      </c>
      <c r="D191" s="515">
        <f t="shared" ref="D191:O191" si="143">$C191*D$23%</f>
        <v>162300.44387494124</v>
      </c>
      <c r="E191" s="515">
        <f t="shared" si="143"/>
        <v>41292.610851313228</v>
      </c>
      <c r="F191" s="515">
        <f t="shared" si="143"/>
        <v>41292.610851313228</v>
      </c>
      <c r="G191" s="515">
        <f t="shared" si="143"/>
        <v>233028.01166425314</v>
      </c>
      <c r="H191" s="515">
        <f t="shared" si="143"/>
        <v>41292.610851313228</v>
      </c>
      <c r="I191" s="515">
        <f t="shared" si="143"/>
        <v>41292.610851313228</v>
      </c>
      <c r="J191" s="515">
        <f t="shared" si="143"/>
        <v>289849.29829599254</v>
      </c>
      <c r="K191" s="515">
        <f t="shared" si="143"/>
        <v>41292.610851313228</v>
      </c>
      <c r="L191" s="515">
        <f t="shared" si="143"/>
        <v>41292.610851313228</v>
      </c>
      <c r="M191" s="515">
        <f t="shared" si="143"/>
        <v>171621.43574973851</v>
      </c>
      <c r="N191" s="515">
        <f t="shared" si="143"/>
        <v>41292.610851313228</v>
      </c>
      <c r="O191" s="515">
        <f t="shared" si="143"/>
        <v>41292.610851313228</v>
      </c>
      <c r="P191" s="511">
        <f t="shared" si="122"/>
        <v>-4.7485082177445292E-6</v>
      </c>
      <c r="Q191" s="530">
        <v>46680</v>
      </c>
      <c r="R191" s="480"/>
      <c r="S191" s="479"/>
      <c r="U191" s="513"/>
    </row>
    <row r="192" spans="1:21" s="492" customFormat="1" ht="27" x14ac:dyDescent="0.15">
      <c r="A192" s="579"/>
      <c r="B192" s="528" t="s">
        <v>407</v>
      </c>
      <c r="C192" s="517">
        <f>FCISAN!I25</f>
        <v>75361.134545178866</v>
      </c>
      <c r="D192" s="517">
        <f t="shared" ref="D192:O192" si="144">$C192*D$24%</f>
        <v>6280.0945454064531</v>
      </c>
      <c r="E192" s="517">
        <f t="shared" si="144"/>
        <v>6280.0945454064531</v>
      </c>
      <c r="F192" s="517">
        <f t="shared" si="144"/>
        <v>6280.0945454064531</v>
      </c>
      <c r="G192" s="517">
        <f t="shared" si="144"/>
        <v>6280.0945454064531</v>
      </c>
      <c r="H192" s="517">
        <f t="shared" si="144"/>
        <v>6280.0945454064531</v>
      </c>
      <c r="I192" s="517">
        <f t="shared" si="144"/>
        <v>6280.0945454064531</v>
      </c>
      <c r="J192" s="517">
        <f t="shared" si="144"/>
        <v>6280.0945454064531</v>
      </c>
      <c r="K192" s="517">
        <f t="shared" si="144"/>
        <v>6280.0945454064531</v>
      </c>
      <c r="L192" s="517">
        <f t="shared" si="144"/>
        <v>6280.0945454064531</v>
      </c>
      <c r="M192" s="517">
        <f t="shared" si="144"/>
        <v>6280.0945454064531</v>
      </c>
      <c r="N192" s="517">
        <f t="shared" si="144"/>
        <v>6280.0945454064531</v>
      </c>
      <c r="O192" s="517">
        <f t="shared" si="144"/>
        <v>6280.0945454064531</v>
      </c>
      <c r="P192" s="511">
        <f t="shared" si="122"/>
        <v>3.0145019991323352E-7</v>
      </c>
      <c r="Q192" s="530">
        <v>5557</v>
      </c>
      <c r="R192" s="480"/>
      <c r="S192" s="479"/>
      <c r="U192" s="513"/>
    </row>
    <row r="193" spans="1:21" s="492" customFormat="1" ht="27" x14ac:dyDescent="0.15">
      <c r="A193" s="579"/>
      <c r="B193" s="528" t="s">
        <v>242</v>
      </c>
      <c r="C193" s="517">
        <f>ISAN!I25</f>
        <v>376437.70506330405</v>
      </c>
      <c r="D193" s="517">
        <f t="shared" ref="D193:O193" si="145">$C193*D$25%</f>
        <v>36225.958366673709</v>
      </c>
      <c r="E193" s="517">
        <f t="shared" si="145"/>
        <v>40460.61258595925</v>
      </c>
      <c r="F193" s="517">
        <f t="shared" si="145"/>
        <v>31401.007727691031</v>
      </c>
      <c r="G193" s="517">
        <f t="shared" si="145"/>
        <v>29143.374207959107</v>
      </c>
      <c r="H193" s="517">
        <f t="shared" si="145"/>
        <v>31160.710260552707</v>
      </c>
      <c r="I193" s="517">
        <f t="shared" si="145"/>
        <v>27064.02500641103</v>
      </c>
      <c r="J193" s="517">
        <f t="shared" si="145"/>
        <v>29319.721536192967</v>
      </c>
      <c r="K193" s="517">
        <f t="shared" si="145"/>
        <v>30236.339927305638</v>
      </c>
      <c r="L193" s="517">
        <f t="shared" si="145"/>
        <v>29711.17351521194</v>
      </c>
      <c r="M193" s="517">
        <f t="shared" si="145"/>
        <v>30439.817858761315</v>
      </c>
      <c r="N193" s="517">
        <f t="shared" si="145"/>
        <v>29472.81383456579</v>
      </c>
      <c r="O193" s="517">
        <f t="shared" si="145"/>
        <v>31802.150231502324</v>
      </c>
      <c r="P193" s="511">
        <f t="shared" si="122"/>
        <v>4.5172455429565161E-6</v>
      </c>
      <c r="Q193" s="530">
        <v>23854</v>
      </c>
      <c r="R193" s="480"/>
      <c r="S193" s="479"/>
      <c r="U193" s="513"/>
    </row>
    <row r="194" spans="1:21" s="492" customFormat="1" ht="18" x14ac:dyDescent="0.15">
      <c r="A194" s="579"/>
      <c r="B194" s="528" t="s">
        <v>403</v>
      </c>
      <c r="C194" s="517">
        <f>LOT!I25</f>
        <v>18222.218115459164</v>
      </c>
      <c r="D194" s="517">
        <f t="shared" ref="D194:O194" si="146">$C194*D$26%</f>
        <v>1377.7889991140478</v>
      </c>
      <c r="E194" s="517">
        <f t="shared" si="146"/>
        <v>1358.2597570895987</v>
      </c>
      <c r="F194" s="517">
        <f t="shared" si="146"/>
        <v>1335.0026185119766</v>
      </c>
      <c r="G194" s="517">
        <f t="shared" si="146"/>
        <v>1468.8009821994576</v>
      </c>
      <c r="H194" s="517">
        <f t="shared" si="146"/>
        <v>1201.7465533564996</v>
      </c>
      <c r="I194" s="517">
        <f t="shared" si="146"/>
        <v>1630.8313429104817</v>
      </c>
      <c r="J194" s="517">
        <f t="shared" si="146"/>
        <v>3742.7561784754594</v>
      </c>
      <c r="K194" s="517">
        <f t="shared" si="146"/>
        <v>1362.4974792163162</v>
      </c>
      <c r="L194" s="517">
        <f t="shared" si="146"/>
        <v>1653.2214532803955</v>
      </c>
      <c r="M194" s="517">
        <f t="shared" si="146"/>
        <v>1023.5706337197749</v>
      </c>
      <c r="N194" s="517">
        <f t="shared" si="146"/>
        <v>1033.8710586832449</v>
      </c>
      <c r="O194" s="517">
        <f t="shared" si="146"/>
        <v>1033.8710586832449</v>
      </c>
      <c r="P194" s="511">
        <f t="shared" si="122"/>
        <v>2.1866480892640539E-7</v>
      </c>
      <c r="Q194" s="530">
        <v>1165</v>
      </c>
      <c r="R194" s="480"/>
      <c r="S194" s="479"/>
      <c r="U194" s="513"/>
    </row>
    <row r="195" spans="1:21" s="492" customFormat="1" ht="45" x14ac:dyDescent="0.15">
      <c r="A195" s="579"/>
      <c r="B195" s="518" t="s">
        <v>301</v>
      </c>
      <c r="C195" s="517">
        <f>'ENAJENAC DE INMUE'!I25</f>
        <v>71651.924588225243</v>
      </c>
      <c r="D195" s="517">
        <f t="shared" ref="D195:O195" si="147">$C195*D$27%</f>
        <v>3094.3397841312317</v>
      </c>
      <c r="E195" s="517">
        <f t="shared" si="147"/>
        <v>3139.9163089202889</v>
      </c>
      <c r="F195" s="517">
        <f t="shared" si="147"/>
        <v>3097.5860377716995</v>
      </c>
      <c r="G195" s="517">
        <f t="shared" si="147"/>
        <v>3079.4412415829343</v>
      </c>
      <c r="H195" s="517">
        <f t="shared" si="147"/>
        <v>4271.7731008706478</v>
      </c>
      <c r="I195" s="517">
        <f t="shared" si="147"/>
        <v>3074.7265449450292</v>
      </c>
      <c r="J195" s="517">
        <f t="shared" si="147"/>
        <v>3533.7186583250946</v>
      </c>
      <c r="K195" s="517">
        <f t="shared" si="147"/>
        <v>3530.0812694390384</v>
      </c>
      <c r="L195" s="517">
        <f t="shared" si="147"/>
        <v>3525.6093463598409</v>
      </c>
      <c r="M195" s="517">
        <f t="shared" si="147"/>
        <v>3078.9371492277901</v>
      </c>
      <c r="N195" s="517">
        <f t="shared" si="147"/>
        <v>12801.088387403828</v>
      </c>
      <c r="O195" s="517">
        <f t="shared" si="147"/>
        <v>25424.706759104516</v>
      </c>
      <c r="P195" s="511">
        <f t="shared" si="122"/>
        <v>1.4330362319014966E-7</v>
      </c>
      <c r="Q195" s="530">
        <v>17002</v>
      </c>
      <c r="R195" s="480"/>
      <c r="S195" s="479"/>
      <c r="U195" s="513"/>
    </row>
    <row r="196" spans="1:21" s="492" customFormat="1" ht="27" x14ac:dyDescent="0.15">
      <c r="A196" s="579"/>
      <c r="B196" s="518" t="s">
        <v>248</v>
      </c>
      <c r="C196" s="517">
        <f>'IMP BEBIDAS AL'!I25</f>
        <v>28005.358535226667</v>
      </c>
      <c r="D196" s="517">
        <f t="shared" ref="D196:O196" si="148">$C196*D$28%</f>
        <v>6368.1551520969788</v>
      </c>
      <c r="E196" s="517">
        <f t="shared" si="148"/>
        <v>2190.4141120346917</v>
      </c>
      <c r="F196" s="517">
        <f t="shared" si="148"/>
        <v>2353.9352475105215</v>
      </c>
      <c r="G196" s="517">
        <f t="shared" si="148"/>
        <v>2337.0371300837173</v>
      </c>
      <c r="H196" s="517">
        <f t="shared" si="148"/>
        <v>1488.2365062930144</v>
      </c>
      <c r="I196" s="517">
        <f t="shared" si="148"/>
        <v>2435.5014366365399</v>
      </c>
      <c r="J196" s="517">
        <f t="shared" si="148"/>
        <v>2421.7923593384194</v>
      </c>
      <c r="K196" s="517">
        <f t="shared" si="148"/>
        <v>2214.9058171336237</v>
      </c>
      <c r="L196" s="517">
        <f t="shared" si="148"/>
        <v>1606.3120248819582</v>
      </c>
      <c r="M196" s="517">
        <f t="shared" si="148"/>
        <v>1493.209316374667</v>
      </c>
      <c r="N196" s="517">
        <f t="shared" si="148"/>
        <v>1503.7642288623331</v>
      </c>
      <c r="O196" s="517">
        <f t="shared" si="148"/>
        <v>1592.0952039802039</v>
      </c>
      <c r="P196" s="511">
        <f t="shared" si="122"/>
        <v>-1.8189894035458565E-12</v>
      </c>
      <c r="Q196" s="530">
        <v>727</v>
      </c>
      <c r="R196" s="480"/>
      <c r="S196" s="479"/>
      <c r="U196" s="513"/>
    </row>
    <row r="197" spans="1:21" s="492" customFormat="1" ht="18" x14ac:dyDescent="0.15">
      <c r="A197" s="579"/>
      <c r="B197" s="518" t="s">
        <v>253</v>
      </c>
      <c r="C197" s="517">
        <f>'FOND GASO Y D'!Q26</f>
        <v>0</v>
      </c>
      <c r="D197" s="517">
        <f t="shared" ref="D197:O197" si="149">$C197*D$29%</f>
        <v>0</v>
      </c>
      <c r="E197" s="517">
        <f t="shared" si="149"/>
        <v>0</v>
      </c>
      <c r="F197" s="517">
        <f t="shared" si="149"/>
        <v>0</v>
      </c>
      <c r="G197" s="517">
        <f t="shared" si="149"/>
        <v>0</v>
      </c>
      <c r="H197" s="517">
        <f t="shared" si="149"/>
        <v>0</v>
      </c>
      <c r="I197" s="517">
        <f t="shared" si="149"/>
        <v>0</v>
      </c>
      <c r="J197" s="517">
        <f t="shared" si="149"/>
        <v>0</v>
      </c>
      <c r="K197" s="517">
        <f t="shared" si="149"/>
        <v>0</v>
      </c>
      <c r="L197" s="517">
        <f t="shared" si="149"/>
        <v>0</v>
      </c>
      <c r="M197" s="517">
        <f t="shared" si="149"/>
        <v>0</v>
      </c>
      <c r="N197" s="517">
        <f t="shared" si="149"/>
        <v>0</v>
      </c>
      <c r="O197" s="517">
        <f t="shared" si="149"/>
        <v>0</v>
      </c>
      <c r="P197" s="511">
        <f t="shared" si="122"/>
        <v>0</v>
      </c>
      <c r="Q197" s="530">
        <v>30209</v>
      </c>
      <c r="R197" s="480"/>
      <c r="S197" s="479"/>
      <c r="U197" s="513"/>
    </row>
    <row r="198" spans="1:21" s="492" customFormat="1" ht="18" x14ac:dyDescent="0.15">
      <c r="A198" s="579"/>
      <c r="B198" s="528" t="s">
        <v>408</v>
      </c>
      <c r="C198" s="519">
        <f>'FOND GASO Y D'!H26</f>
        <v>978415.98658604769</v>
      </c>
      <c r="D198" s="517">
        <f t="shared" ref="D198:O198" si="150">$C198*D$30%</f>
        <v>76111.764892767809</v>
      </c>
      <c r="E198" s="517">
        <f t="shared" si="150"/>
        <v>83683.153275059041</v>
      </c>
      <c r="F198" s="517">
        <f t="shared" si="150"/>
        <v>81474.183985481228</v>
      </c>
      <c r="G198" s="517">
        <f t="shared" si="150"/>
        <v>75916.965152252014</v>
      </c>
      <c r="H198" s="517">
        <f t="shared" si="150"/>
        <v>83649.644414882903</v>
      </c>
      <c r="I198" s="517">
        <f t="shared" si="150"/>
        <v>80731.846432821156</v>
      </c>
      <c r="J198" s="517">
        <f t="shared" si="150"/>
        <v>82414.993326689189</v>
      </c>
      <c r="K198" s="517">
        <f t="shared" si="150"/>
        <v>82366.019847486328</v>
      </c>
      <c r="L198" s="517">
        <f t="shared" si="150"/>
        <v>85711.692393126708</v>
      </c>
      <c r="M198" s="517">
        <f t="shared" si="150"/>
        <v>84959.045095101115</v>
      </c>
      <c r="N198" s="517">
        <f t="shared" si="150"/>
        <v>79401.826261871916</v>
      </c>
      <c r="O198" s="517">
        <f t="shared" si="150"/>
        <v>81994.851509486674</v>
      </c>
      <c r="P198" s="511">
        <f t="shared" si="122"/>
        <v>-9.7836891654878855E-7</v>
      </c>
      <c r="Q198" s="530">
        <v>59796</v>
      </c>
      <c r="R198" s="480"/>
      <c r="S198" s="479"/>
      <c r="U198" s="513"/>
    </row>
    <row r="199" spans="1:21" s="492" customFormat="1" x14ac:dyDescent="0.15">
      <c r="A199" s="579"/>
      <c r="B199" s="520"/>
      <c r="C199" s="521"/>
      <c r="D199" s="522"/>
      <c r="E199" s="522"/>
      <c r="F199" s="522"/>
      <c r="G199" s="522"/>
      <c r="H199" s="522"/>
      <c r="I199" s="522"/>
      <c r="J199" s="522"/>
      <c r="K199" s="522"/>
      <c r="L199" s="522"/>
      <c r="M199" s="522"/>
      <c r="N199" s="522"/>
      <c r="O199" s="522"/>
      <c r="P199" s="511">
        <f t="shared" si="122"/>
        <v>0</v>
      </c>
      <c r="Q199" s="530">
        <v>0</v>
      </c>
      <c r="R199" s="480"/>
      <c r="S199" s="479"/>
      <c r="U199" s="513"/>
    </row>
    <row r="200" spans="1:21" s="492" customFormat="1" x14ac:dyDescent="0.15">
      <c r="A200" s="588"/>
      <c r="B200" s="523"/>
      <c r="C200" s="521"/>
      <c r="D200" s="522"/>
      <c r="E200" s="522"/>
      <c r="F200" s="522"/>
      <c r="G200" s="522"/>
      <c r="H200" s="522"/>
      <c r="I200" s="522"/>
      <c r="J200" s="522"/>
      <c r="K200" s="522"/>
      <c r="L200" s="522"/>
      <c r="M200" s="522"/>
      <c r="N200" s="522"/>
      <c r="O200" s="522"/>
      <c r="P200" s="511">
        <f t="shared" si="122"/>
        <v>0</v>
      </c>
      <c r="Q200" s="530">
        <v>0</v>
      </c>
      <c r="R200" s="480"/>
      <c r="S200" s="479"/>
      <c r="U200" s="513"/>
    </row>
    <row r="201" spans="1:21" s="492" customFormat="1" x14ac:dyDescent="0.15">
      <c r="A201" s="584">
        <v>12</v>
      </c>
      <c r="B201" s="509" t="s">
        <v>409</v>
      </c>
      <c r="C201" s="524">
        <f t="shared" ref="C201:O201" si="151">SUM(C202:C213)</f>
        <v>88646195.034657583</v>
      </c>
      <c r="D201" s="524">
        <f t="shared" si="151"/>
        <v>6909592.9366758671</v>
      </c>
      <c r="E201" s="524">
        <f t="shared" si="151"/>
        <v>9392974.4138750024</v>
      </c>
      <c r="F201" s="524">
        <f t="shared" si="151"/>
        <v>6142540.2545275418</v>
      </c>
      <c r="G201" s="524">
        <f t="shared" si="151"/>
        <v>7886484.6142039727</v>
      </c>
      <c r="H201" s="524">
        <f t="shared" si="151"/>
        <v>8970100.5401608422</v>
      </c>
      <c r="I201" s="524">
        <f t="shared" si="151"/>
        <v>8792215.4728977475</v>
      </c>
      <c r="J201" s="524">
        <f t="shared" si="151"/>
        <v>7569980.8126752349</v>
      </c>
      <c r="K201" s="524">
        <f t="shared" si="151"/>
        <v>7354478.5194299286</v>
      </c>
      <c r="L201" s="524">
        <f t="shared" si="151"/>
        <v>6949244.2459723381</v>
      </c>
      <c r="M201" s="524">
        <f t="shared" si="151"/>
        <v>5111578.4352363609</v>
      </c>
      <c r="N201" s="524">
        <f t="shared" si="151"/>
        <v>6742778.5844878834</v>
      </c>
      <c r="O201" s="524">
        <f t="shared" si="151"/>
        <v>6824226.2042468004</v>
      </c>
      <c r="P201" s="511">
        <f t="shared" si="122"/>
        <v>2.6807375252246857E-4</v>
      </c>
      <c r="Q201" s="530">
        <v>5515945</v>
      </c>
      <c r="R201" s="480"/>
      <c r="S201" s="479"/>
      <c r="T201" s="512"/>
      <c r="U201" s="513"/>
    </row>
    <row r="202" spans="1:21" s="492" customFormat="1" x14ac:dyDescent="0.15">
      <c r="A202" s="579"/>
      <c r="B202" s="525" t="s">
        <v>294</v>
      </c>
      <c r="C202" s="526">
        <f>'FG1'!I27</f>
        <v>63316529.239445709</v>
      </c>
      <c r="D202" s="526">
        <f t="shared" ref="D202:O202" si="152">$C202*D$19%</f>
        <v>4788926.6046004491</v>
      </c>
      <c r="E202" s="526">
        <f t="shared" si="152"/>
        <v>6861333.1944258679</v>
      </c>
      <c r="F202" s="526">
        <f t="shared" si="152"/>
        <v>4435136.6670352956</v>
      </c>
      <c r="G202" s="526">
        <f t="shared" si="152"/>
        <v>5448116.0277003841</v>
      </c>
      <c r="H202" s="526">
        <f t="shared" si="152"/>
        <v>6653340.0985190757</v>
      </c>
      <c r="I202" s="526">
        <f t="shared" si="152"/>
        <v>6522621.497239287</v>
      </c>
      <c r="J202" s="526">
        <f t="shared" si="152"/>
        <v>5056359.628643035</v>
      </c>
      <c r="K202" s="526">
        <f t="shared" si="152"/>
        <v>5368512.6207592199</v>
      </c>
      <c r="L202" s="526">
        <f t="shared" si="152"/>
        <v>5045070.2966715982</v>
      </c>
      <c r="M202" s="526">
        <f t="shared" si="152"/>
        <v>3344493.8852136112</v>
      </c>
      <c r="N202" s="526">
        <f t="shared" si="152"/>
        <v>4881118.3546078224</v>
      </c>
      <c r="O202" s="526">
        <f t="shared" si="152"/>
        <v>4911500.3639667481</v>
      </c>
      <c r="P202" s="511">
        <f t="shared" si="122"/>
        <v>6.3303858041763306E-5</v>
      </c>
      <c r="Q202" s="530">
        <v>3819028</v>
      </c>
      <c r="R202" s="480"/>
      <c r="S202" s="479"/>
      <c r="U202" s="513"/>
    </row>
    <row r="203" spans="1:21" s="492" customFormat="1" x14ac:dyDescent="0.15">
      <c r="A203" s="579"/>
      <c r="B203" s="525" t="s">
        <v>296</v>
      </c>
      <c r="C203" s="526">
        <f>FFM!J27</f>
        <v>17019223.183384992</v>
      </c>
      <c r="D203" s="526">
        <f t="shared" ref="D203:O203" si="153">$C203*D$20%</f>
        <v>1287047.0964672156</v>
      </c>
      <c r="E203" s="526">
        <f t="shared" si="153"/>
        <v>1845191.1329848294</v>
      </c>
      <c r="F203" s="526">
        <f t="shared" si="153"/>
        <v>1191763.7998211356</v>
      </c>
      <c r="G203" s="526">
        <f t="shared" si="153"/>
        <v>1464581.1076712676</v>
      </c>
      <c r="H203" s="526">
        <f t="shared" si="153"/>
        <v>1789174.0864598905</v>
      </c>
      <c r="I203" s="526">
        <f t="shared" si="153"/>
        <v>1753968.7272160281</v>
      </c>
      <c r="J203" s="526">
        <f t="shared" si="153"/>
        <v>1358953.4546554163</v>
      </c>
      <c r="K203" s="526">
        <f t="shared" si="153"/>
        <v>1443023.0252021067</v>
      </c>
      <c r="L203" s="526">
        <f t="shared" si="153"/>
        <v>1355912.9854786978</v>
      </c>
      <c r="M203" s="526">
        <f t="shared" si="153"/>
        <v>897910.8782263709</v>
      </c>
      <c r="N203" s="526">
        <f t="shared" si="153"/>
        <v>1311757.1760527112</v>
      </c>
      <c r="O203" s="526">
        <f t="shared" si="153"/>
        <v>1319939.7129450922</v>
      </c>
      <c r="P203" s="511">
        <f t="shared" si="122"/>
        <v>2.0422879606485367E-4</v>
      </c>
      <c r="Q203" s="530">
        <v>1169262</v>
      </c>
      <c r="R203" s="480"/>
      <c r="S203" s="479"/>
      <c r="U203" s="513"/>
    </row>
    <row r="204" spans="1:21" s="492" customFormat="1" ht="18" x14ac:dyDescent="0.15">
      <c r="A204" s="579"/>
      <c r="B204" s="525" t="s">
        <v>297</v>
      </c>
      <c r="C204" s="526">
        <f>IEPS!I26</f>
        <v>1531246.9819143633</v>
      </c>
      <c r="D204" s="526">
        <f t="shared" ref="D204:O204" si="154">$C204*D$21%</f>
        <v>107554.51380314284</v>
      </c>
      <c r="E204" s="526">
        <f t="shared" si="154"/>
        <v>245838.07045029191</v>
      </c>
      <c r="F204" s="526">
        <f t="shared" si="154"/>
        <v>102111.25525367275</v>
      </c>
      <c r="G204" s="526">
        <f t="shared" si="154"/>
        <v>99237.841291823846</v>
      </c>
      <c r="H204" s="526">
        <f t="shared" si="154"/>
        <v>109564.03612075219</v>
      </c>
      <c r="I204" s="526">
        <f t="shared" si="154"/>
        <v>113620.08828521661</v>
      </c>
      <c r="J204" s="526">
        <f t="shared" si="154"/>
        <v>117007.68724467009</v>
      </c>
      <c r="K204" s="526">
        <f t="shared" si="154"/>
        <v>129610.26216038776</v>
      </c>
      <c r="L204" s="526">
        <f t="shared" si="154"/>
        <v>129881.85460189193</v>
      </c>
      <c r="M204" s="526">
        <f t="shared" si="154"/>
        <v>128438.31471382578</v>
      </c>
      <c r="N204" s="526">
        <f t="shared" si="154"/>
        <v>124285.79154256808</v>
      </c>
      <c r="O204" s="526">
        <f t="shared" si="154"/>
        <v>124097.26644458825</v>
      </c>
      <c r="P204" s="511">
        <f t="shared" si="122"/>
        <v>1.5310797607526183E-6</v>
      </c>
      <c r="Q204" s="530">
        <v>98631</v>
      </c>
      <c r="R204" s="480"/>
      <c r="S204" s="479"/>
      <c r="U204" s="513"/>
    </row>
    <row r="205" spans="1:21" s="492" customFormat="1" x14ac:dyDescent="0.15">
      <c r="A205" s="579"/>
      <c r="B205" s="527" t="s">
        <v>236</v>
      </c>
      <c r="C205" s="515">
        <f>ISR!C17</f>
        <v>302573.83</v>
      </c>
      <c r="D205" s="515">
        <f>ISR!D17</f>
        <v>25214.485833333325</v>
      </c>
      <c r="E205" s="515">
        <f>ISR!E17</f>
        <v>25214.485833333325</v>
      </c>
      <c r="F205" s="515">
        <f>ISR!F17</f>
        <v>25214.485833333325</v>
      </c>
      <c r="G205" s="515">
        <f>ISR!G17</f>
        <v>25214.485833333325</v>
      </c>
      <c r="H205" s="515">
        <f>ISR!H17</f>
        <v>25214.485833333325</v>
      </c>
      <c r="I205" s="515">
        <f>ISR!I17</f>
        <v>25214.485833333325</v>
      </c>
      <c r="J205" s="515">
        <f>ISR!J17</f>
        <v>25214.485833333325</v>
      </c>
      <c r="K205" s="515">
        <f>ISR!K17</f>
        <v>25214.485833333325</v>
      </c>
      <c r="L205" s="515">
        <f>ISR!L17</f>
        <v>25214.485833333325</v>
      </c>
      <c r="M205" s="515">
        <f>ISR!M17</f>
        <v>25214.485833333325</v>
      </c>
      <c r="N205" s="515">
        <f>ISR!N17</f>
        <v>25214.485833333325</v>
      </c>
      <c r="O205" s="515">
        <f>ISR!O17</f>
        <v>25214.485833333325</v>
      </c>
      <c r="P205" s="511">
        <f t="shared" si="122"/>
        <v>2.9103830456733704E-11</v>
      </c>
      <c r="Q205" s="530">
        <v>0</v>
      </c>
      <c r="R205" s="480"/>
      <c r="S205" s="479"/>
      <c r="U205" s="513"/>
    </row>
    <row r="206" spans="1:21" s="492" customFormat="1" ht="18" x14ac:dyDescent="0.15">
      <c r="A206" s="579"/>
      <c r="B206" s="528" t="s">
        <v>298</v>
      </c>
      <c r="C206" s="517">
        <f>FOFIR!I26</f>
        <v>2961424.1267292984</v>
      </c>
      <c r="D206" s="517">
        <f t="shared" ref="D206:O206" si="155">$C206*D$23%</f>
        <v>404872.56712909474</v>
      </c>
      <c r="E206" s="517">
        <f t="shared" si="155"/>
        <v>103008.00761651617</v>
      </c>
      <c r="F206" s="517">
        <f t="shared" si="155"/>
        <v>103008.00761651617</v>
      </c>
      <c r="G206" s="517">
        <f t="shared" si="155"/>
        <v>581308.63380874391</v>
      </c>
      <c r="H206" s="517">
        <f t="shared" si="155"/>
        <v>103008.00761651617</v>
      </c>
      <c r="I206" s="517">
        <f t="shared" si="155"/>
        <v>103008.00761651617</v>
      </c>
      <c r="J206" s="517">
        <f t="shared" si="155"/>
        <v>723054.27317308832</v>
      </c>
      <c r="K206" s="517">
        <f t="shared" si="155"/>
        <v>103008.00761651617</v>
      </c>
      <c r="L206" s="517">
        <f t="shared" si="155"/>
        <v>103008.00761651617</v>
      </c>
      <c r="M206" s="517">
        <f t="shared" si="155"/>
        <v>428124.59169808775</v>
      </c>
      <c r="N206" s="517">
        <f t="shared" si="155"/>
        <v>103008.00761651617</v>
      </c>
      <c r="O206" s="517">
        <f t="shared" si="155"/>
        <v>103008.00761651617</v>
      </c>
      <c r="P206" s="511">
        <f t="shared" si="122"/>
        <v>-1.1845782864838839E-5</v>
      </c>
      <c r="Q206" s="530">
        <v>116176</v>
      </c>
      <c r="R206" s="480"/>
      <c r="S206" s="479"/>
      <c r="U206" s="513"/>
    </row>
    <row r="207" spans="1:21" s="492" customFormat="1" ht="27" x14ac:dyDescent="0.15">
      <c r="A207" s="579"/>
      <c r="B207" s="528" t="s">
        <v>407</v>
      </c>
      <c r="C207" s="517">
        <f>FCISAN!I26</f>
        <v>187994.90177967772</v>
      </c>
      <c r="D207" s="517">
        <f t="shared" ref="D207:O207" si="156">$C207*D$24%</f>
        <v>15666.24181491048</v>
      </c>
      <c r="E207" s="517">
        <f t="shared" si="156"/>
        <v>15666.24181491048</v>
      </c>
      <c r="F207" s="517">
        <f t="shared" si="156"/>
        <v>15666.24181491048</v>
      </c>
      <c r="G207" s="517">
        <f t="shared" si="156"/>
        <v>15666.24181491048</v>
      </c>
      <c r="H207" s="517">
        <f t="shared" si="156"/>
        <v>15666.24181491048</v>
      </c>
      <c r="I207" s="517">
        <f t="shared" si="156"/>
        <v>15666.24181491048</v>
      </c>
      <c r="J207" s="517">
        <f t="shared" si="156"/>
        <v>15666.24181491048</v>
      </c>
      <c r="K207" s="517">
        <f t="shared" si="156"/>
        <v>15666.24181491048</v>
      </c>
      <c r="L207" s="517">
        <f t="shared" si="156"/>
        <v>15666.24181491048</v>
      </c>
      <c r="M207" s="517">
        <f t="shared" si="156"/>
        <v>15666.24181491048</v>
      </c>
      <c r="N207" s="517">
        <f t="shared" si="156"/>
        <v>15666.24181491048</v>
      </c>
      <c r="O207" s="517">
        <f t="shared" si="156"/>
        <v>15666.24181491048</v>
      </c>
      <c r="P207" s="511">
        <f t="shared" si="122"/>
        <v>7.5193747761659324E-7</v>
      </c>
      <c r="Q207" s="530">
        <v>13822</v>
      </c>
      <c r="R207" s="480"/>
      <c r="S207" s="479"/>
      <c r="U207" s="513"/>
    </row>
    <row r="208" spans="1:21" s="492" customFormat="1" ht="27" x14ac:dyDescent="0.15">
      <c r="A208" s="579"/>
      <c r="B208" s="528" t="s">
        <v>242</v>
      </c>
      <c r="C208" s="517">
        <f>ISAN!I26</f>
        <v>939056.58157412196</v>
      </c>
      <c r="D208" s="517">
        <f t="shared" ref="D208:O208" si="157">$C208*D$25%</f>
        <v>90368.802514972194</v>
      </c>
      <c r="E208" s="517">
        <f t="shared" si="157"/>
        <v>100932.51561231453</v>
      </c>
      <c r="F208" s="517">
        <f t="shared" si="157"/>
        <v>78332.54368020696</v>
      </c>
      <c r="G208" s="517">
        <f t="shared" si="157"/>
        <v>72700.680593776502</v>
      </c>
      <c r="H208" s="517">
        <f t="shared" si="157"/>
        <v>77733.100757734865</v>
      </c>
      <c r="I208" s="517">
        <f t="shared" si="157"/>
        <v>67513.563238525778</v>
      </c>
      <c r="J208" s="517">
        <f t="shared" si="157"/>
        <v>73140.594335130256</v>
      </c>
      <c r="K208" s="517">
        <f t="shared" si="157"/>
        <v>75427.178599640858</v>
      </c>
      <c r="L208" s="517">
        <f t="shared" si="157"/>
        <v>74117.105328379897</v>
      </c>
      <c r="M208" s="517">
        <f t="shared" si="157"/>
        <v>75934.771989379573</v>
      </c>
      <c r="N208" s="517">
        <f t="shared" si="157"/>
        <v>73522.496382777506</v>
      </c>
      <c r="O208" s="517">
        <f t="shared" si="157"/>
        <v>79333.228530014356</v>
      </c>
      <c r="P208" s="511">
        <f t="shared" si="122"/>
        <v>1.1268683010712266E-5</v>
      </c>
      <c r="Q208" s="530">
        <v>59367</v>
      </c>
      <c r="R208" s="480"/>
      <c r="S208" s="479"/>
      <c r="U208" s="513"/>
    </row>
    <row r="209" spans="1:21" s="492" customFormat="1" ht="18" x14ac:dyDescent="0.15">
      <c r="A209" s="579"/>
      <c r="B209" s="528" t="s">
        <v>403</v>
      </c>
      <c r="C209" s="517">
        <f>LOT!I26</f>
        <v>45456.907270549622</v>
      </c>
      <c r="D209" s="517">
        <f t="shared" ref="D209:O209" si="158">$C209*D$26%</f>
        <v>3437.0144388721415</v>
      </c>
      <c r="E209" s="517">
        <f t="shared" si="158"/>
        <v>3388.2970468321255</v>
      </c>
      <c r="F209" s="517">
        <f t="shared" si="158"/>
        <v>3330.2800927487806</v>
      </c>
      <c r="G209" s="517">
        <f t="shared" si="158"/>
        <v>3664.0517429702904</v>
      </c>
      <c r="H209" s="517">
        <f t="shared" si="158"/>
        <v>2997.8612533610599</v>
      </c>
      <c r="I209" s="517">
        <f t="shared" si="158"/>
        <v>4068.2505641668245</v>
      </c>
      <c r="J209" s="517">
        <f t="shared" si="158"/>
        <v>9336.6306704944509</v>
      </c>
      <c r="K209" s="517">
        <f t="shared" si="158"/>
        <v>3398.8684130912707</v>
      </c>
      <c r="L209" s="517">
        <f t="shared" si="158"/>
        <v>4124.1046410093741</v>
      </c>
      <c r="M209" s="517">
        <f t="shared" si="158"/>
        <v>2553.3859317809565</v>
      </c>
      <c r="N209" s="517">
        <f t="shared" si="158"/>
        <v>2579.0812373384329</v>
      </c>
      <c r="O209" s="517">
        <f t="shared" si="158"/>
        <v>2579.0812373384329</v>
      </c>
      <c r="P209" s="511">
        <f t="shared" si="122"/>
        <v>5.4547854233533144E-7</v>
      </c>
      <c r="Q209" s="530">
        <v>2901</v>
      </c>
      <c r="R209" s="480"/>
      <c r="S209" s="479"/>
      <c r="U209" s="513"/>
    </row>
    <row r="210" spans="1:21" s="492" customFormat="1" ht="45" x14ac:dyDescent="0.15">
      <c r="A210" s="579"/>
      <c r="B210" s="518" t="s">
        <v>301</v>
      </c>
      <c r="C210" s="517">
        <f>'ENAJENAC DE INMUE'!I26</f>
        <v>178741.95507517102</v>
      </c>
      <c r="D210" s="517">
        <f t="shared" ref="D210:O210" si="159">$C210*D$27%</f>
        <v>7719.0996035490934</v>
      </c>
      <c r="E210" s="517">
        <f t="shared" si="159"/>
        <v>7832.7942069131295</v>
      </c>
      <c r="F210" s="517">
        <f t="shared" si="159"/>
        <v>7727.1976654741802</v>
      </c>
      <c r="G210" s="517">
        <f t="shared" si="159"/>
        <v>7681.9338939305835</v>
      </c>
      <c r="H210" s="517">
        <f t="shared" si="159"/>
        <v>10656.309374453574</v>
      </c>
      <c r="I210" s="517">
        <f t="shared" si="159"/>
        <v>7670.1726732866382</v>
      </c>
      <c r="J210" s="517">
        <f t="shared" si="159"/>
        <v>8815.1684034239333</v>
      </c>
      <c r="K210" s="517">
        <f t="shared" si="159"/>
        <v>8806.0946206246754</v>
      </c>
      <c r="L210" s="517">
        <f t="shared" si="159"/>
        <v>8794.9390197288849</v>
      </c>
      <c r="M210" s="517">
        <f t="shared" si="159"/>
        <v>7680.6763917264952</v>
      </c>
      <c r="N210" s="517">
        <f t="shared" si="159"/>
        <v>31933.427868183695</v>
      </c>
      <c r="O210" s="517">
        <f t="shared" si="159"/>
        <v>63424.141353518644</v>
      </c>
      <c r="P210" s="511">
        <f t="shared" si="122"/>
        <v>3.57518729288131E-7</v>
      </c>
      <c r="Q210" s="530">
        <v>42313</v>
      </c>
      <c r="R210" s="480"/>
      <c r="S210" s="479"/>
      <c r="U210" s="513"/>
    </row>
    <row r="211" spans="1:21" s="492" customFormat="1" ht="27" x14ac:dyDescent="0.15">
      <c r="A211" s="579"/>
      <c r="B211" s="518" t="s">
        <v>248</v>
      </c>
      <c r="C211" s="517">
        <f>'IMP BEBIDAS AL'!I26</f>
        <v>69861.801562691689</v>
      </c>
      <c r="D211" s="517">
        <f t="shared" ref="D211:O211" si="160">$C211*D$28%</f>
        <v>15885.916654008337</v>
      </c>
      <c r="E211" s="517">
        <f t="shared" si="160"/>
        <v>5464.1784300887402</v>
      </c>
      <c r="F211" s="517">
        <f t="shared" si="160"/>
        <v>5872.0961185392871</v>
      </c>
      <c r="G211" s="517">
        <f t="shared" si="160"/>
        <v>5829.9422955496784</v>
      </c>
      <c r="H211" s="517">
        <f t="shared" si="160"/>
        <v>3712.5353474841568</v>
      </c>
      <c r="I211" s="517">
        <f t="shared" si="160"/>
        <v>6075.5700684185276</v>
      </c>
      <c r="J211" s="517">
        <f t="shared" si="160"/>
        <v>6041.3715832749012</v>
      </c>
      <c r="K211" s="517">
        <f t="shared" si="160"/>
        <v>5525.2751176887687</v>
      </c>
      <c r="L211" s="517">
        <f t="shared" si="160"/>
        <v>4007.0849937133494</v>
      </c>
      <c r="M211" s="517">
        <f t="shared" si="160"/>
        <v>3724.9404545530906</v>
      </c>
      <c r="N211" s="517">
        <f t="shared" si="160"/>
        <v>3751.2706013640086</v>
      </c>
      <c r="O211" s="517">
        <f t="shared" si="160"/>
        <v>3971.6198980088475</v>
      </c>
      <c r="P211" s="511">
        <f t="shared" si="122"/>
        <v>0</v>
      </c>
      <c r="Q211" s="530">
        <v>1811</v>
      </c>
      <c r="R211" s="480"/>
      <c r="S211" s="479"/>
      <c r="U211" s="513"/>
    </row>
    <row r="212" spans="1:21" s="492" customFormat="1" ht="18" x14ac:dyDescent="0.15">
      <c r="A212" s="579"/>
      <c r="B212" s="518" t="s">
        <v>253</v>
      </c>
      <c r="C212" s="517">
        <f>'FOND GASO Y D'!Q27</f>
        <v>0</v>
      </c>
      <c r="D212" s="517">
        <f t="shared" ref="D212:O212" si="161">$C212*D$29%</f>
        <v>0</v>
      </c>
      <c r="E212" s="517">
        <f t="shared" si="161"/>
        <v>0</v>
      </c>
      <c r="F212" s="517">
        <f t="shared" si="161"/>
        <v>0</v>
      </c>
      <c r="G212" s="517">
        <f t="shared" si="161"/>
        <v>0</v>
      </c>
      <c r="H212" s="517">
        <f t="shared" si="161"/>
        <v>0</v>
      </c>
      <c r="I212" s="517">
        <f t="shared" si="161"/>
        <v>0</v>
      </c>
      <c r="J212" s="517">
        <f t="shared" si="161"/>
        <v>0</v>
      </c>
      <c r="K212" s="517">
        <f t="shared" si="161"/>
        <v>0</v>
      </c>
      <c r="L212" s="517">
        <f t="shared" si="161"/>
        <v>0</v>
      </c>
      <c r="M212" s="517">
        <f t="shared" si="161"/>
        <v>0</v>
      </c>
      <c r="N212" s="517">
        <f t="shared" si="161"/>
        <v>0</v>
      </c>
      <c r="O212" s="517">
        <f t="shared" si="161"/>
        <v>0</v>
      </c>
      <c r="P212" s="511">
        <f t="shared" si="122"/>
        <v>0</v>
      </c>
      <c r="Q212" s="530">
        <v>64655</v>
      </c>
      <c r="R212" s="480"/>
      <c r="S212" s="479"/>
      <c r="U212" s="513"/>
    </row>
    <row r="213" spans="1:21" s="492" customFormat="1" ht="18" x14ac:dyDescent="0.15">
      <c r="A213" s="579"/>
      <c r="B213" s="528" t="s">
        <v>408</v>
      </c>
      <c r="C213" s="519">
        <f>'FOND GASO Y D'!H27</f>
        <v>2094085.525921002</v>
      </c>
      <c r="D213" s="517">
        <f t="shared" ref="D213:O213" si="162">$C213*D$30%</f>
        <v>162900.59381631957</v>
      </c>
      <c r="E213" s="517">
        <f t="shared" si="162"/>
        <v>179105.49545310216</v>
      </c>
      <c r="F213" s="517">
        <f t="shared" si="162"/>
        <v>174377.67959570859</v>
      </c>
      <c r="G213" s="517">
        <f t="shared" si="162"/>
        <v>162483.66755728464</v>
      </c>
      <c r="H213" s="517">
        <f t="shared" si="162"/>
        <v>179033.77706333034</v>
      </c>
      <c r="I213" s="517">
        <f t="shared" si="162"/>
        <v>172788.86834805392</v>
      </c>
      <c r="J213" s="517">
        <f t="shared" si="162"/>
        <v>176391.27631845756</v>
      </c>
      <c r="K213" s="517">
        <f t="shared" si="162"/>
        <v>176286.45929240863</v>
      </c>
      <c r="L213" s="517">
        <f t="shared" si="162"/>
        <v>183447.13997255877</v>
      </c>
      <c r="M213" s="517">
        <f t="shared" si="162"/>
        <v>181836.2629687821</v>
      </c>
      <c r="N213" s="517">
        <f t="shared" si="162"/>
        <v>169942.25093035819</v>
      </c>
      <c r="O213" s="517">
        <f t="shared" si="162"/>
        <v>175492.0546067316</v>
      </c>
      <c r="P213" s="511">
        <f t="shared" si="122"/>
        <v>-2.0939332898706198E-6</v>
      </c>
      <c r="Q213" s="530">
        <v>127979</v>
      </c>
      <c r="R213" s="480"/>
      <c r="S213" s="479"/>
      <c r="U213" s="513"/>
    </row>
    <row r="214" spans="1:21" s="492" customFormat="1" x14ac:dyDescent="0.15">
      <c r="A214" s="579"/>
      <c r="B214" s="520"/>
      <c r="C214" s="521"/>
      <c r="D214" s="522"/>
      <c r="E214" s="522"/>
      <c r="F214" s="522"/>
      <c r="G214" s="522"/>
      <c r="H214" s="522"/>
      <c r="I214" s="522"/>
      <c r="J214" s="522"/>
      <c r="K214" s="522"/>
      <c r="L214" s="522"/>
      <c r="M214" s="522"/>
      <c r="N214" s="522"/>
      <c r="O214" s="522"/>
      <c r="P214" s="511">
        <f t="shared" si="122"/>
        <v>0</v>
      </c>
      <c r="Q214" s="530">
        <v>0</v>
      </c>
      <c r="R214" s="480"/>
      <c r="S214" s="479"/>
      <c r="U214" s="513"/>
    </row>
    <row r="215" spans="1:21" s="492" customFormat="1" x14ac:dyDescent="0.15">
      <c r="A215" s="588"/>
      <c r="B215" s="523"/>
      <c r="C215" s="521"/>
      <c r="D215" s="522"/>
      <c r="E215" s="522"/>
      <c r="F215" s="522"/>
      <c r="G215" s="522"/>
      <c r="H215" s="522"/>
      <c r="I215" s="522"/>
      <c r="J215" s="522"/>
      <c r="K215" s="522"/>
      <c r="L215" s="522"/>
      <c r="M215" s="522"/>
      <c r="N215" s="522"/>
      <c r="O215" s="522"/>
      <c r="P215" s="511">
        <f t="shared" si="122"/>
        <v>0</v>
      </c>
      <c r="Q215" s="530">
        <v>0</v>
      </c>
      <c r="R215" s="480"/>
      <c r="S215" s="479"/>
      <c r="U215" s="513"/>
    </row>
    <row r="216" spans="1:21" s="492" customFormat="1" x14ac:dyDescent="0.15">
      <c r="A216" s="584">
        <v>13</v>
      </c>
      <c r="B216" s="509" t="s">
        <v>73</v>
      </c>
      <c r="C216" s="524">
        <f t="shared" ref="C216:O216" si="163">SUM(C217:C228)</f>
        <v>49372820.101939298</v>
      </c>
      <c r="D216" s="524">
        <f t="shared" si="163"/>
        <v>3848457.1331932954</v>
      </c>
      <c r="E216" s="524">
        <f t="shared" si="163"/>
        <v>5237159.112691896</v>
      </c>
      <c r="F216" s="524">
        <f t="shared" si="163"/>
        <v>3417342.9870036812</v>
      </c>
      <c r="G216" s="524">
        <f t="shared" si="163"/>
        <v>4395631.1958473288</v>
      </c>
      <c r="H216" s="524">
        <f t="shared" si="163"/>
        <v>5000333.4356217636</v>
      </c>
      <c r="I216" s="524">
        <f t="shared" si="163"/>
        <v>4901532.8450046498</v>
      </c>
      <c r="J216" s="524">
        <f t="shared" si="163"/>
        <v>4216530.4637653064</v>
      </c>
      <c r="K216" s="524">
        <f t="shared" si="163"/>
        <v>4095849.8974503865</v>
      </c>
      <c r="L216" s="524">
        <f t="shared" si="163"/>
        <v>3867946.9786889977</v>
      </c>
      <c r="M216" s="524">
        <f t="shared" si="163"/>
        <v>2838955.0791459596</v>
      </c>
      <c r="N216" s="524">
        <f t="shared" si="163"/>
        <v>3754099.6534667267</v>
      </c>
      <c r="O216" s="524">
        <f t="shared" si="163"/>
        <v>3798981.3199088885</v>
      </c>
      <c r="P216" s="511">
        <f t="shared" si="122"/>
        <v>1.5041837468743324E-4</v>
      </c>
      <c r="Q216" s="530">
        <v>3121618</v>
      </c>
      <c r="R216" s="480"/>
      <c r="S216" s="479"/>
      <c r="T216" s="512"/>
      <c r="U216" s="513"/>
    </row>
    <row r="217" spans="1:21" s="492" customFormat="1" x14ac:dyDescent="0.15">
      <c r="A217" s="579"/>
      <c r="B217" s="527" t="s">
        <v>294</v>
      </c>
      <c r="C217" s="515">
        <f>'FG1'!I28</f>
        <v>35461118.282570526</v>
      </c>
      <c r="D217" s="515">
        <f t="shared" ref="D217:O217" si="164">$C217*D$19%</f>
        <v>2682090.9928601771</v>
      </c>
      <c r="E217" s="515">
        <f t="shared" si="164"/>
        <v>3842765.086878492</v>
      </c>
      <c r="F217" s="515">
        <f t="shared" si="164"/>
        <v>2483947.0488714529</v>
      </c>
      <c r="G217" s="515">
        <f t="shared" si="164"/>
        <v>3051277.2761885975</v>
      </c>
      <c r="H217" s="515">
        <f t="shared" si="164"/>
        <v>3726276.2669051792</v>
      </c>
      <c r="I217" s="515">
        <f t="shared" si="164"/>
        <v>3653065.8771792226</v>
      </c>
      <c r="J217" s="515">
        <f t="shared" si="164"/>
        <v>2831869.7980498262</v>
      </c>
      <c r="K217" s="515">
        <f t="shared" si="164"/>
        <v>3006694.5129963658</v>
      </c>
      <c r="L217" s="515">
        <f t="shared" si="164"/>
        <v>2825547.0835678559</v>
      </c>
      <c r="M217" s="515">
        <f t="shared" si="164"/>
        <v>1873120.568728318</v>
      </c>
      <c r="N217" s="515">
        <f t="shared" si="164"/>
        <v>2733723.9959789258</v>
      </c>
      <c r="O217" s="515">
        <f t="shared" si="164"/>
        <v>2750739.7743306523</v>
      </c>
      <c r="P217" s="511">
        <f t="shared" si="122"/>
        <v>3.5461504012346268E-5</v>
      </c>
      <c r="Q217" s="530">
        <v>2180377</v>
      </c>
      <c r="R217" s="480"/>
      <c r="S217" s="479"/>
      <c r="U217" s="513"/>
    </row>
    <row r="218" spans="1:21" s="492" customFormat="1" x14ac:dyDescent="0.15">
      <c r="A218" s="579"/>
      <c r="B218" s="528" t="s">
        <v>296</v>
      </c>
      <c r="C218" s="517">
        <f>FFM!J28</f>
        <v>9531803.0478444621</v>
      </c>
      <c r="D218" s="517">
        <f t="shared" ref="D218:O218" si="165">$C218*D$20%</f>
        <v>720824.87576766033</v>
      </c>
      <c r="E218" s="517">
        <f t="shared" si="165"/>
        <v>1033419.5794794352</v>
      </c>
      <c r="F218" s="517">
        <f t="shared" si="165"/>
        <v>667460.41796641203</v>
      </c>
      <c r="G218" s="517">
        <f t="shared" si="165"/>
        <v>820254.7504956011</v>
      </c>
      <c r="H218" s="517">
        <f t="shared" si="165"/>
        <v>1002046.6167393426</v>
      </c>
      <c r="I218" s="517">
        <f t="shared" si="165"/>
        <v>982329.46825816471</v>
      </c>
      <c r="J218" s="517">
        <f t="shared" si="165"/>
        <v>761096.82218686037</v>
      </c>
      <c r="K218" s="517">
        <f t="shared" si="165"/>
        <v>808180.90940596571</v>
      </c>
      <c r="L218" s="517">
        <f t="shared" si="165"/>
        <v>759393.97399847675</v>
      </c>
      <c r="M218" s="517">
        <f t="shared" si="165"/>
        <v>502884.85870061658</v>
      </c>
      <c r="N218" s="517">
        <f t="shared" si="165"/>
        <v>734664.02749436453</v>
      </c>
      <c r="O218" s="517">
        <f t="shared" si="165"/>
        <v>739246.74723718083</v>
      </c>
      <c r="P218" s="511">
        <f t="shared" si="122"/>
        <v>1.1438096407800913E-4</v>
      </c>
      <c r="Q218" s="530">
        <v>667559</v>
      </c>
      <c r="R218" s="480"/>
      <c r="S218" s="479"/>
      <c r="U218" s="513"/>
    </row>
    <row r="219" spans="1:21" s="492" customFormat="1" ht="18" x14ac:dyDescent="0.15">
      <c r="A219" s="579"/>
      <c r="B219" s="528" t="s">
        <v>297</v>
      </c>
      <c r="C219" s="517">
        <f>IEPS!I27</f>
        <v>857591.70626911183</v>
      </c>
      <c r="D219" s="517">
        <f t="shared" ref="D219:O219" si="166">$C219*D$21%</f>
        <v>60237.087875965204</v>
      </c>
      <c r="E219" s="517">
        <f t="shared" si="166"/>
        <v>137684.31402215347</v>
      </c>
      <c r="F219" s="517">
        <f t="shared" si="166"/>
        <v>57188.531083861068</v>
      </c>
      <c r="G219" s="517">
        <f t="shared" si="166"/>
        <v>55579.244005117762</v>
      </c>
      <c r="H219" s="517">
        <f t="shared" si="166"/>
        <v>61362.542941998996</v>
      </c>
      <c r="I219" s="517">
        <f t="shared" si="166"/>
        <v>63634.179547669766</v>
      </c>
      <c r="J219" s="517">
        <f t="shared" si="166"/>
        <v>65531.441587109759</v>
      </c>
      <c r="K219" s="517">
        <f t="shared" si="166"/>
        <v>72589.652217404451</v>
      </c>
      <c r="L219" s="517">
        <f t="shared" si="166"/>
        <v>72741.760550070787</v>
      </c>
      <c r="M219" s="517">
        <f t="shared" si="166"/>
        <v>71933.290165935585</v>
      </c>
      <c r="N219" s="517">
        <f t="shared" si="166"/>
        <v>69607.623912338313</v>
      </c>
      <c r="O219" s="517">
        <f t="shared" si="166"/>
        <v>69502.038358629055</v>
      </c>
      <c r="P219" s="511">
        <f t="shared" si="122"/>
        <v>8.5764622781425714E-7</v>
      </c>
      <c r="Q219" s="530">
        <v>56310</v>
      </c>
      <c r="R219" s="480"/>
      <c r="S219" s="479"/>
      <c r="U219" s="513"/>
    </row>
    <row r="220" spans="1:21" s="492" customFormat="1" x14ac:dyDescent="0.15">
      <c r="A220" s="579"/>
      <c r="B220" s="528" t="s">
        <v>236</v>
      </c>
      <c r="C220" s="517">
        <f>ISR!C18</f>
        <v>171949.23</v>
      </c>
      <c r="D220" s="517">
        <f>ISR!D18</f>
        <v>14329.102499999995</v>
      </c>
      <c r="E220" s="517">
        <f>ISR!E18</f>
        <v>14329.102499999995</v>
      </c>
      <c r="F220" s="517">
        <f>ISR!F18</f>
        <v>14329.102499999995</v>
      </c>
      <c r="G220" s="517">
        <f>ISR!G18</f>
        <v>14329.102499999995</v>
      </c>
      <c r="H220" s="517">
        <f>ISR!H18</f>
        <v>14329.102499999995</v>
      </c>
      <c r="I220" s="517">
        <f>ISR!I18</f>
        <v>14329.102499999995</v>
      </c>
      <c r="J220" s="517">
        <f>ISR!J18</f>
        <v>14329.102499999995</v>
      </c>
      <c r="K220" s="517">
        <f>ISR!K18</f>
        <v>14329.102499999995</v>
      </c>
      <c r="L220" s="517">
        <f>ISR!L18</f>
        <v>14329.102499999995</v>
      </c>
      <c r="M220" s="517">
        <f>ISR!M18</f>
        <v>14329.102499999995</v>
      </c>
      <c r="N220" s="517">
        <f>ISR!N18</f>
        <v>14329.102499999995</v>
      </c>
      <c r="O220" s="517">
        <f>ISR!O18</f>
        <v>14329.102499999995</v>
      </c>
      <c r="P220" s="511">
        <f t="shared" si="122"/>
        <v>5.4569682106375694E-11</v>
      </c>
      <c r="Q220" s="530">
        <v>0</v>
      </c>
      <c r="R220" s="480"/>
      <c r="S220" s="479"/>
      <c r="U220" s="513"/>
    </row>
    <row r="221" spans="1:21" s="492" customFormat="1" ht="18" x14ac:dyDescent="0.15">
      <c r="A221" s="579"/>
      <c r="B221" s="528" t="s">
        <v>298</v>
      </c>
      <c r="C221" s="517">
        <f>FOFIR!I27</f>
        <v>1658578.1391406716</v>
      </c>
      <c r="D221" s="517">
        <f t="shared" ref="D221:O221" si="167">$C221*D$23%</f>
        <v>226753.33226238115</v>
      </c>
      <c r="E221" s="517">
        <f t="shared" si="167"/>
        <v>57690.767103285136</v>
      </c>
      <c r="F221" s="517">
        <f t="shared" si="167"/>
        <v>57690.767103285136</v>
      </c>
      <c r="G221" s="517">
        <f t="shared" si="167"/>
        <v>325568.29108897323</v>
      </c>
      <c r="H221" s="517">
        <f t="shared" si="167"/>
        <v>57690.767103285136</v>
      </c>
      <c r="I221" s="517">
        <f t="shared" si="167"/>
        <v>57690.767103285136</v>
      </c>
      <c r="J221" s="517">
        <f t="shared" si="167"/>
        <v>404954.49472197588</v>
      </c>
      <c r="K221" s="517">
        <f t="shared" si="167"/>
        <v>57690.767103285136</v>
      </c>
      <c r="L221" s="517">
        <f t="shared" si="167"/>
        <v>57690.767103285136</v>
      </c>
      <c r="M221" s="517">
        <f t="shared" si="167"/>
        <v>239775.88424769457</v>
      </c>
      <c r="N221" s="517">
        <f t="shared" si="167"/>
        <v>57690.767103285136</v>
      </c>
      <c r="O221" s="517">
        <f t="shared" si="167"/>
        <v>57690.767103285136</v>
      </c>
      <c r="P221" s="511">
        <f t="shared" si="122"/>
        <v>-6.6342472564429045E-6</v>
      </c>
      <c r="Q221" s="530">
        <v>66325</v>
      </c>
      <c r="R221" s="480"/>
      <c r="S221" s="479"/>
      <c r="U221" s="513"/>
    </row>
    <row r="222" spans="1:21" s="492" customFormat="1" ht="27" x14ac:dyDescent="0.15">
      <c r="A222" s="579"/>
      <c r="B222" s="528" t="s">
        <v>407</v>
      </c>
      <c r="C222" s="517">
        <f>FCISAN!I27</f>
        <v>105288.61149856262</v>
      </c>
      <c r="D222" s="517">
        <f t="shared" ref="D222:O222" si="168">$C222*D$24%</f>
        <v>8774.0509581784572</v>
      </c>
      <c r="E222" s="517">
        <f t="shared" si="168"/>
        <v>8774.0509581784572</v>
      </c>
      <c r="F222" s="517">
        <f t="shared" si="168"/>
        <v>8774.0509581784572</v>
      </c>
      <c r="G222" s="517">
        <f t="shared" si="168"/>
        <v>8774.0509581784572</v>
      </c>
      <c r="H222" s="517">
        <f t="shared" si="168"/>
        <v>8774.0509581784572</v>
      </c>
      <c r="I222" s="517">
        <f t="shared" si="168"/>
        <v>8774.0509581784572</v>
      </c>
      <c r="J222" s="517">
        <f t="shared" si="168"/>
        <v>8774.0509581784572</v>
      </c>
      <c r="K222" s="517">
        <f t="shared" si="168"/>
        <v>8774.0509581784572</v>
      </c>
      <c r="L222" s="517">
        <f t="shared" si="168"/>
        <v>8774.0509581784572</v>
      </c>
      <c r="M222" s="517">
        <f t="shared" si="168"/>
        <v>8774.0509581784572</v>
      </c>
      <c r="N222" s="517">
        <f t="shared" si="168"/>
        <v>8774.0509581784572</v>
      </c>
      <c r="O222" s="517">
        <f t="shared" si="168"/>
        <v>8774.0509581784572</v>
      </c>
      <c r="P222" s="511">
        <f t="shared" si="122"/>
        <v>4.2113242670893669E-7</v>
      </c>
      <c r="Q222" s="530">
        <v>7891</v>
      </c>
      <c r="R222" s="480"/>
      <c r="S222" s="479"/>
      <c r="U222" s="513"/>
    </row>
    <row r="223" spans="1:21" s="492" customFormat="1" ht="27" x14ac:dyDescent="0.15">
      <c r="A223" s="579"/>
      <c r="B223" s="528" t="s">
        <v>242</v>
      </c>
      <c r="C223" s="517">
        <f>ISAN!I27</f>
        <v>525928.96220345306</v>
      </c>
      <c r="D223" s="517">
        <f t="shared" ref="D223:O223" si="169">$C223*D$25%</f>
        <v>50612.041334717658</v>
      </c>
      <c r="E223" s="517">
        <f t="shared" si="169"/>
        <v>56528.364989025329</v>
      </c>
      <c r="F223" s="517">
        <f t="shared" si="169"/>
        <v>43871.002251461345</v>
      </c>
      <c r="G223" s="517">
        <f t="shared" si="169"/>
        <v>40716.815414973571</v>
      </c>
      <c r="H223" s="517">
        <f t="shared" si="169"/>
        <v>43535.277652643796</v>
      </c>
      <c r="I223" s="517">
        <f t="shared" si="169"/>
        <v>37811.71331462777</v>
      </c>
      <c r="J223" s="517">
        <f t="shared" si="169"/>
        <v>40963.193942092126</v>
      </c>
      <c r="K223" s="517">
        <f t="shared" si="169"/>
        <v>42243.820597419908</v>
      </c>
      <c r="L223" s="517">
        <f t="shared" si="169"/>
        <v>41510.099659316482</v>
      </c>
      <c r="M223" s="517">
        <f t="shared" si="169"/>
        <v>42528.103855665235</v>
      </c>
      <c r="N223" s="517">
        <f t="shared" si="169"/>
        <v>41177.082382388035</v>
      </c>
      <c r="O223" s="517">
        <f t="shared" si="169"/>
        <v>44431.446802810657</v>
      </c>
      <c r="P223" s="511">
        <f t="shared" si="122"/>
        <v>6.3111438066698611E-6</v>
      </c>
      <c r="Q223" s="530">
        <v>33894</v>
      </c>
      <c r="R223" s="480"/>
      <c r="S223" s="479"/>
      <c r="U223" s="513"/>
    </row>
    <row r="224" spans="1:21" s="492" customFormat="1" ht="18" x14ac:dyDescent="0.15">
      <c r="A224" s="579"/>
      <c r="B224" s="528" t="s">
        <v>403</v>
      </c>
      <c r="C224" s="517">
        <f>LOT!I27</f>
        <v>25458.640655820502</v>
      </c>
      <c r="D224" s="517">
        <f t="shared" ref="D224:O224" si="170">$C224*D$26%</f>
        <v>1924.9377219466608</v>
      </c>
      <c r="E224" s="517">
        <f t="shared" si="170"/>
        <v>1897.6530109509561</v>
      </c>
      <c r="F224" s="517">
        <f t="shared" si="170"/>
        <v>1865.1599779964231</v>
      </c>
      <c r="G224" s="517">
        <f t="shared" si="170"/>
        <v>2052.0924600835815</v>
      </c>
      <c r="H224" s="517">
        <f t="shared" si="170"/>
        <v>1678.9851524891053</v>
      </c>
      <c r="I224" s="517">
        <f t="shared" si="170"/>
        <v>2278.4684535294809</v>
      </c>
      <c r="J224" s="517">
        <f t="shared" si="170"/>
        <v>5229.0826509930457</v>
      </c>
      <c r="K224" s="517">
        <f t="shared" si="170"/>
        <v>1903.5736208426677</v>
      </c>
      <c r="L224" s="517">
        <f t="shared" si="170"/>
        <v>2309.7501433073139</v>
      </c>
      <c r="M224" s="517">
        <f t="shared" si="170"/>
        <v>1430.0518622162037</v>
      </c>
      <c r="N224" s="517">
        <f t="shared" si="170"/>
        <v>1444.4428005797802</v>
      </c>
      <c r="O224" s="517">
        <f t="shared" si="170"/>
        <v>1444.4428005797802</v>
      </c>
      <c r="P224" s="511">
        <f t="shared" si="122"/>
        <v>3.055024535569828E-7</v>
      </c>
      <c r="Q224" s="530">
        <v>1656</v>
      </c>
      <c r="R224" s="480"/>
      <c r="S224" s="479"/>
      <c r="U224" s="513"/>
    </row>
    <row r="225" spans="1:21" s="492" customFormat="1" ht="45" x14ac:dyDescent="0.15">
      <c r="A225" s="579"/>
      <c r="B225" s="518" t="s">
        <v>301</v>
      </c>
      <c r="C225" s="517">
        <f>'ENAJENAC DE INMUE'!I27</f>
        <v>100106.3969727162</v>
      </c>
      <c r="D225" s="517">
        <f t="shared" ref="D225:O225" si="171">$C225*D$27%</f>
        <v>4323.166594322217</v>
      </c>
      <c r="E225" s="517">
        <f t="shared" si="171"/>
        <v>4386.842506858975</v>
      </c>
      <c r="F225" s="517">
        <f t="shared" si="171"/>
        <v>4327.7020029309087</v>
      </c>
      <c r="G225" s="517">
        <f t="shared" si="171"/>
        <v>4302.3515300622421</v>
      </c>
      <c r="H225" s="517">
        <f t="shared" si="171"/>
        <v>5968.1832172781833</v>
      </c>
      <c r="I225" s="517">
        <f t="shared" si="171"/>
        <v>4295.7645291414374</v>
      </c>
      <c r="J225" s="517">
        <f t="shared" si="171"/>
        <v>4937.0319755279588</v>
      </c>
      <c r="K225" s="517">
        <f t="shared" si="171"/>
        <v>4931.9501037169184</v>
      </c>
      <c r="L225" s="517">
        <f t="shared" si="171"/>
        <v>4925.7022867940614</v>
      </c>
      <c r="M225" s="517">
        <f t="shared" si="171"/>
        <v>4301.6472521282585</v>
      </c>
      <c r="N225" s="517">
        <f t="shared" si="171"/>
        <v>17884.667343644011</v>
      </c>
      <c r="O225" s="517">
        <f t="shared" si="171"/>
        <v>35521.387630110818</v>
      </c>
      <c r="P225" s="511">
        <f t="shared" si="122"/>
        <v>2.0021980162709951E-7</v>
      </c>
      <c r="Q225" s="530">
        <v>24159</v>
      </c>
      <c r="R225" s="480"/>
      <c r="S225" s="479"/>
      <c r="U225" s="513"/>
    </row>
    <row r="226" spans="1:21" s="492" customFormat="1" ht="27" x14ac:dyDescent="0.15">
      <c r="A226" s="579"/>
      <c r="B226" s="518" t="s">
        <v>248</v>
      </c>
      <c r="C226" s="517">
        <f>'IMP BEBIDAS AL'!I27</f>
        <v>39126.870003870856</v>
      </c>
      <c r="D226" s="517">
        <f t="shared" ref="D226:O226" si="172">$C226*D$28%</f>
        <v>8897.0822668513374</v>
      </c>
      <c r="E226" s="517">
        <f t="shared" si="172"/>
        <v>3060.273201231199</v>
      </c>
      <c r="F226" s="517">
        <f t="shared" si="172"/>
        <v>3288.731987166766</v>
      </c>
      <c r="G226" s="517">
        <f t="shared" si="172"/>
        <v>3265.1232751755565</v>
      </c>
      <c r="H226" s="517">
        <f t="shared" si="172"/>
        <v>2079.2462358050793</v>
      </c>
      <c r="I226" s="517">
        <f t="shared" si="172"/>
        <v>3402.6898097252779</v>
      </c>
      <c r="J226" s="517">
        <f t="shared" si="172"/>
        <v>3383.5365721531939</v>
      </c>
      <c r="K226" s="517">
        <f t="shared" si="172"/>
        <v>3094.4910727993729</v>
      </c>
      <c r="L226" s="517">
        <f t="shared" si="172"/>
        <v>2244.2120033619581</v>
      </c>
      <c r="M226" s="517">
        <f t="shared" si="172"/>
        <v>2086.1938523968834</v>
      </c>
      <c r="N226" s="517">
        <f t="shared" si="172"/>
        <v>2100.9403405836952</v>
      </c>
      <c r="O226" s="517">
        <f t="shared" si="172"/>
        <v>2224.3493866205381</v>
      </c>
      <c r="P226" s="511">
        <f t="shared" si="122"/>
        <v>4.0927261579781771E-12</v>
      </c>
      <c r="Q226" s="530">
        <v>1035</v>
      </c>
      <c r="R226" s="480"/>
      <c r="S226" s="479"/>
      <c r="U226" s="513"/>
    </row>
    <row r="227" spans="1:21" s="492" customFormat="1" ht="18" x14ac:dyDescent="0.15">
      <c r="A227" s="579"/>
      <c r="B227" s="518" t="s">
        <v>253</v>
      </c>
      <c r="C227" s="517">
        <f>'FOND GASO Y D'!Q28</f>
        <v>0</v>
      </c>
      <c r="D227" s="517">
        <f t="shared" ref="D227:O227" si="173">$C227*D$29%</f>
        <v>0</v>
      </c>
      <c r="E227" s="517">
        <f t="shared" si="173"/>
        <v>0</v>
      </c>
      <c r="F227" s="517">
        <f t="shared" si="173"/>
        <v>0</v>
      </c>
      <c r="G227" s="517">
        <f t="shared" si="173"/>
        <v>0</v>
      </c>
      <c r="H227" s="517">
        <f t="shared" si="173"/>
        <v>0</v>
      </c>
      <c r="I227" s="517">
        <f t="shared" si="173"/>
        <v>0</v>
      </c>
      <c r="J227" s="517">
        <f t="shared" si="173"/>
        <v>0</v>
      </c>
      <c r="K227" s="517">
        <f t="shared" si="173"/>
        <v>0</v>
      </c>
      <c r="L227" s="517">
        <f t="shared" si="173"/>
        <v>0</v>
      </c>
      <c r="M227" s="517">
        <f t="shared" si="173"/>
        <v>0</v>
      </c>
      <c r="N227" s="517">
        <f t="shared" si="173"/>
        <v>0</v>
      </c>
      <c r="O227" s="517">
        <f t="shared" si="173"/>
        <v>0</v>
      </c>
      <c r="P227" s="511">
        <f t="shared" si="122"/>
        <v>0</v>
      </c>
      <c r="Q227" s="530">
        <v>27660</v>
      </c>
      <c r="R227" s="480"/>
      <c r="S227" s="479"/>
      <c r="U227" s="513"/>
    </row>
    <row r="228" spans="1:21" s="492" customFormat="1" ht="18" x14ac:dyDescent="0.15">
      <c r="A228" s="579"/>
      <c r="B228" s="528" t="s">
        <v>408</v>
      </c>
      <c r="C228" s="519">
        <f>'FOND GASO Y D'!H28</f>
        <v>895870.21478009736</v>
      </c>
      <c r="D228" s="517">
        <f t="shared" ref="D228:O228" si="174">$C228*D$30%</f>
        <v>69690.463051095561</v>
      </c>
      <c r="E228" s="517">
        <f t="shared" si="174"/>
        <v>76623.078042285968</v>
      </c>
      <c r="F228" s="517">
        <f t="shared" si="174"/>
        <v>74600.472300936832</v>
      </c>
      <c r="G228" s="517">
        <f t="shared" si="174"/>
        <v>69512.097930566495</v>
      </c>
      <c r="H228" s="517">
        <f t="shared" si="174"/>
        <v>76592.396215563393</v>
      </c>
      <c r="I228" s="517">
        <f t="shared" si="174"/>
        <v>73920.763351105183</v>
      </c>
      <c r="J228" s="517">
        <f t="shared" si="174"/>
        <v>75461.908620590606</v>
      </c>
      <c r="K228" s="517">
        <f t="shared" si="174"/>
        <v>75417.066874407494</v>
      </c>
      <c r="L228" s="517">
        <f t="shared" si="174"/>
        <v>78480.475918351105</v>
      </c>
      <c r="M228" s="517">
        <f t="shared" si="174"/>
        <v>77791.327022809695</v>
      </c>
      <c r="N228" s="517">
        <f t="shared" si="174"/>
        <v>72702.952652439359</v>
      </c>
      <c r="O228" s="517">
        <f t="shared" si="174"/>
        <v>75077.212800841531</v>
      </c>
      <c r="P228" s="511">
        <f t="shared" ref="P228:P291" si="175">C228-D228-E228-F228-G228-H228-I228-J228-K228-L228-M228-N228-O228</f>
        <v>-8.958595572039485E-7</v>
      </c>
      <c r="Q228" s="530">
        <v>54752</v>
      </c>
      <c r="R228" s="480"/>
      <c r="S228" s="479"/>
      <c r="U228" s="513"/>
    </row>
    <row r="229" spans="1:21" s="492" customFormat="1" x14ac:dyDescent="0.15">
      <c r="A229" s="579"/>
      <c r="B229" s="520"/>
      <c r="C229" s="521"/>
      <c r="D229" s="522"/>
      <c r="E229" s="522"/>
      <c r="F229" s="522"/>
      <c r="G229" s="522"/>
      <c r="H229" s="522"/>
      <c r="I229" s="522"/>
      <c r="J229" s="522"/>
      <c r="K229" s="522"/>
      <c r="L229" s="522"/>
      <c r="M229" s="522"/>
      <c r="N229" s="522"/>
      <c r="O229" s="522"/>
      <c r="P229" s="511">
        <f t="shared" si="175"/>
        <v>0</v>
      </c>
      <c r="Q229" s="530">
        <v>0</v>
      </c>
      <c r="R229" s="480"/>
      <c r="S229" s="479"/>
      <c r="U229" s="513"/>
    </row>
    <row r="230" spans="1:21" s="492" customFormat="1" x14ac:dyDescent="0.15">
      <c r="A230" s="588"/>
      <c r="B230" s="523"/>
      <c r="C230" s="521"/>
      <c r="D230" s="522"/>
      <c r="E230" s="522"/>
      <c r="F230" s="522"/>
      <c r="G230" s="522"/>
      <c r="H230" s="522"/>
      <c r="I230" s="522"/>
      <c r="J230" s="522"/>
      <c r="K230" s="522"/>
      <c r="L230" s="522"/>
      <c r="M230" s="522"/>
      <c r="N230" s="522"/>
      <c r="O230" s="522"/>
      <c r="P230" s="511">
        <f t="shared" si="175"/>
        <v>0</v>
      </c>
      <c r="Q230" s="530">
        <v>0</v>
      </c>
      <c r="R230" s="480"/>
      <c r="S230" s="479"/>
      <c r="U230" s="513"/>
    </row>
    <row r="231" spans="1:21" s="492" customFormat="1" x14ac:dyDescent="0.15">
      <c r="A231" s="584">
        <v>14</v>
      </c>
      <c r="B231" s="509" t="s">
        <v>75</v>
      </c>
      <c r="C231" s="524">
        <f t="shared" ref="C231:O231" si="176">SUM(C232:C243)</f>
        <v>47168533.40465685</v>
      </c>
      <c r="D231" s="524">
        <f t="shared" si="176"/>
        <v>3742763.5633027297</v>
      </c>
      <c r="E231" s="524">
        <f t="shared" si="176"/>
        <v>4956767.9592158273</v>
      </c>
      <c r="F231" s="524">
        <f t="shared" si="176"/>
        <v>3321778.3021595892</v>
      </c>
      <c r="G231" s="524">
        <f t="shared" si="176"/>
        <v>4202741.8614699626</v>
      </c>
      <c r="H231" s="524">
        <f t="shared" si="176"/>
        <v>4575452.5107322661</v>
      </c>
      <c r="I231" s="524">
        <f t="shared" si="176"/>
        <v>4659470.1852747174</v>
      </c>
      <c r="J231" s="524">
        <f t="shared" si="176"/>
        <v>4041772.8101696372</v>
      </c>
      <c r="K231" s="524">
        <f t="shared" si="176"/>
        <v>3938307.7039152156</v>
      </c>
      <c r="L231" s="524">
        <f t="shared" si="176"/>
        <v>3727259.806637885</v>
      </c>
      <c r="M231" s="524">
        <f t="shared" si="176"/>
        <v>2799686.5311024394</v>
      </c>
      <c r="N231" s="524">
        <f t="shared" si="176"/>
        <v>3582741.5866545187</v>
      </c>
      <c r="O231" s="524">
        <f t="shared" si="176"/>
        <v>3619790.583887462</v>
      </c>
      <c r="P231" s="511">
        <f t="shared" si="175"/>
        <v>1.3459334149956703E-4</v>
      </c>
      <c r="Q231" s="530">
        <v>2788086</v>
      </c>
      <c r="R231" s="480"/>
      <c r="S231" s="479"/>
      <c r="T231" s="512"/>
      <c r="U231" s="513"/>
    </row>
    <row r="232" spans="1:21" s="492" customFormat="1" x14ac:dyDescent="0.15">
      <c r="A232" s="579"/>
      <c r="B232" s="525" t="s">
        <v>294</v>
      </c>
      <c r="C232" s="526">
        <f>'FG1'!I29</f>
        <v>31813857.61654843</v>
      </c>
      <c r="D232" s="526">
        <f t="shared" ref="D232:O232" si="177">$C232*D$19%</f>
        <v>2406231.5317173749</v>
      </c>
      <c r="E232" s="526">
        <f t="shared" si="177"/>
        <v>3447527.5244741589</v>
      </c>
      <c r="F232" s="526">
        <f t="shared" si="177"/>
        <v>2228467.1653652578</v>
      </c>
      <c r="G232" s="526">
        <f t="shared" si="177"/>
        <v>2737446.1245060624</v>
      </c>
      <c r="H232" s="526">
        <f t="shared" si="177"/>
        <v>3343019.8577102423</v>
      </c>
      <c r="I232" s="526">
        <f t="shared" si="177"/>
        <v>3277339.3313310617</v>
      </c>
      <c r="J232" s="526">
        <f t="shared" si="177"/>
        <v>2540605.2292502671</v>
      </c>
      <c r="K232" s="526">
        <f t="shared" si="177"/>
        <v>2697448.8049334562</v>
      </c>
      <c r="L232" s="526">
        <f t="shared" si="177"/>
        <v>2534932.8210459733</v>
      </c>
      <c r="M232" s="526">
        <f t="shared" si="177"/>
        <v>1680465.6468332687</v>
      </c>
      <c r="N232" s="526">
        <f t="shared" si="177"/>
        <v>2452553.957210145</v>
      </c>
      <c r="O232" s="526">
        <f t="shared" si="177"/>
        <v>2467819.6221393486</v>
      </c>
      <c r="P232" s="511">
        <f t="shared" si="175"/>
        <v>3.1813047826290131E-5</v>
      </c>
      <c r="Q232" s="530">
        <v>1924036</v>
      </c>
      <c r="R232" s="480"/>
      <c r="S232" s="479"/>
      <c r="U232" s="513"/>
    </row>
    <row r="233" spans="1:21" s="492" customFormat="1" x14ac:dyDescent="0.15">
      <c r="A233" s="579"/>
      <c r="B233" s="525" t="s">
        <v>296</v>
      </c>
      <c r="C233" s="526">
        <f>FFM!J29</f>
        <v>8551434.3506237678</v>
      </c>
      <c r="D233" s="526">
        <f t="shared" ref="D233:O233" si="178">$C233*D$20%</f>
        <v>646686.31658494426</v>
      </c>
      <c r="E233" s="526">
        <f t="shared" si="178"/>
        <v>927129.90881259076</v>
      </c>
      <c r="F233" s="526">
        <f t="shared" si="178"/>
        <v>598810.52065699489</v>
      </c>
      <c r="G233" s="526">
        <f t="shared" si="178"/>
        <v>735889.59134406887</v>
      </c>
      <c r="H233" s="526">
        <f t="shared" si="178"/>
        <v>898983.73018197611</v>
      </c>
      <c r="I233" s="526">
        <f t="shared" si="178"/>
        <v>881294.53748968453</v>
      </c>
      <c r="J233" s="526">
        <f t="shared" si="178"/>
        <v>682816.1971801488</v>
      </c>
      <c r="K233" s="526">
        <f t="shared" si="178"/>
        <v>725057.57363245345</v>
      </c>
      <c r="L233" s="526">
        <f t="shared" si="178"/>
        <v>681288.49099287775</v>
      </c>
      <c r="M233" s="526">
        <f t="shared" si="178"/>
        <v>451161.95052661403</v>
      </c>
      <c r="N233" s="526">
        <f t="shared" si="178"/>
        <v>659102.07852056203</v>
      </c>
      <c r="O233" s="526">
        <f t="shared" si="178"/>
        <v>663213.45459823532</v>
      </c>
      <c r="P233" s="511">
        <f t="shared" si="175"/>
        <v>1.0261719580739737E-4</v>
      </c>
      <c r="Q233" s="530">
        <v>589077</v>
      </c>
      <c r="R233" s="480"/>
      <c r="S233" s="479"/>
      <c r="U233" s="513"/>
    </row>
    <row r="234" spans="1:21" s="492" customFormat="1" ht="18" x14ac:dyDescent="0.15">
      <c r="A234" s="579"/>
      <c r="B234" s="527" t="s">
        <v>297</v>
      </c>
      <c r="C234" s="515">
        <f>IEPS!I28</f>
        <v>769386.35208772728</v>
      </c>
      <c r="D234" s="515">
        <f t="shared" ref="D234:O234" si="179">$C234*D$21%</f>
        <v>54041.559593550344</v>
      </c>
      <c r="E234" s="515">
        <f t="shared" si="179"/>
        <v>123523.15365321904</v>
      </c>
      <c r="F234" s="515">
        <f t="shared" si="179"/>
        <v>51306.554144846486</v>
      </c>
      <c r="G234" s="515">
        <f t="shared" si="179"/>
        <v>49862.786083745741</v>
      </c>
      <c r="H234" s="515">
        <f t="shared" si="179"/>
        <v>55051.25891942357</v>
      </c>
      <c r="I234" s="515">
        <f t="shared" si="179"/>
        <v>57089.252277486121</v>
      </c>
      <c r="J234" s="515">
        <f t="shared" si="179"/>
        <v>58791.376387139302</v>
      </c>
      <c r="K234" s="515">
        <f t="shared" si="179"/>
        <v>65123.633205170103</v>
      </c>
      <c r="L234" s="515">
        <f t="shared" si="179"/>
        <v>65260.096832717798</v>
      </c>
      <c r="M234" s="515">
        <f t="shared" si="179"/>
        <v>64534.779557523027</v>
      </c>
      <c r="N234" s="515">
        <f t="shared" si="179"/>
        <v>62448.313629799552</v>
      </c>
      <c r="O234" s="515">
        <f t="shared" si="179"/>
        <v>62353.587802336799</v>
      </c>
      <c r="P234" s="511">
        <f t="shared" si="175"/>
        <v>7.6931610237807035E-7</v>
      </c>
      <c r="Q234" s="530">
        <v>49689</v>
      </c>
      <c r="R234" s="480"/>
      <c r="S234" s="479"/>
      <c r="U234" s="513"/>
    </row>
    <row r="235" spans="1:21" s="492" customFormat="1" x14ac:dyDescent="0.15">
      <c r="A235" s="579"/>
      <c r="B235" s="528" t="s">
        <v>236</v>
      </c>
      <c r="C235" s="517">
        <f>ISR!C19</f>
        <v>2677402.6</v>
      </c>
      <c r="D235" s="517">
        <f>ISR!D19</f>
        <v>275704.53375948715</v>
      </c>
      <c r="E235" s="517">
        <f>ISR!E19</f>
        <v>241124.50283000994</v>
      </c>
      <c r="F235" s="517">
        <f>ISR!F19</f>
        <v>239570.28453543442</v>
      </c>
      <c r="G235" s="517">
        <f>ISR!G19</f>
        <v>244856.74853671028</v>
      </c>
      <c r="H235" s="517">
        <f>ISR!H19</f>
        <v>72288.655545439062</v>
      </c>
      <c r="I235" s="517">
        <f>ISR!I19</f>
        <v>245990.8504868132</v>
      </c>
      <c r="J235" s="517">
        <f>ISR!J19</f>
        <v>242238.44768277713</v>
      </c>
      <c r="K235" s="517">
        <f>ISR!K19</f>
        <v>247059.17664561016</v>
      </c>
      <c r="L235" s="517">
        <f>ISR!L19</f>
        <v>239274.67236736321</v>
      </c>
      <c r="M235" s="517">
        <f>ISR!M19</f>
        <v>235128.78938319118</v>
      </c>
      <c r="N235" s="517">
        <f>ISR!N19</f>
        <v>199155.910605668</v>
      </c>
      <c r="O235" s="517">
        <f>ISR!O19</f>
        <v>195010.02762149705</v>
      </c>
      <c r="P235" s="511">
        <f t="shared" si="175"/>
        <v>-8.440110832452774E-10</v>
      </c>
      <c r="Q235" s="530">
        <v>0</v>
      </c>
      <c r="R235" s="480"/>
      <c r="S235" s="479"/>
      <c r="U235" s="513"/>
    </row>
    <row r="236" spans="1:21" s="492" customFormat="1" ht="18" x14ac:dyDescent="0.15">
      <c r="A236" s="579"/>
      <c r="B236" s="528" t="s">
        <v>298</v>
      </c>
      <c r="C236" s="517">
        <f>FOFIR!I28</f>
        <v>1487989.4182715621</v>
      </c>
      <c r="D236" s="517">
        <f t="shared" ref="D236:O236" si="180">$C236*D$23%</f>
        <v>203431.21074720845</v>
      </c>
      <c r="E236" s="517">
        <f t="shared" si="180"/>
        <v>51757.133990765004</v>
      </c>
      <c r="F236" s="517">
        <f t="shared" si="180"/>
        <v>51757.133990765004</v>
      </c>
      <c r="G236" s="517">
        <f t="shared" si="180"/>
        <v>292082.81517332845</v>
      </c>
      <c r="H236" s="517">
        <f t="shared" si="180"/>
        <v>51757.133990765004</v>
      </c>
      <c r="I236" s="517">
        <f t="shared" si="180"/>
        <v>51757.133990765004</v>
      </c>
      <c r="J236" s="517">
        <f t="shared" si="180"/>
        <v>363303.95825668162</v>
      </c>
      <c r="K236" s="517">
        <f t="shared" si="180"/>
        <v>51757.133990765004</v>
      </c>
      <c r="L236" s="517">
        <f t="shared" si="180"/>
        <v>51757.133990765004</v>
      </c>
      <c r="M236" s="517">
        <f t="shared" si="180"/>
        <v>215114.36217417548</v>
      </c>
      <c r="N236" s="517">
        <f t="shared" si="180"/>
        <v>51757.133990765004</v>
      </c>
      <c r="O236" s="517">
        <f t="shared" si="180"/>
        <v>51757.133990765004</v>
      </c>
      <c r="P236" s="511">
        <f t="shared" si="175"/>
        <v>-5.9520098147913814E-6</v>
      </c>
      <c r="Q236" s="530">
        <v>58528</v>
      </c>
      <c r="R236" s="480"/>
      <c r="S236" s="479"/>
      <c r="U236" s="513"/>
    </row>
    <row r="237" spans="1:21" s="492" customFormat="1" ht="27" x14ac:dyDescent="0.15">
      <c r="A237" s="579"/>
      <c r="B237" s="528" t="s">
        <v>407</v>
      </c>
      <c r="C237" s="517">
        <f>FCISAN!I28</f>
        <v>94459.426467262121</v>
      </c>
      <c r="D237" s="517">
        <f t="shared" ref="D237:O237" si="181">$C237*D$24%</f>
        <v>7871.6188722403585</v>
      </c>
      <c r="E237" s="517">
        <f t="shared" si="181"/>
        <v>7871.6188722403585</v>
      </c>
      <c r="F237" s="517">
        <f t="shared" si="181"/>
        <v>7871.6188722403585</v>
      </c>
      <c r="G237" s="517">
        <f t="shared" si="181"/>
        <v>7871.6188722403585</v>
      </c>
      <c r="H237" s="517">
        <f t="shared" si="181"/>
        <v>7871.6188722403585</v>
      </c>
      <c r="I237" s="517">
        <f t="shared" si="181"/>
        <v>7871.6188722403585</v>
      </c>
      <c r="J237" s="517">
        <f t="shared" si="181"/>
        <v>7871.6188722403585</v>
      </c>
      <c r="K237" s="517">
        <f t="shared" si="181"/>
        <v>7871.6188722403585</v>
      </c>
      <c r="L237" s="517">
        <f t="shared" si="181"/>
        <v>7871.6188722403585</v>
      </c>
      <c r="M237" s="517">
        <f t="shared" si="181"/>
        <v>7871.6188722403585</v>
      </c>
      <c r="N237" s="517">
        <f t="shared" si="181"/>
        <v>7871.6188722403585</v>
      </c>
      <c r="O237" s="517">
        <f t="shared" si="181"/>
        <v>7871.6188722403585</v>
      </c>
      <c r="P237" s="511">
        <f t="shared" si="175"/>
        <v>3.7780228012707084E-7</v>
      </c>
      <c r="Q237" s="530">
        <v>6959</v>
      </c>
      <c r="R237" s="480"/>
      <c r="S237" s="479"/>
      <c r="U237" s="513"/>
    </row>
    <row r="238" spans="1:21" s="492" customFormat="1" ht="27" x14ac:dyDescent="0.15">
      <c r="A238" s="579"/>
      <c r="B238" s="528" t="s">
        <v>242</v>
      </c>
      <c r="C238" s="517">
        <f>ISAN!I28</f>
        <v>471835.91297467874</v>
      </c>
      <c r="D238" s="517">
        <f t="shared" ref="D238:O238" si="182">$C238*D$25%</f>
        <v>45406.472065405287</v>
      </c>
      <c r="E238" s="517">
        <f t="shared" si="182"/>
        <v>50714.287708773598</v>
      </c>
      <c r="F238" s="517">
        <f t="shared" si="182"/>
        <v>39358.764943667033</v>
      </c>
      <c r="G238" s="517">
        <f t="shared" si="182"/>
        <v>36528.993752798109</v>
      </c>
      <c r="H238" s="517">
        <f t="shared" si="182"/>
        <v>39057.570421259537</v>
      </c>
      <c r="I238" s="517">
        <f t="shared" si="182"/>
        <v>33922.68833835877</v>
      </c>
      <c r="J238" s="517">
        <f t="shared" si="182"/>
        <v>36750.031660262444</v>
      </c>
      <c r="K238" s="517">
        <f t="shared" si="182"/>
        <v>37898.942807054438</v>
      </c>
      <c r="L238" s="517">
        <f t="shared" si="182"/>
        <v>37240.686818929666</v>
      </c>
      <c r="M238" s="517">
        <f t="shared" si="182"/>
        <v>38153.986853565249</v>
      </c>
      <c r="N238" s="517">
        <f t="shared" si="182"/>
        <v>36941.921163892228</v>
      </c>
      <c r="O238" s="517">
        <f t="shared" si="182"/>
        <v>39861.566435050365</v>
      </c>
      <c r="P238" s="511">
        <f t="shared" si="175"/>
        <v>5.6619755923748016E-6</v>
      </c>
      <c r="Q238" s="530">
        <v>29909</v>
      </c>
      <c r="R238" s="480"/>
      <c r="S238" s="479"/>
      <c r="U238" s="513"/>
    </row>
    <row r="239" spans="1:21" s="492" customFormat="1" ht="18" x14ac:dyDescent="0.15">
      <c r="A239" s="579"/>
      <c r="B239" s="528" t="s">
        <v>403</v>
      </c>
      <c r="C239" s="517">
        <f>LOT!I28</f>
        <v>22840.158691025732</v>
      </c>
      <c r="D239" s="517">
        <f t="shared" ref="D239:O239" si="183">$C239*D$26%</f>
        <v>1726.9532821482974</v>
      </c>
      <c r="E239" s="517">
        <f t="shared" si="183"/>
        <v>1702.4748688109305</v>
      </c>
      <c r="F239" s="517">
        <f t="shared" si="183"/>
        <v>1673.323821861195</v>
      </c>
      <c r="G239" s="517">
        <f t="shared" si="183"/>
        <v>1841.0298519316532</v>
      </c>
      <c r="H239" s="517">
        <f t="shared" si="183"/>
        <v>1506.2975215827087</v>
      </c>
      <c r="I239" s="517">
        <f t="shared" si="183"/>
        <v>2044.122534060416</v>
      </c>
      <c r="J239" s="517">
        <f t="shared" si="183"/>
        <v>4691.2590177851935</v>
      </c>
      <c r="K239" s="517">
        <f t="shared" si="183"/>
        <v>1707.7865298419538</v>
      </c>
      <c r="L239" s="517">
        <f t="shared" si="183"/>
        <v>2072.1868273708205</v>
      </c>
      <c r="M239" s="517">
        <f t="shared" si="183"/>
        <v>1282.9676144530301</v>
      </c>
      <c r="N239" s="517">
        <f t="shared" si="183"/>
        <v>1295.878410452726</v>
      </c>
      <c r="O239" s="517">
        <f t="shared" si="183"/>
        <v>1295.878410452726</v>
      </c>
      <c r="P239" s="511">
        <f t="shared" si="175"/>
        <v>2.740803211054299E-7</v>
      </c>
      <c r="Q239" s="530">
        <v>1461</v>
      </c>
      <c r="R239" s="480"/>
      <c r="S239" s="479"/>
      <c r="U239" s="513"/>
    </row>
    <row r="240" spans="1:21" s="492" customFormat="1" ht="45" x14ac:dyDescent="0.15">
      <c r="A240" s="579"/>
      <c r="B240" s="518" t="s">
        <v>301</v>
      </c>
      <c r="C240" s="517">
        <f>'ENAJENAC DE INMUE'!I28</f>
        <v>89810.215076071443</v>
      </c>
      <c r="D240" s="517">
        <f t="shared" ref="D240:O240" si="184">$C240*D$27%</f>
        <v>3878.5185900915635</v>
      </c>
      <c r="E240" s="517">
        <f t="shared" si="184"/>
        <v>3935.6452830205876</v>
      </c>
      <c r="F240" s="517">
        <f t="shared" si="184"/>
        <v>3882.5875210981953</v>
      </c>
      <c r="G240" s="517">
        <f t="shared" si="184"/>
        <v>3859.844404879203</v>
      </c>
      <c r="H240" s="517">
        <f t="shared" si="184"/>
        <v>5354.341326491257</v>
      </c>
      <c r="I240" s="517">
        <f t="shared" si="184"/>
        <v>3853.9348927271976</v>
      </c>
      <c r="J240" s="517">
        <f t="shared" si="184"/>
        <v>4429.2464514575877</v>
      </c>
      <c r="K240" s="517">
        <f t="shared" si="184"/>
        <v>4424.6872622934534</v>
      </c>
      <c r="L240" s="517">
        <f t="shared" si="184"/>
        <v>4419.0820482555273</v>
      </c>
      <c r="M240" s="517">
        <f t="shared" si="184"/>
        <v>3859.2125636119395</v>
      </c>
      <c r="N240" s="517">
        <f t="shared" si="184"/>
        <v>16045.186614142485</v>
      </c>
      <c r="O240" s="517">
        <f t="shared" si="184"/>
        <v>31867.928117822823</v>
      </c>
      <c r="P240" s="511">
        <f t="shared" si="175"/>
        <v>1.7963247955776751E-7</v>
      </c>
      <c r="Q240" s="530">
        <v>21317</v>
      </c>
      <c r="R240" s="480"/>
      <c r="S240" s="479"/>
      <c r="U240" s="513"/>
    </row>
    <row r="241" spans="1:21" s="492" customFormat="1" ht="27" x14ac:dyDescent="0.15">
      <c r="A241" s="579"/>
      <c r="B241" s="518" t="s">
        <v>248</v>
      </c>
      <c r="C241" s="517">
        <f>'IMP BEBIDAS AL'!I28</f>
        <v>35102.578022649861</v>
      </c>
      <c r="D241" s="517">
        <f t="shared" ref="D241:O241" si="185">$C241*D$28%</f>
        <v>7981.9961171232553</v>
      </c>
      <c r="E241" s="517">
        <f t="shared" si="185"/>
        <v>2745.516797183499</v>
      </c>
      <c r="F241" s="517">
        <f t="shared" si="185"/>
        <v>2950.4780516224487</v>
      </c>
      <c r="G241" s="517">
        <f t="shared" si="185"/>
        <v>2929.2975520168402</v>
      </c>
      <c r="H241" s="517">
        <f t="shared" si="185"/>
        <v>1865.3907970003268</v>
      </c>
      <c r="I241" s="517">
        <f t="shared" si="185"/>
        <v>3052.7150400975224</v>
      </c>
      <c r="J241" s="517">
        <f t="shared" si="185"/>
        <v>3035.5317587311902</v>
      </c>
      <c r="K241" s="517">
        <f t="shared" si="185"/>
        <v>2776.2152789780303</v>
      </c>
      <c r="L241" s="517">
        <f t="shared" si="185"/>
        <v>2013.3894415675709</v>
      </c>
      <c r="M241" s="517">
        <f t="shared" si="185"/>
        <v>1871.623834640729</v>
      </c>
      <c r="N241" s="517">
        <f t="shared" si="185"/>
        <v>1884.8536113155931</v>
      </c>
      <c r="O241" s="517">
        <f t="shared" si="185"/>
        <v>1995.5697423728561</v>
      </c>
      <c r="P241" s="511">
        <f t="shared" si="175"/>
        <v>-6.1390892369672656E-12</v>
      </c>
      <c r="Q241" s="530">
        <v>914</v>
      </c>
      <c r="R241" s="480"/>
      <c r="S241" s="479"/>
      <c r="U241" s="513"/>
    </row>
    <row r="242" spans="1:21" s="492" customFormat="1" ht="18" x14ac:dyDescent="0.15">
      <c r="A242" s="579"/>
      <c r="B242" s="518" t="s">
        <v>253</v>
      </c>
      <c r="C242" s="517">
        <f>'FOND GASO Y D'!Q29</f>
        <v>0</v>
      </c>
      <c r="D242" s="517">
        <f t="shared" ref="D242:O242" si="186">$C242*D$29%</f>
        <v>0</v>
      </c>
      <c r="E242" s="517">
        <f t="shared" si="186"/>
        <v>0</v>
      </c>
      <c r="F242" s="517">
        <f t="shared" si="186"/>
        <v>0</v>
      </c>
      <c r="G242" s="517">
        <f t="shared" si="186"/>
        <v>0</v>
      </c>
      <c r="H242" s="517">
        <f t="shared" si="186"/>
        <v>0</v>
      </c>
      <c r="I242" s="517">
        <f t="shared" si="186"/>
        <v>0</v>
      </c>
      <c r="J242" s="517">
        <f t="shared" si="186"/>
        <v>0</v>
      </c>
      <c r="K242" s="517">
        <f t="shared" si="186"/>
        <v>0</v>
      </c>
      <c r="L242" s="517">
        <f t="shared" si="186"/>
        <v>0</v>
      </c>
      <c r="M242" s="517">
        <f t="shared" si="186"/>
        <v>0</v>
      </c>
      <c r="N242" s="517">
        <f t="shared" si="186"/>
        <v>0</v>
      </c>
      <c r="O242" s="517">
        <f t="shared" si="186"/>
        <v>0</v>
      </c>
      <c r="P242" s="511">
        <f t="shared" si="175"/>
        <v>0</v>
      </c>
      <c r="Q242" s="530">
        <v>35644</v>
      </c>
      <c r="R242" s="480"/>
      <c r="S242" s="479"/>
      <c r="U242" s="513"/>
    </row>
    <row r="243" spans="1:21" s="492" customFormat="1" ht="18" x14ac:dyDescent="0.15">
      <c r="A243" s="579"/>
      <c r="B243" s="528" t="s">
        <v>408</v>
      </c>
      <c r="C243" s="519">
        <f>'FOND GASO Y D'!H29</f>
        <v>1154414.7758936647</v>
      </c>
      <c r="D243" s="517">
        <f t="shared" ref="D243:O243" si="187">$C243*D$30%</f>
        <v>89802.851973155601</v>
      </c>
      <c r="E243" s="517">
        <f t="shared" si="187"/>
        <v>98736.191925055449</v>
      </c>
      <c r="F243" s="517">
        <f t="shared" si="187"/>
        <v>96129.87025580123</v>
      </c>
      <c r="G243" s="517">
        <f t="shared" si="187"/>
        <v>89573.011392181099</v>
      </c>
      <c r="H243" s="517">
        <f t="shared" si="187"/>
        <v>98696.65544584718</v>
      </c>
      <c r="I243" s="517">
        <f t="shared" si="187"/>
        <v>95254.000021421976</v>
      </c>
      <c r="J243" s="517">
        <f t="shared" si="187"/>
        <v>97239.913652147283</v>
      </c>
      <c r="K243" s="517">
        <f t="shared" si="187"/>
        <v>97182.130757352235</v>
      </c>
      <c r="L243" s="517">
        <f t="shared" si="187"/>
        <v>101129.62739982389</v>
      </c>
      <c r="M243" s="517">
        <f t="shared" si="187"/>
        <v>100241.59288915641</v>
      </c>
      <c r="N243" s="517">
        <f t="shared" si="187"/>
        <v>93684.734025536294</v>
      </c>
      <c r="O243" s="517">
        <f t="shared" si="187"/>
        <v>96744.196157340441</v>
      </c>
      <c r="P243" s="511">
        <f t="shared" si="175"/>
        <v>-1.154228812083602E-6</v>
      </c>
      <c r="Q243" s="530">
        <v>70552</v>
      </c>
      <c r="R243" s="480"/>
      <c r="S243" s="479"/>
      <c r="U243" s="513"/>
    </row>
    <row r="244" spans="1:21" s="492" customFormat="1" x14ac:dyDescent="0.15">
      <c r="A244" s="579"/>
      <c r="B244" s="520"/>
      <c r="C244" s="521"/>
      <c r="D244" s="522"/>
      <c r="E244" s="522"/>
      <c r="F244" s="522"/>
      <c r="G244" s="522"/>
      <c r="H244" s="522"/>
      <c r="I244" s="522"/>
      <c r="J244" s="522"/>
      <c r="K244" s="522"/>
      <c r="L244" s="522"/>
      <c r="M244" s="522"/>
      <c r="N244" s="522"/>
      <c r="O244" s="522"/>
      <c r="P244" s="511">
        <f t="shared" si="175"/>
        <v>0</v>
      </c>
      <c r="Q244" s="530">
        <v>0</v>
      </c>
      <c r="R244" s="480"/>
      <c r="S244" s="479"/>
      <c r="U244" s="513"/>
    </row>
    <row r="245" spans="1:21" s="492" customFormat="1" x14ac:dyDescent="0.15">
      <c r="A245" s="588"/>
      <c r="B245" s="523"/>
      <c r="C245" s="521"/>
      <c r="D245" s="522"/>
      <c r="E245" s="522"/>
      <c r="F245" s="522"/>
      <c r="G245" s="522"/>
      <c r="H245" s="522"/>
      <c r="I245" s="522"/>
      <c r="J245" s="522"/>
      <c r="K245" s="522"/>
      <c r="L245" s="522"/>
      <c r="M245" s="522"/>
      <c r="N245" s="522"/>
      <c r="O245" s="522"/>
      <c r="P245" s="511">
        <f t="shared" si="175"/>
        <v>0</v>
      </c>
      <c r="Q245" s="530">
        <v>0</v>
      </c>
      <c r="R245" s="480"/>
      <c r="S245" s="479"/>
      <c r="U245" s="513"/>
    </row>
    <row r="246" spans="1:21" s="492" customFormat="1" x14ac:dyDescent="0.15">
      <c r="A246" s="576">
        <v>15</v>
      </c>
      <c r="B246" s="531" t="s">
        <v>77</v>
      </c>
      <c r="C246" s="524">
        <f t="shared" ref="C246:O246" si="188">SUM(C247:C258)</f>
        <v>116344786.00148401</v>
      </c>
      <c r="D246" s="524">
        <f t="shared" si="188"/>
        <v>9068829.5645116754</v>
      </c>
      <c r="E246" s="524">
        <f t="shared" si="188"/>
        <v>12359434.857353603</v>
      </c>
      <c r="F246" s="524">
        <f t="shared" si="188"/>
        <v>8040290.4223586489</v>
      </c>
      <c r="G246" s="524">
        <f t="shared" si="188"/>
        <v>10368268.871220706</v>
      </c>
      <c r="H246" s="524">
        <f t="shared" si="188"/>
        <v>11797123.550243281</v>
      </c>
      <c r="I246" s="524">
        <f t="shared" si="188"/>
        <v>11565166.465160074</v>
      </c>
      <c r="J246" s="524">
        <f t="shared" si="188"/>
        <v>9937105.3724417482</v>
      </c>
      <c r="K246" s="524">
        <f t="shared" si="188"/>
        <v>9650594.2095405981</v>
      </c>
      <c r="L246" s="524">
        <f t="shared" si="188"/>
        <v>9106407.2386678904</v>
      </c>
      <c r="M246" s="524">
        <f t="shared" si="188"/>
        <v>6663752.0119906217</v>
      </c>
      <c r="N246" s="524">
        <f t="shared" si="188"/>
        <v>8841796.1386009809</v>
      </c>
      <c r="O246" s="524">
        <f t="shared" si="188"/>
        <v>8946017.2990361489</v>
      </c>
      <c r="P246" s="511">
        <f t="shared" si="175"/>
        <v>3.5804323852062225E-4</v>
      </c>
      <c r="Q246" s="530">
        <v>7289545</v>
      </c>
      <c r="R246" s="480"/>
      <c r="S246" s="479"/>
      <c r="T246" s="512"/>
      <c r="U246" s="513"/>
    </row>
    <row r="247" spans="1:21" s="492" customFormat="1" x14ac:dyDescent="0.15">
      <c r="A247" s="579"/>
      <c r="B247" s="528" t="s">
        <v>294</v>
      </c>
      <c r="C247" s="515">
        <f>'FG1'!I30</f>
        <v>84202291.745782182</v>
      </c>
      <c r="D247" s="515">
        <f t="shared" ref="D247:O247" si="189">$C247*D$19%</f>
        <v>6368614.9565268736</v>
      </c>
      <c r="E247" s="515">
        <f t="shared" si="189"/>
        <v>9124631.2193963248</v>
      </c>
      <c r="F247" s="515">
        <f t="shared" si="189"/>
        <v>5898122.9081246974</v>
      </c>
      <c r="G247" s="515">
        <f t="shared" si="189"/>
        <v>7245246.3952099532</v>
      </c>
      <c r="H247" s="515">
        <f t="shared" si="189"/>
        <v>8848028.9552952573</v>
      </c>
      <c r="I247" s="515">
        <f t="shared" si="189"/>
        <v>8674191.1607450116</v>
      </c>
      <c r="J247" s="515">
        <f t="shared" si="189"/>
        <v>6724264.1650887001</v>
      </c>
      <c r="K247" s="515">
        <f t="shared" si="189"/>
        <v>7139384.7919962015</v>
      </c>
      <c r="L247" s="515">
        <f t="shared" si="189"/>
        <v>6709250.9033750156</v>
      </c>
      <c r="M247" s="515">
        <f t="shared" si="189"/>
        <v>4447717.7325963983</v>
      </c>
      <c r="N247" s="515">
        <f t="shared" si="189"/>
        <v>6491217.3278810978</v>
      </c>
      <c r="O247" s="515">
        <f t="shared" si="189"/>
        <v>6531621.2294624494</v>
      </c>
      <c r="P247" s="511">
        <f t="shared" si="175"/>
        <v>8.4201805293560028E-5</v>
      </c>
      <c r="Q247" s="530">
        <v>5147780</v>
      </c>
      <c r="R247" s="480"/>
      <c r="S247" s="479"/>
      <c r="U247" s="513"/>
    </row>
    <row r="248" spans="1:21" s="492" customFormat="1" x14ac:dyDescent="0.15">
      <c r="A248" s="579"/>
      <c r="B248" s="528" t="s">
        <v>296</v>
      </c>
      <c r="C248" s="517">
        <f>FFM!J30</f>
        <v>22633230.421625495</v>
      </c>
      <c r="D248" s="517">
        <f t="shared" ref="D248:O248" si="190">$C248*D$20%</f>
        <v>1711595.95146885</v>
      </c>
      <c r="E248" s="517">
        <f t="shared" si="190"/>
        <v>2453850.8975871829</v>
      </c>
      <c r="F248" s="517">
        <f t="shared" si="190"/>
        <v>1584882.2474950885</v>
      </c>
      <c r="G248" s="517">
        <f t="shared" si="190"/>
        <v>1947691.8143622568</v>
      </c>
      <c r="H248" s="517">
        <f t="shared" si="190"/>
        <v>2379355.9157729959</v>
      </c>
      <c r="I248" s="517">
        <f t="shared" si="190"/>
        <v>2332537.6209979248</v>
      </c>
      <c r="J248" s="517">
        <f t="shared" si="190"/>
        <v>1807221.5364980367</v>
      </c>
      <c r="K248" s="517">
        <f t="shared" si="190"/>
        <v>1919022.5241887039</v>
      </c>
      <c r="L248" s="517">
        <f t="shared" si="190"/>
        <v>1803178.1298909888</v>
      </c>
      <c r="M248" s="517">
        <f t="shared" si="190"/>
        <v>1194098.2021330746</v>
      </c>
      <c r="N248" s="517">
        <f t="shared" si="190"/>
        <v>1744456.9650984977</v>
      </c>
      <c r="O248" s="517">
        <f t="shared" si="190"/>
        <v>1755338.6158602966</v>
      </c>
      <c r="P248" s="511">
        <f t="shared" si="175"/>
        <v>2.7159461751580238E-4</v>
      </c>
      <c r="Q248" s="530">
        <v>1576084</v>
      </c>
      <c r="R248" s="480"/>
      <c r="S248" s="479"/>
      <c r="U248" s="513"/>
    </row>
    <row r="249" spans="1:21" s="492" customFormat="1" ht="18" x14ac:dyDescent="0.15">
      <c r="A249" s="579"/>
      <c r="B249" s="528" t="s">
        <v>297</v>
      </c>
      <c r="C249" s="517">
        <f>IEPS!I29</f>
        <v>2036348.2751621902</v>
      </c>
      <c r="D249" s="517">
        <f t="shared" ref="D249:O249" si="191">$C249*D$21%</f>
        <v>143032.73819036121</v>
      </c>
      <c r="E249" s="517">
        <f t="shared" si="191"/>
        <v>326930.88485620293</v>
      </c>
      <c r="F249" s="517">
        <f t="shared" si="191"/>
        <v>135793.95157435912</v>
      </c>
      <c r="G249" s="517">
        <f t="shared" si="191"/>
        <v>131972.7054696173</v>
      </c>
      <c r="H249" s="517">
        <f t="shared" si="191"/>
        <v>145705.1270039854</v>
      </c>
      <c r="I249" s="517">
        <f t="shared" si="191"/>
        <v>151099.11956470797</v>
      </c>
      <c r="J249" s="517">
        <f t="shared" si="191"/>
        <v>155604.16112854506</v>
      </c>
      <c r="K249" s="517">
        <f t="shared" si="191"/>
        <v>172363.85567510335</v>
      </c>
      <c r="L249" s="517">
        <f t="shared" si="191"/>
        <v>172725.036337881</v>
      </c>
      <c r="M249" s="517">
        <f t="shared" si="191"/>
        <v>170805.32645703843</v>
      </c>
      <c r="N249" s="517">
        <f t="shared" si="191"/>
        <v>165283.04070089609</v>
      </c>
      <c r="O249" s="517">
        <f t="shared" si="191"/>
        <v>165032.32820145591</v>
      </c>
      <c r="P249" s="511">
        <f t="shared" si="175"/>
        <v>2.0362786017358303E-6</v>
      </c>
      <c r="Q249" s="530">
        <v>132947</v>
      </c>
      <c r="R249" s="480"/>
      <c r="S249" s="479"/>
      <c r="U249" s="513"/>
    </row>
    <row r="250" spans="1:21" s="492" customFormat="1" x14ac:dyDescent="0.15">
      <c r="A250" s="579"/>
      <c r="B250" s="528" t="s">
        <v>236</v>
      </c>
      <c r="C250" s="517">
        <f>ISR!C20</f>
        <v>404290.45</v>
      </c>
      <c r="D250" s="517">
        <f>ISR!D20</f>
        <v>33690.87083333332</v>
      </c>
      <c r="E250" s="517">
        <f>ISR!E20</f>
        <v>33690.87083333332</v>
      </c>
      <c r="F250" s="517">
        <f>ISR!F20</f>
        <v>33690.87083333332</v>
      </c>
      <c r="G250" s="517">
        <f>ISR!G20</f>
        <v>33690.87083333332</v>
      </c>
      <c r="H250" s="517">
        <f>ISR!H20</f>
        <v>33690.87083333332</v>
      </c>
      <c r="I250" s="517">
        <f>ISR!I20</f>
        <v>33690.87083333332</v>
      </c>
      <c r="J250" s="517">
        <f>ISR!J20</f>
        <v>33690.87083333332</v>
      </c>
      <c r="K250" s="517">
        <f>ISR!K20</f>
        <v>33690.87083333332</v>
      </c>
      <c r="L250" s="517">
        <f>ISR!L20</f>
        <v>33690.87083333332</v>
      </c>
      <c r="M250" s="517">
        <f>ISR!M20</f>
        <v>33690.87083333332</v>
      </c>
      <c r="N250" s="517">
        <f>ISR!N20</f>
        <v>33690.87083333332</v>
      </c>
      <c r="O250" s="517">
        <f>ISR!O20</f>
        <v>33690.87083333332</v>
      </c>
      <c r="P250" s="511">
        <f t="shared" si="175"/>
        <v>1.1641532182693481E-10</v>
      </c>
      <c r="Q250" s="530">
        <v>0</v>
      </c>
      <c r="R250" s="480"/>
      <c r="S250" s="479"/>
      <c r="U250" s="513"/>
    </row>
    <row r="251" spans="1:21" s="492" customFormat="1" ht="18" x14ac:dyDescent="0.15">
      <c r="A251" s="579"/>
      <c r="B251" s="528" t="s">
        <v>298</v>
      </c>
      <c r="C251" s="517">
        <f>FOFIR!I29</f>
        <v>3938287.5419284683</v>
      </c>
      <c r="D251" s="517">
        <f t="shared" ref="D251:O251" si="192">$C251*D$23%</f>
        <v>538424.93305885862</v>
      </c>
      <c r="E251" s="517">
        <f t="shared" si="192"/>
        <v>136986.50911007481</v>
      </c>
      <c r="F251" s="517">
        <f t="shared" si="192"/>
        <v>136986.50911007481</v>
      </c>
      <c r="G251" s="517">
        <f t="shared" si="192"/>
        <v>773060.68046149297</v>
      </c>
      <c r="H251" s="517">
        <f t="shared" si="192"/>
        <v>136986.50911007481</v>
      </c>
      <c r="I251" s="517">
        <f t="shared" si="192"/>
        <v>136986.50911007481</v>
      </c>
      <c r="J251" s="517">
        <f t="shared" si="192"/>
        <v>961562.92186378001</v>
      </c>
      <c r="K251" s="517">
        <f t="shared" si="192"/>
        <v>136986.50911007481</v>
      </c>
      <c r="L251" s="517">
        <f t="shared" si="192"/>
        <v>136986.50911007481</v>
      </c>
      <c r="M251" s="517">
        <f t="shared" si="192"/>
        <v>569346.93367949128</v>
      </c>
      <c r="N251" s="517">
        <f t="shared" si="192"/>
        <v>136986.50911007481</v>
      </c>
      <c r="O251" s="517">
        <f t="shared" si="192"/>
        <v>136986.50911007481</v>
      </c>
      <c r="P251" s="511">
        <f t="shared" si="175"/>
        <v>-1.5753728803247213E-5</v>
      </c>
      <c r="Q251" s="530">
        <v>156596</v>
      </c>
      <c r="R251" s="480"/>
      <c r="S251" s="479"/>
      <c r="U251" s="513"/>
    </row>
    <row r="252" spans="1:21" s="492" customFormat="1" ht="27" x14ac:dyDescent="0.15">
      <c r="A252" s="579"/>
      <c r="B252" s="528" t="s">
        <v>407</v>
      </c>
      <c r="C252" s="517">
        <f>FCISAN!I29</f>
        <v>250007.41127974473</v>
      </c>
      <c r="D252" s="517">
        <f t="shared" ref="D252:O252" si="193">$C252*D$24%</f>
        <v>20833.950939895396</v>
      </c>
      <c r="E252" s="517">
        <f t="shared" si="193"/>
        <v>20833.950939895396</v>
      </c>
      <c r="F252" s="517">
        <f t="shared" si="193"/>
        <v>20833.950939895396</v>
      </c>
      <c r="G252" s="517">
        <f t="shared" si="193"/>
        <v>20833.950939895396</v>
      </c>
      <c r="H252" s="517">
        <f t="shared" si="193"/>
        <v>20833.950939895396</v>
      </c>
      <c r="I252" s="517">
        <f t="shared" si="193"/>
        <v>20833.950939895396</v>
      </c>
      <c r="J252" s="517">
        <f t="shared" si="193"/>
        <v>20833.950939895396</v>
      </c>
      <c r="K252" s="517">
        <f t="shared" si="193"/>
        <v>20833.950939895396</v>
      </c>
      <c r="L252" s="517">
        <f t="shared" si="193"/>
        <v>20833.950939895396</v>
      </c>
      <c r="M252" s="517">
        <f t="shared" si="193"/>
        <v>20833.950939895396</v>
      </c>
      <c r="N252" s="517">
        <f t="shared" si="193"/>
        <v>20833.950939895396</v>
      </c>
      <c r="O252" s="517">
        <f t="shared" si="193"/>
        <v>20833.950939895396</v>
      </c>
      <c r="P252" s="511">
        <f t="shared" si="175"/>
        <v>9.9993485491722822E-7</v>
      </c>
      <c r="Q252" s="530">
        <v>18626</v>
      </c>
      <c r="R252" s="480"/>
      <c r="S252" s="479"/>
      <c r="U252" s="513"/>
    </row>
    <row r="253" spans="1:21" s="492" customFormat="1" ht="27" x14ac:dyDescent="0.15">
      <c r="A253" s="579"/>
      <c r="B253" s="528" t="s">
        <v>242</v>
      </c>
      <c r="C253" s="517">
        <f>ISAN!I29</f>
        <v>1248816.3390712303</v>
      </c>
      <c r="D253" s="517">
        <f t="shared" ref="D253:O253" si="194">$C253*D$25%</f>
        <v>120178.1014449881</v>
      </c>
      <c r="E253" s="517">
        <f t="shared" si="194"/>
        <v>134226.38966965306</v>
      </c>
      <c r="F253" s="517">
        <f t="shared" si="194"/>
        <v>104171.52954178181</v>
      </c>
      <c r="G253" s="517">
        <f t="shared" si="194"/>
        <v>96681.924783400871</v>
      </c>
      <c r="H253" s="517">
        <f t="shared" si="194"/>
        <v>103374.35274688739</v>
      </c>
      <c r="I253" s="517">
        <f t="shared" si="194"/>
        <v>89783.770792446987</v>
      </c>
      <c r="J253" s="517">
        <f t="shared" si="194"/>
        <v>97266.949667698718</v>
      </c>
      <c r="K253" s="517">
        <f t="shared" si="194"/>
        <v>100307.79283542068</v>
      </c>
      <c r="L253" s="517">
        <f t="shared" si="194"/>
        <v>98565.575232527437</v>
      </c>
      <c r="M253" s="517">
        <f t="shared" si="194"/>
        <v>100982.82236095541</v>
      </c>
      <c r="N253" s="517">
        <f t="shared" si="194"/>
        <v>97774.826963257612</v>
      </c>
      <c r="O253" s="517">
        <f t="shared" si="194"/>
        <v>105502.30301722641</v>
      </c>
      <c r="P253" s="511">
        <f t="shared" si="175"/>
        <v>1.4985795132815838E-5</v>
      </c>
      <c r="Q253" s="530">
        <v>80023</v>
      </c>
      <c r="R253" s="480"/>
      <c r="S253" s="479"/>
      <c r="U253" s="513"/>
    </row>
    <row r="254" spans="1:21" s="492" customFormat="1" ht="18" x14ac:dyDescent="0.15">
      <c r="A254" s="579"/>
      <c r="B254" s="528" t="s">
        <v>403</v>
      </c>
      <c r="C254" s="517">
        <f>LOT!I29</f>
        <v>60451.446310029824</v>
      </c>
      <c r="D254" s="517">
        <f t="shared" ref="D254:O254" si="195">$C254*D$26%</f>
        <v>4570.7573676682368</v>
      </c>
      <c r="E254" s="517">
        <f t="shared" si="195"/>
        <v>4505.969924216718</v>
      </c>
      <c r="F254" s="517">
        <f t="shared" si="195"/>
        <v>4428.8153398987251</v>
      </c>
      <c r="G254" s="517">
        <f t="shared" si="195"/>
        <v>4872.6858142600067</v>
      </c>
      <c r="H254" s="517">
        <f t="shared" si="195"/>
        <v>3986.7439182314529</v>
      </c>
      <c r="I254" s="517">
        <f t="shared" si="195"/>
        <v>5410.2147577209289</v>
      </c>
      <c r="J254" s="517">
        <f t="shared" si="195"/>
        <v>12416.437051793047</v>
      </c>
      <c r="K254" s="517">
        <f t="shared" si="195"/>
        <v>4520.0283900959485</v>
      </c>
      <c r="L254" s="517">
        <f t="shared" si="195"/>
        <v>5484.493012230143</v>
      </c>
      <c r="M254" s="517">
        <f t="shared" si="195"/>
        <v>3395.6527584498745</v>
      </c>
      <c r="N254" s="517">
        <f t="shared" si="195"/>
        <v>3429.8239873696639</v>
      </c>
      <c r="O254" s="517">
        <f t="shared" si="195"/>
        <v>3429.8239873696639</v>
      </c>
      <c r="P254" s="511">
        <f t="shared" si="175"/>
        <v>7.2541297413408756E-7</v>
      </c>
      <c r="Q254" s="530">
        <v>3906</v>
      </c>
      <c r="R254" s="480"/>
      <c r="S254" s="479"/>
      <c r="U254" s="513"/>
    </row>
    <row r="255" spans="1:21" s="492" customFormat="1" ht="45" x14ac:dyDescent="0.15">
      <c r="A255" s="579"/>
      <c r="B255" s="518" t="s">
        <v>301</v>
      </c>
      <c r="C255" s="517">
        <f>'ENAJENAC DE INMUE'!I29</f>
        <v>237702.26241451505</v>
      </c>
      <c r="D255" s="517">
        <f t="shared" ref="D255:O255" si="196">$C255*D$27%</f>
        <v>10265.342788686346</v>
      </c>
      <c r="E255" s="517">
        <f t="shared" si="196"/>
        <v>10416.541003076396</v>
      </c>
      <c r="F255" s="517">
        <f t="shared" si="196"/>
        <v>10276.112099338434</v>
      </c>
      <c r="G255" s="517">
        <f t="shared" si="196"/>
        <v>10215.917497031427</v>
      </c>
      <c r="H255" s="517">
        <f t="shared" si="196"/>
        <v>14171.428561533523</v>
      </c>
      <c r="I255" s="517">
        <f t="shared" si="196"/>
        <v>10200.276688164553</v>
      </c>
      <c r="J255" s="517">
        <f t="shared" si="196"/>
        <v>11722.963823337339</v>
      </c>
      <c r="K255" s="517">
        <f t="shared" si="196"/>
        <v>11710.896937870328</v>
      </c>
      <c r="L255" s="517">
        <f t="shared" si="196"/>
        <v>11696.061520128547</v>
      </c>
      <c r="M255" s="517">
        <f t="shared" si="196"/>
        <v>10214.245191730877</v>
      </c>
      <c r="N255" s="517">
        <f t="shared" si="196"/>
        <v>42467.075218717931</v>
      </c>
      <c r="O255" s="517">
        <f t="shared" si="196"/>
        <v>84345.401084423938</v>
      </c>
      <c r="P255" s="511">
        <f t="shared" si="175"/>
        <v>4.7542562242597342E-7</v>
      </c>
      <c r="Q255" s="530">
        <v>57033</v>
      </c>
      <c r="R255" s="480"/>
      <c r="S255" s="479"/>
      <c r="U255" s="513"/>
    </row>
    <row r="256" spans="1:21" s="492" customFormat="1" ht="27" x14ac:dyDescent="0.15">
      <c r="A256" s="579"/>
      <c r="B256" s="518" t="s">
        <v>248</v>
      </c>
      <c r="C256" s="517">
        <f>'IMP BEBIDAS AL'!I29</f>
        <v>92906.605395592982</v>
      </c>
      <c r="D256" s="517">
        <f t="shared" ref="D256:O256" si="197">$C256*D$28%</f>
        <v>21126.088318761736</v>
      </c>
      <c r="E256" s="517">
        <f t="shared" si="197"/>
        <v>7266.6071853272988</v>
      </c>
      <c r="F256" s="517">
        <f t="shared" si="197"/>
        <v>7809.081711707051</v>
      </c>
      <c r="G256" s="517">
        <f t="shared" si="197"/>
        <v>7753.0229140406773</v>
      </c>
      <c r="H256" s="517">
        <f t="shared" si="197"/>
        <v>4937.1623523962826</v>
      </c>
      <c r="I256" s="517">
        <f t="shared" si="197"/>
        <v>8079.6741319833782</v>
      </c>
      <c r="J256" s="517">
        <f t="shared" si="197"/>
        <v>8034.1948415371562</v>
      </c>
      <c r="K256" s="517">
        <f t="shared" si="197"/>
        <v>7347.8573924342536</v>
      </c>
      <c r="L256" s="517">
        <f t="shared" si="197"/>
        <v>5328.8729458751832</v>
      </c>
      <c r="M256" s="517">
        <f t="shared" si="197"/>
        <v>4953.659441815159</v>
      </c>
      <c r="N256" s="517">
        <f t="shared" si="197"/>
        <v>4988.674922450522</v>
      </c>
      <c r="O256" s="517">
        <f t="shared" si="197"/>
        <v>5281.7092372642865</v>
      </c>
      <c r="P256" s="511">
        <f t="shared" si="175"/>
        <v>0</v>
      </c>
      <c r="Q256" s="530">
        <v>2441</v>
      </c>
      <c r="R256" s="480"/>
      <c r="S256" s="479"/>
      <c r="U256" s="513"/>
    </row>
    <row r="257" spans="1:21" s="492" customFormat="1" ht="18" x14ac:dyDescent="0.15">
      <c r="A257" s="579"/>
      <c r="B257" s="518" t="s">
        <v>253</v>
      </c>
      <c r="C257" s="517">
        <f>'FOND GASO Y D'!Q30</f>
        <v>0</v>
      </c>
      <c r="D257" s="517">
        <f t="shared" ref="D257:O257" si="198">$C257*D$29%</f>
        <v>0</v>
      </c>
      <c r="E257" s="517">
        <f t="shared" si="198"/>
        <v>0</v>
      </c>
      <c r="F257" s="517">
        <f t="shared" si="198"/>
        <v>0</v>
      </c>
      <c r="G257" s="517">
        <f t="shared" si="198"/>
        <v>0</v>
      </c>
      <c r="H257" s="517">
        <f t="shared" si="198"/>
        <v>0</v>
      </c>
      <c r="I257" s="517">
        <f t="shared" si="198"/>
        <v>0</v>
      </c>
      <c r="J257" s="517">
        <f t="shared" si="198"/>
        <v>0</v>
      </c>
      <c r="K257" s="517">
        <f t="shared" si="198"/>
        <v>0</v>
      </c>
      <c r="L257" s="517">
        <f t="shared" si="198"/>
        <v>0</v>
      </c>
      <c r="M257" s="517">
        <f t="shared" si="198"/>
        <v>0</v>
      </c>
      <c r="N257" s="517">
        <f t="shared" si="198"/>
        <v>0</v>
      </c>
      <c r="O257" s="517">
        <f t="shared" si="198"/>
        <v>0</v>
      </c>
      <c r="P257" s="511">
        <f t="shared" si="175"/>
        <v>0</v>
      </c>
      <c r="Q257" s="530">
        <v>38299</v>
      </c>
      <c r="R257" s="480"/>
      <c r="S257" s="479"/>
      <c r="U257" s="513"/>
    </row>
    <row r="258" spans="1:21" s="492" customFormat="1" ht="18" x14ac:dyDescent="0.15">
      <c r="A258" s="579"/>
      <c r="B258" s="528" t="s">
        <v>408</v>
      </c>
      <c r="C258" s="519">
        <f>'FOND GASO Y D'!H30</f>
        <v>1240453.5025145574</v>
      </c>
      <c r="D258" s="517">
        <f t="shared" ref="D258:O258" si="199">$C258*D$30%</f>
        <v>96495.873573397621</v>
      </c>
      <c r="E258" s="517">
        <f t="shared" si="199"/>
        <v>106095.01684831713</v>
      </c>
      <c r="F258" s="517">
        <f t="shared" si="199"/>
        <v>103294.44558847405</v>
      </c>
      <c r="G258" s="517">
        <f t="shared" si="199"/>
        <v>96248.902935422971</v>
      </c>
      <c r="H258" s="517">
        <f t="shared" si="199"/>
        <v>106052.5337086908</v>
      </c>
      <c r="I258" s="517">
        <f t="shared" si="199"/>
        <v>102353.29659881137</v>
      </c>
      <c r="J258" s="517">
        <f t="shared" si="199"/>
        <v>104487.22070509076</v>
      </c>
      <c r="K258" s="517">
        <f t="shared" si="199"/>
        <v>104425.13124146755</v>
      </c>
      <c r="L258" s="517">
        <f t="shared" si="199"/>
        <v>108666.83546993928</v>
      </c>
      <c r="M258" s="517">
        <f t="shared" si="199"/>
        <v>107712.61559843902</v>
      </c>
      <c r="N258" s="517">
        <f t="shared" si="199"/>
        <v>100667.07294538796</v>
      </c>
      <c r="O258" s="517">
        <f t="shared" si="199"/>
        <v>103954.55730235939</v>
      </c>
      <c r="P258" s="511">
        <f t="shared" si="175"/>
        <v>-1.240347046405077E-6</v>
      </c>
      <c r="Q258" s="530">
        <v>75810</v>
      </c>
      <c r="R258" s="480"/>
      <c r="S258" s="479"/>
      <c r="U258" s="513"/>
    </row>
    <row r="259" spans="1:21" s="492" customFormat="1" x14ac:dyDescent="0.15">
      <c r="A259" s="579"/>
      <c r="B259" s="520"/>
      <c r="C259" s="521"/>
      <c r="D259" s="522"/>
      <c r="E259" s="522"/>
      <c r="F259" s="522"/>
      <c r="G259" s="522"/>
      <c r="H259" s="522"/>
      <c r="I259" s="522"/>
      <c r="J259" s="522"/>
      <c r="K259" s="522"/>
      <c r="L259" s="522"/>
      <c r="M259" s="522"/>
      <c r="N259" s="522"/>
      <c r="O259" s="522"/>
      <c r="P259" s="511">
        <f t="shared" si="175"/>
        <v>0</v>
      </c>
      <c r="Q259" s="530">
        <v>0</v>
      </c>
      <c r="R259" s="480"/>
      <c r="S259" s="479"/>
      <c r="U259" s="513"/>
    </row>
    <row r="260" spans="1:21" s="492" customFormat="1" x14ac:dyDescent="0.15">
      <c r="A260" s="588"/>
      <c r="B260" s="523"/>
      <c r="C260" s="521"/>
      <c r="D260" s="522"/>
      <c r="E260" s="522"/>
      <c r="F260" s="522"/>
      <c r="G260" s="522"/>
      <c r="H260" s="522"/>
      <c r="I260" s="522"/>
      <c r="J260" s="522"/>
      <c r="K260" s="522"/>
      <c r="L260" s="522"/>
      <c r="M260" s="522"/>
      <c r="N260" s="522"/>
      <c r="O260" s="522"/>
      <c r="P260" s="511">
        <f t="shared" si="175"/>
        <v>0</v>
      </c>
      <c r="Q260" s="530">
        <v>0</v>
      </c>
      <c r="R260" s="480"/>
      <c r="S260" s="479"/>
      <c r="U260" s="513"/>
    </row>
    <row r="261" spans="1:21" s="492" customFormat="1" x14ac:dyDescent="0.15">
      <c r="A261" s="584">
        <v>16</v>
      </c>
      <c r="B261" s="509" t="s">
        <v>79</v>
      </c>
      <c r="C261" s="524">
        <f t="shared" ref="C261:O261" si="200">SUM(C262:C273)</f>
        <v>48529816.139414988</v>
      </c>
      <c r="D261" s="524">
        <f t="shared" si="200"/>
        <v>3805692.0536249629</v>
      </c>
      <c r="E261" s="524">
        <f t="shared" si="200"/>
        <v>5117142.3164511118</v>
      </c>
      <c r="F261" s="524">
        <f t="shared" si="200"/>
        <v>3399532.9647393888</v>
      </c>
      <c r="G261" s="524">
        <f t="shared" si="200"/>
        <v>4318925.5081476262</v>
      </c>
      <c r="H261" s="524">
        <f t="shared" si="200"/>
        <v>4889950.6197134005</v>
      </c>
      <c r="I261" s="524">
        <f t="shared" si="200"/>
        <v>4794800.5281250887</v>
      </c>
      <c r="J261" s="524">
        <f t="shared" si="200"/>
        <v>4055287.923591936</v>
      </c>
      <c r="K261" s="524">
        <f t="shared" si="200"/>
        <v>3994595.6826071884</v>
      </c>
      <c r="L261" s="524">
        <f t="shared" si="200"/>
        <v>3826586.4430655139</v>
      </c>
      <c r="M261" s="524">
        <f t="shared" si="200"/>
        <v>2854458.5313233542</v>
      </c>
      <c r="N261" s="524">
        <f t="shared" si="200"/>
        <v>3716550.7073855419</v>
      </c>
      <c r="O261" s="524">
        <f t="shared" si="200"/>
        <v>3756292.8604984507</v>
      </c>
      <c r="P261" s="511">
        <f t="shared" si="175"/>
        <v>1.4142505824565887E-4</v>
      </c>
      <c r="Q261" s="530">
        <v>2904985</v>
      </c>
      <c r="R261" s="480"/>
      <c r="S261" s="479"/>
      <c r="T261" s="512"/>
      <c r="U261" s="513"/>
    </row>
    <row r="262" spans="1:21" s="492" customFormat="1" x14ac:dyDescent="0.15">
      <c r="A262" s="579"/>
      <c r="B262" s="527" t="s">
        <v>294</v>
      </c>
      <c r="C262" s="515">
        <f>'FG1'!I31</f>
        <v>33446828.646869812</v>
      </c>
      <c r="D262" s="515">
        <f t="shared" ref="D262:O262" si="201">$C262*D$19%</f>
        <v>2529740.8033970352</v>
      </c>
      <c r="E262" s="515">
        <f t="shared" si="201"/>
        <v>3624485.3974098046</v>
      </c>
      <c r="F262" s="515">
        <f t="shared" si="201"/>
        <v>2342851.9836706929</v>
      </c>
      <c r="G262" s="515">
        <f t="shared" si="201"/>
        <v>2877956.2843320975</v>
      </c>
      <c r="H262" s="515">
        <f t="shared" si="201"/>
        <v>3514613.464723506</v>
      </c>
      <c r="I262" s="515">
        <f t="shared" si="201"/>
        <v>3445561.6276995679</v>
      </c>
      <c r="J262" s="515">
        <f t="shared" si="201"/>
        <v>2671011.7580294325</v>
      </c>
      <c r="K262" s="515">
        <f t="shared" si="201"/>
        <v>2835905.9454450845</v>
      </c>
      <c r="L262" s="515">
        <f t="shared" si="201"/>
        <v>2665048.1912243362</v>
      </c>
      <c r="M262" s="515">
        <f t="shared" si="201"/>
        <v>1766722.1376934529</v>
      </c>
      <c r="N262" s="515">
        <f t="shared" si="201"/>
        <v>2578440.9090754543</v>
      </c>
      <c r="O262" s="515">
        <f t="shared" si="201"/>
        <v>2594490.1441359017</v>
      </c>
      <c r="P262" s="511">
        <f t="shared" si="175"/>
        <v>3.3447984606027603E-5</v>
      </c>
      <c r="Q262" s="530">
        <v>1999326</v>
      </c>
      <c r="R262" s="480"/>
      <c r="S262" s="479"/>
      <c r="U262" s="513"/>
    </row>
    <row r="263" spans="1:21" s="492" customFormat="1" x14ac:dyDescent="0.15">
      <c r="A263" s="579"/>
      <c r="B263" s="528" t="s">
        <v>296</v>
      </c>
      <c r="C263" s="517">
        <f>FFM!J31</f>
        <v>8990370.261212619</v>
      </c>
      <c r="D263" s="517">
        <f t="shared" ref="D263:O263" si="202">$C263*D$20%</f>
        <v>679880.02837609628</v>
      </c>
      <c r="E263" s="517">
        <f t="shared" si="202"/>
        <v>974718.48799979221</v>
      </c>
      <c r="F263" s="517">
        <f t="shared" si="202"/>
        <v>629546.8194319004</v>
      </c>
      <c r="G263" s="517">
        <f t="shared" si="202"/>
        <v>773662.01110729901</v>
      </c>
      <c r="H263" s="517">
        <f t="shared" si="202"/>
        <v>945127.59634908347</v>
      </c>
      <c r="I263" s="517">
        <f t="shared" si="202"/>
        <v>926530.43645694933</v>
      </c>
      <c r="J263" s="517">
        <f t="shared" si="202"/>
        <v>717864.41681037063</v>
      </c>
      <c r="K263" s="517">
        <f t="shared" si="202"/>
        <v>762273.99759862584</v>
      </c>
      <c r="L263" s="517">
        <f t="shared" si="202"/>
        <v>716258.29511069227</v>
      </c>
      <c r="M263" s="517">
        <f t="shared" si="202"/>
        <v>474319.60729597189</v>
      </c>
      <c r="N263" s="517">
        <f t="shared" si="202"/>
        <v>692933.07799322065</v>
      </c>
      <c r="O263" s="517">
        <f t="shared" si="202"/>
        <v>697255.48657473293</v>
      </c>
      <c r="P263" s="511">
        <f t="shared" si="175"/>
        <v>1.0788510553538799E-4</v>
      </c>
      <c r="Q263" s="530">
        <v>612129</v>
      </c>
      <c r="R263" s="480"/>
      <c r="S263" s="479"/>
      <c r="U263" s="513"/>
    </row>
    <row r="264" spans="1:21" s="492" customFormat="1" ht="18" x14ac:dyDescent="0.15">
      <c r="A264" s="579"/>
      <c r="B264" s="528" t="s">
        <v>297</v>
      </c>
      <c r="C264" s="517">
        <f>IEPS!I30</f>
        <v>808878.12448537513</v>
      </c>
      <c r="D264" s="517">
        <f t="shared" ref="D264:O264" si="203">$C264*D$21%</f>
        <v>56815.454614811482</v>
      </c>
      <c r="E264" s="517">
        <f t="shared" si="203"/>
        <v>129863.4640274228</v>
      </c>
      <c r="F264" s="517">
        <f t="shared" si="203"/>
        <v>53940.064283540552</v>
      </c>
      <c r="G264" s="517">
        <f t="shared" si="203"/>
        <v>52422.189163600946</v>
      </c>
      <c r="H264" s="517">
        <f t="shared" si="203"/>
        <v>57876.980719076659</v>
      </c>
      <c r="I264" s="517">
        <f t="shared" si="203"/>
        <v>60019.582080161534</v>
      </c>
      <c r="J264" s="517">
        <f t="shared" si="203"/>
        <v>61809.074386233282</v>
      </c>
      <c r="K264" s="517">
        <f t="shared" si="203"/>
        <v>68466.359123387621</v>
      </c>
      <c r="L264" s="517">
        <f t="shared" si="203"/>
        <v>68609.827281890481</v>
      </c>
      <c r="M264" s="517">
        <f t="shared" si="203"/>
        <v>67847.280252528173</v>
      </c>
      <c r="N264" s="517">
        <f t="shared" si="203"/>
        <v>65653.718277013482</v>
      </c>
      <c r="O264" s="517">
        <f t="shared" si="203"/>
        <v>65554.130274899217</v>
      </c>
      <c r="P264" s="511">
        <f t="shared" si="175"/>
        <v>8.0882455222308636E-7</v>
      </c>
      <c r="Q264" s="530">
        <v>51635</v>
      </c>
      <c r="R264" s="480"/>
      <c r="S264" s="479"/>
      <c r="U264" s="513"/>
    </row>
    <row r="265" spans="1:21" s="492" customFormat="1" x14ac:dyDescent="0.15">
      <c r="A265" s="579"/>
      <c r="B265" s="528" t="s">
        <v>236</v>
      </c>
      <c r="C265" s="517">
        <f>ISR!C21</f>
        <v>1684327.07</v>
      </c>
      <c r="D265" s="517">
        <f>ISR!D21</f>
        <v>155174.64132151488</v>
      </c>
      <c r="E265" s="517">
        <f>ISR!E21</f>
        <v>153405.06033794186</v>
      </c>
      <c r="F265" s="517">
        <f>ISR!F21</f>
        <v>153233.1945589617</v>
      </c>
      <c r="G265" s="517">
        <f>ISR!G21</f>
        <v>152402.50996055783</v>
      </c>
      <c r="H265" s="517">
        <f>ISR!H21</f>
        <v>149601.73430310396</v>
      </c>
      <c r="I265" s="517">
        <f>ISR!I21</f>
        <v>148950.34178277184</v>
      </c>
      <c r="J265" s="517">
        <f>ISR!J21</f>
        <v>54774.260300886897</v>
      </c>
      <c r="K265" s="517">
        <f>ISR!K21</f>
        <v>107929.58739977585</v>
      </c>
      <c r="L265" s="517">
        <f>ISR!L21</f>
        <v>153375.35514157498</v>
      </c>
      <c r="M265" s="517">
        <f>ISR!M21</f>
        <v>152127.73689416368</v>
      </c>
      <c r="N265" s="517">
        <f>ISR!N21</f>
        <v>153553.58631977654</v>
      </c>
      <c r="O265" s="517">
        <f>ISR!O21</f>
        <v>149799.06167897003</v>
      </c>
      <c r="P265" s="511">
        <f t="shared" si="175"/>
        <v>0</v>
      </c>
      <c r="Q265" s="530">
        <v>0</v>
      </c>
      <c r="R265" s="480"/>
      <c r="S265" s="479"/>
      <c r="U265" s="513"/>
    </row>
    <row r="266" spans="1:21" s="492" customFormat="1" ht="18" x14ac:dyDescent="0.15">
      <c r="A266" s="579"/>
      <c r="B266" s="528" t="s">
        <v>298</v>
      </c>
      <c r="C266" s="517">
        <f>FOFIR!I30</f>
        <v>1564366.3117231226</v>
      </c>
      <c r="D266" s="517">
        <f t="shared" ref="D266:O266" si="204">$C266*D$23%</f>
        <v>213873.11558683403</v>
      </c>
      <c r="E266" s="517">
        <f t="shared" si="204"/>
        <v>54413.771907426155</v>
      </c>
      <c r="F266" s="517">
        <f t="shared" si="204"/>
        <v>54413.771907426155</v>
      </c>
      <c r="G266" s="517">
        <f t="shared" si="204"/>
        <v>307075.11134129344</v>
      </c>
      <c r="H266" s="517">
        <f t="shared" si="204"/>
        <v>54413.771907426155</v>
      </c>
      <c r="I266" s="517">
        <f t="shared" si="204"/>
        <v>54413.771907426155</v>
      </c>
      <c r="J266" s="517">
        <f t="shared" si="204"/>
        <v>381951.95895451767</v>
      </c>
      <c r="K266" s="517">
        <f t="shared" si="204"/>
        <v>54413.771907426155</v>
      </c>
      <c r="L266" s="517">
        <f t="shared" si="204"/>
        <v>54413.771907426155</v>
      </c>
      <c r="M266" s="517">
        <f t="shared" si="204"/>
        <v>226155.9505873257</v>
      </c>
      <c r="N266" s="517">
        <f t="shared" si="204"/>
        <v>54413.771907426155</v>
      </c>
      <c r="O266" s="517">
        <f t="shared" si="204"/>
        <v>54413.771907426155</v>
      </c>
      <c r="P266" s="511">
        <f t="shared" si="175"/>
        <v>-6.2575854826718569E-6</v>
      </c>
      <c r="Q266" s="530">
        <v>60821</v>
      </c>
      <c r="R266" s="480"/>
      <c r="S266" s="479"/>
      <c r="U266" s="513"/>
    </row>
    <row r="267" spans="1:21" s="492" customFormat="1" ht="27" x14ac:dyDescent="0.15">
      <c r="A267" s="579"/>
      <c r="B267" s="528" t="s">
        <v>407</v>
      </c>
      <c r="C267" s="517">
        <f>FCISAN!I30</f>
        <v>99307.927042733892</v>
      </c>
      <c r="D267" s="517">
        <f t="shared" ref="D267:O267" si="205">$C267*D$24%</f>
        <v>8275.6605868613897</v>
      </c>
      <c r="E267" s="517">
        <f t="shared" si="205"/>
        <v>8275.6605868613897</v>
      </c>
      <c r="F267" s="517">
        <f t="shared" si="205"/>
        <v>8275.6605868613897</v>
      </c>
      <c r="G267" s="517">
        <f t="shared" si="205"/>
        <v>8275.6605868613897</v>
      </c>
      <c r="H267" s="517">
        <f t="shared" si="205"/>
        <v>8275.6605868613897</v>
      </c>
      <c r="I267" s="517">
        <f t="shared" si="205"/>
        <v>8275.6605868613897</v>
      </c>
      <c r="J267" s="517">
        <f t="shared" si="205"/>
        <v>8275.6605868613897</v>
      </c>
      <c r="K267" s="517">
        <f t="shared" si="205"/>
        <v>8275.6605868613897</v>
      </c>
      <c r="L267" s="517">
        <f t="shared" si="205"/>
        <v>8275.6605868613897</v>
      </c>
      <c r="M267" s="517">
        <f t="shared" si="205"/>
        <v>8275.6605868613897</v>
      </c>
      <c r="N267" s="517">
        <f t="shared" si="205"/>
        <v>8275.6605868613897</v>
      </c>
      <c r="O267" s="517">
        <f t="shared" si="205"/>
        <v>8275.6605868613897</v>
      </c>
      <c r="P267" s="511">
        <f t="shared" si="175"/>
        <v>3.9722726796753705E-7</v>
      </c>
      <c r="Q267" s="530">
        <v>7235</v>
      </c>
      <c r="R267" s="480"/>
      <c r="S267" s="479"/>
      <c r="U267" s="513"/>
    </row>
    <row r="268" spans="1:21" s="492" customFormat="1" ht="27" x14ac:dyDescent="0.15">
      <c r="A268" s="579"/>
      <c r="B268" s="528" t="s">
        <v>242</v>
      </c>
      <c r="C268" s="517">
        <f>ISAN!I30</f>
        <v>496054.7419591936</v>
      </c>
      <c r="D268" s="517">
        <f t="shared" ref="D268:O268" si="206">$C268*D$25%</f>
        <v>47737.13734861619</v>
      </c>
      <c r="E268" s="517">
        <f t="shared" si="206"/>
        <v>53317.39744950286</v>
      </c>
      <c r="F268" s="517">
        <f t="shared" si="206"/>
        <v>41379.007937047543</v>
      </c>
      <c r="G268" s="517">
        <f t="shared" si="206"/>
        <v>38403.987640181382</v>
      </c>
      <c r="H268" s="517">
        <f t="shared" si="206"/>
        <v>41062.353424358109</v>
      </c>
      <c r="I268" s="517">
        <f t="shared" si="206"/>
        <v>35663.903377252595</v>
      </c>
      <c r="J268" s="517">
        <f t="shared" si="206"/>
        <v>38636.371185255673</v>
      </c>
      <c r="K268" s="517">
        <f t="shared" si="206"/>
        <v>39844.254703199185</v>
      </c>
      <c r="L268" s="517">
        <f t="shared" si="206"/>
        <v>39152.211144510067</v>
      </c>
      <c r="M268" s="517">
        <f t="shared" si="206"/>
        <v>40112.389885793775</v>
      </c>
      <c r="N268" s="517">
        <f t="shared" si="206"/>
        <v>38838.110170335553</v>
      </c>
      <c r="O268" s="517">
        <f t="shared" si="206"/>
        <v>41907.617687188038</v>
      </c>
      <c r="P268" s="511">
        <f t="shared" si="175"/>
        <v>5.9525700635276735E-6</v>
      </c>
      <c r="Q268" s="530">
        <v>31079</v>
      </c>
      <c r="R268" s="480"/>
      <c r="S268" s="479"/>
      <c r="U268" s="513"/>
    </row>
    <row r="269" spans="1:21" s="492" customFormat="1" ht="18" x14ac:dyDescent="0.15">
      <c r="A269" s="579"/>
      <c r="B269" s="528" t="s">
        <v>403</v>
      </c>
      <c r="C269" s="517">
        <f>LOT!I30</f>
        <v>24012.519425141403</v>
      </c>
      <c r="D269" s="517">
        <f t="shared" ref="D269:O269" si="207">$C269*D$26%</f>
        <v>1815.5959332362843</v>
      </c>
      <c r="E269" s="517">
        <f t="shared" si="207"/>
        <v>1789.8610693191122</v>
      </c>
      <c r="F269" s="517">
        <f t="shared" si="207"/>
        <v>1759.2137305412618</v>
      </c>
      <c r="G269" s="517">
        <f t="shared" si="207"/>
        <v>1935.5279304230041</v>
      </c>
      <c r="H269" s="517">
        <f t="shared" si="207"/>
        <v>1583.6141502492678</v>
      </c>
      <c r="I269" s="517">
        <f t="shared" si="207"/>
        <v>2149.0451410821902</v>
      </c>
      <c r="J269" s="517">
        <f t="shared" si="207"/>
        <v>4932.0562880851758</v>
      </c>
      <c r="K269" s="517">
        <f t="shared" si="207"/>
        <v>1795.4453721872587</v>
      </c>
      <c r="L269" s="517">
        <f t="shared" si="207"/>
        <v>2178.5499443274384</v>
      </c>
      <c r="M269" s="517">
        <f t="shared" si="207"/>
        <v>1348.820959636563</v>
      </c>
      <c r="N269" s="517">
        <f t="shared" si="207"/>
        <v>1362.3944528828488</v>
      </c>
      <c r="O269" s="517">
        <f t="shared" si="207"/>
        <v>1362.3944528828488</v>
      </c>
      <c r="P269" s="511">
        <f t="shared" si="175"/>
        <v>2.8815247787861153E-7</v>
      </c>
      <c r="Q269" s="530">
        <v>1518</v>
      </c>
      <c r="R269" s="480"/>
      <c r="S269" s="479"/>
      <c r="U269" s="513"/>
    </row>
    <row r="270" spans="1:21" s="492" customFormat="1" ht="45" x14ac:dyDescent="0.15">
      <c r="A270" s="579"/>
      <c r="B270" s="518" t="s">
        <v>301</v>
      </c>
      <c r="C270" s="517">
        <f>'ENAJENAC DE INMUE'!I30</f>
        <v>94420.076640607775</v>
      </c>
      <c r="D270" s="517">
        <f t="shared" ref="D270:O270" si="208">$C270*D$27%</f>
        <v>4077.598770009387</v>
      </c>
      <c r="E270" s="517">
        <f t="shared" si="208"/>
        <v>4137.6577145293859</v>
      </c>
      <c r="F270" s="517">
        <f t="shared" si="208"/>
        <v>4081.8765548600982</v>
      </c>
      <c r="G270" s="517">
        <f t="shared" si="208"/>
        <v>4057.9660589925111</v>
      </c>
      <c r="H270" s="517">
        <f t="shared" si="208"/>
        <v>5629.1738971904097</v>
      </c>
      <c r="I270" s="517">
        <f t="shared" si="208"/>
        <v>4051.7532179495597</v>
      </c>
      <c r="J270" s="517">
        <f t="shared" si="208"/>
        <v>4656.594899060553</v>
      </c>
      <c r="K270" s="517">
        <f t="shared" si="208"/>
        <v>4651.8016916293946</v>
      </c>
      <c r="L270" s="517">
        <f t="shared" si="208"/>
        <v>4645.9087679948198</v>
      </c>
      <c r="M270" s="517">
        <f t="shared" si="208"/>
        <v>4057.3017859938423</v>
      </c>
      <c r="N270" s="517">
        <f t="shared" si="208"/>
        <v>16868.768753498203</v>
      </c>
      <c r="O270" s="517">
        <f t="shared" si="208"/>
        <v>33503.67452871077</v>
      </c>
      <c r="P270" s="511">
        <f t="shared" si="175"/>
        <v>1.88854755833745E-7</v>
      </c>
      <c r="Q270" s="530">
        <v>22149</v>
      </c>
      <c r="R270" s="480"/>
      <c r="S270" s="479"/>
      <c r="U270" s="513"/>
    </row>
    <row r="271" spans="1:21" s="492" customFormat="1" ht="27" x14ac:dyDescent="0.15">
      <c r="A271" s="579"/>
      <c r="B271" s="518" t="s">
        <v>248</v>
      </c>
      <c r="C271" s="517">
        <f>'IMP BEBIDAS AL'!I30</f>
        <v>36904.355527643987</v>
      </c>
      <c r="D271" s="517">
        <f t="shared" ref="D271:O271" si="209">$C271*D$28%</f>
        <v>8391.7033767867288</v>
      </c>
      <c r="E271" s="517">
        <f t="shared" si="209"/>
        <v>2886.4412159414837</v>
      </c>
      <c r="F271" s="517">
        <f t="shared" si="209"/>
        <v>3101.9229107140523</v>
      </c>
      <c r="G271" s="517">
        <f t="shared" si="209"/>
        <v>3079.6552388868108</v>
      </c>
      <c r="H271" s="517">
        <f t="shared" si="209"/>
        <v>1961.1392965518287</v>
      </c>
      <c r="I271" s="517">
        <f t="shared" si="209"/>
        <v>3209.4076136417189</v>
      </c>
      <c r="J271" s="517">
        <f t="shared" si="209"/>
        <v>3191.3423329587595</v>
      </c>
      <c r="K271" s="517">
        <f t="shared" si="209"/>
        <v>2918.7154177272701</v>
      </c>
      <c r="L271" s="517">
        <f t="shared" si="209"/>
        <v>2116.7345520682406</v>
      </c>
      <c r="M271" s="517">
        <f t="shared" si="209"/>
        <v>1967.692269297881</v>
      </c>
      <c r="N271" s="517">
        <f t="shared" si="209"/>
        <v>1981.6011161536724</v>
      </c>
      <c r="O271" s="517">
        <f t="shared" si="209"/>
        <v>2098.0001869155421</v>
      </c>
      <c r="P271" s="511">
        <f t="shared" si="175"/>
        <v>0</v>
      </c>
      <c r="Q271" s="530">
        <v>948</v>
      </c>
      <c r="R271" s="480"/>
      <c r="S271" s="479"/>
      <c r="U271" s="513"/>
    </row>
    <row r="272" spans="1:21" s="492" customFormat="1" ht="18" x14ac:dyDescent="0.15">
      <c r="A272" s="579"/>
      <c r="B272" s="518" t="s">
        <v>253</v>
      </c>
      <c r="C272" s="517">
        <f>'FOND GASO Y D'!Q31</f>
        <v>0</v>
      </c>
      <c r="D272" s="517">
        <f t="shared" ref="D272:O272" si="210">$C272*D$29%</f>
        <v>0</v>
      </c>
      <c r="E272" s="517">
        <f t="shared" si="210"/>
        <v>0</v>
      </c>
      <c r="F272" s="517">
        <f t="shared" si="210"/>
        <v>0</v>
      </c>
      <c r="G272" s="517">
        <f t="shared" si="210"/>
        <v>0</v>
      </c>
      <c r="H272" s="517">
        <f t="shared" si="210"/>
        <v>0</v>
      </c>
      <c r="I272" s="517">
        <f t="shared" si="210"/>
        <v>0</v>
      </c>
      <c r="J272" s="517">
        <f t="shared" si="210"/>
        <v>0</v>
      </c>
      <c r="K272" s="517">
        <f t="shared" si="210"/>
        <v>0</v>
      </c>
      <c r="L272" s="517">
        <f t="shared" si="210"/>
        <v>0</v>
      </c>
      <c r="M272" s="517">
        <f t="shared" si="210"/>
        <v>0</v>
      </c>
      <c r="N272" s="517">
        <f t="shared" si="210"/>
        <v>0</v>
      </c>
      <c r="O272" s="517">
        <f t="shared" si="210"/>
        <v>0</v>
      </c>
      <c r="P272" s="511">
        <f t="shared" si="175"/>
        <v>0</v>
      </c>
      <c r="Q272" s="530">
        <v>39653</v>
      </c>
      <c r="R272" s="480"/>
      <c r="S272" s="479"/>
      <c r="U272" s="513"/>
    </row>
    <row r="273" spans="1:21" s="492" customFormat="1" ht="18" x14ac:dyDescent="0.15">
      <c r="A273" s="579"/>
      <c r="B273" s="528" t="s">
        <v>408</v>
      </c>
      <c r="C273" s="519">
        <f>'FOND GASO Y D'!H31</f>
        <v>1284346.1045287396</v>
      </c>
      <c r="D273" s="517">
        <f t="shared" ref="D273:O273" si="211">$C273*D$30%</f>
        <v>99910.31431316107</v>
      </c>
      <c r="E273" s="517">
        <f t="shared" si="211"/>
        <v>109849.11673257012</v>
      </c>
      <c r="F273" s="517">
        <f t="shared" si="211"/>
        <v>106949.44916684258</v>
      </c>
      <c r="G273" s="517">
        <f t="shared" si="211"/>
        <v>99654.604787433011</v>
      </c>
      <c r="H273" s="517">
        <f t="shared" si="211"/>
        <v>109805.13035599364</v>
      </c>
      <c r="I273" s="517">
        <f t="shared" si="211"/>
        <v>105974.99826142444</v>
      </c>
      <c r="J273" s="517">
        <f t="shared" si="211"/>
        <v>108184.42981827374</v>
      </c>
      <c r="K273" s="517">
        <f t="shared" si="211"/>
        <v>108120.14336128432</v>
      </c>
      <c r="L273" s="517">
        <f t="shared" si="211"/>
        <v>112511.93740383195</v>
      </c>
      <c r="M273" s="517">
        <f t="shared" si="211"/>
        <v>111523.95311232812</v>
      </c>
      <c r="N273" s="517">
        <f t="shared" si="211"/>
        <v>104229.10873291858</v>
      </c>
      <c r="O273" s="517">
        <f t="shared" si="211"/>
        <v>107632.91848396233</v>
      </c>
      <c r="P273" s="511">
        <f t="shared" si="175"/>
        <v>-1.2845703167840838E-6</v>
      </c>
      <c r="Q273" s="530">
        <v>78492</v>
      </c>
      <c r="R273" s="480"/>
      <c r="S273" s="479"/>
      <c r="U273" s="513"/>
    </row>
    <row r="274" spans="1:21" s="492" customFormat="1" x14ac:dyDescent="0.15">
      <c r="A274" s="579"/>
      <c r="B274" s="520"/>
      <c r="C274" s="521"/>
      <c r="D274" s="522"/>
      <c r="E274" s="522"/>
      <c r="F274" s="522"/>
      <c r="G274" s="522"/>
      <c r="H274" s="522"/>
      <c r="I274" s="522"/>
      <c r="J274" s="522"/>
      <c r="K274" s="522"/>
      <c r="L274" s="522"/>
      <c r="M274" s="522"/>
      <c r="N274" s="522"/>
      <c r="O274" s="522"/>
      <c r="P274" s="511">
        <f t="shared" si="175"/>
        <v>0</v>
      </c>
      <c r="Q274" s="530">
        <v>0</v>
      </c>
      <c r="R274" s="480"/>
      <c r="S274" s="479"/>
      <c r="U274" s="513"/>
    </row>
    <row r="275" spans="1:21" s="492" customFormat="1" x14ac:dyDescent="0.15">
      <c r="A275" s="588"/>
      <c r="B275" s="523"/>
      <c r="C275" s="521"/>
      <c r="D275" s="522"/>
      <c r="E275" s="522"/>
      <c r="F275" s="522"/>
      <c r="G275" s="522"/>
      <c r="H275" s="522"/>
      <c r="I275" s="522"/>
      <c r="J275" s="522"/>
      <c r="K275" s="522"/>
      <c r="L275" s="522"/>
      <c r="M275" s="522"/>
      <c r="N275" s="522"/>
      <c r="O275" s="522"/>
      <c r="P275" s="511">
        <f t="shared" si="175"/>
        <v>0</v>
      </c>
      <c r="Q275" s="530">
        <v>0</v>
      </c>
      <c r="R275" s="480"/>
      <c r="S275" s="479"/>
      <c r="U275" s="513"/>
    </row>
    <row r="276" spans="1:21" s="492" customFormat="1" x14ac:dyDescent="0.15">
      <c r="A276" s="584">
        <v>17</v>
      </c>
      <c r="B276" s="509" t="s">
        <v>81</v>
      </c>
      <c r="C276" s="524">
        <f t="shared" ref="C276:O276" si="212">SUM(C277:C288)</f>
        <v>69652284.349155352</v>
      </c>
      <c r="D276" s="524">
        <f t="shared" si="212"/>
        <v>5461647.4469343293</v>
      </c>
      <c r="E276" s="524">
        <f t="shared" si="212"/>
        <v>7335508.8990434948</v>
      </c>
      <c r="F276" s="524">
        <f t="shared" si="212"/>
        <v>4864270.1241790513</v>
      </c>
      <c r="G276" s="524">
        <f t="shared" si="212"/>
        <v>6186061.032686878</v>
      </c>
      <c r="H276" s="524">
        <f t="shared" si="212"/>
        <v>6987572.165757088</v>
      </c>
      <c r="I276" s="524">
        <f t="shared" si="212"/>
        <v>6849576.8066335274</v>
      </c>
      <c r="J276" s="524">
        <f t="shared" si="212"/>
        <v>5926268.6690464532</v>
      </c>
      <c r="K276" s="524">
        <f t="shared" si="212"/>
        <v>5778735.3710667333</v>
      </c>
      <c r="L276" s="524">
        <f t="shared" si="212"/>
        <v>5461968.4897016827</v>
      </c>
      <c r="M276" s="524">
        <f t="shared" si="212"/>
        <v>4098686.3377078651</v>
      </c>
      <c r="N276" s="524">
        <f t="shared" si="212"/>
        <v>5314182.9186815647</v>
      </c>
      <c r="O276" s="524">
        <f t="shared" si="212"/>
        <v>5387806.0875162706</v>
      </c>
      <c r="P276" s="511">
        <f t="shared" si="175"/>
        <v>2.0041037350893021E-4</v>
      </c>
      <c r="Q276" s="530">
        <v>4047105</v>
      </c>
      <c r="R276" s="480"/>
      <c r="S276" s="479"/>
      <c r="T276" s="512"/>
      <c r="U276" s="513"/>
    </row>
    <row r="277" spans="1:21" s="492" customFormat="1" x14ac:dyDescent="0.15">
      <c r="A277" s="579"/>
      <c r="B277" s="525" t="s">
        <v>294</v>
      </c>
      <c r="C277" s="526">
        <f>'FG1'!I32</f>
        <v>47379729.897931404</v>
      </c>
      <c r="D277" s="526">
        <f t="shared" ref="D277:O277" si="213">$C277*D$19%</f>
        <v>3583551.5899635144</v>
      </c>
      <c r="E277" s="526">
        <f t="shared" si="213"/>
        <v>5134332.4941614317</v>
      </c>
      <c r="F277" s="526">
        <f t="shared" si="213"/>
        <v>3318810.7413447923</v>
      </c>
      <c r="G277" s="526">
        <f t="shared" si="213"/>
        <v>4076822.7340582339</v>
      </c>
      <c r="H277" s="526">
        <f t="shared" si="213"/>
        <v>4978691.3555350425</v>
      </c>
      <c r="I277" s="526">
        <f t="shared" si="213"/>
        <v>4880874.6859281221</v>
      </c>
      <c r="J277" s="526">
        <f t="shared" si="213"/>
        <v>3783671.5996533511</v>
      </c>
      <c r="K277" s="526">
        <f t="shared" si="213"/>
        <v>4017255.541018256</v>
      </c>
      <c r="L277" s="526">
        <f t="shared" si="213"/>
        <v>3775223.7976976885</v>
      </c>
      <c r="M277" s="526">
        <f t="shared" si="213"/>
        <v>2502683.2460675053</v>
      </c>
      <c r="N277" s="526">
        <f t="shared" si="213"/>
        <v>3652538.6343678017</v>
      </c>
      <c r="O277" s="526">
        <f t="shared" si="213"/>
        <v>3675273.4780882867</v>
      </c>
      <c r="P277" s="511">
        <f t="shared" si="175"/>
        <v>4.7369394451379776E-5</v>
      </c>
      <c r="Q277" s="530">
        <v>2788021</v>
      </c>
      <c r="R277" s="480"/>
      <c r="S277" s="479"/>
      <c r="U277" s="513"/>
    </row>
    <row r="278" spans="1:21" s="492" customFormat="1" x14ac:dyDescent="0.15">
      <c r="A278" s="579"/>
      <c r="B278" s="527" t="s">
        <v>296</v>
      </c>
      <c r="C278" s="515">
        <f>FFM!J32</f>
        <v>12735476.931338701</v>
      </c>
      <c r="D278" s="515">
        <f t="shared" ref="D278:O278" si="214">$C278*D$20%</f>
        <v>963096.75418126839</v>
      </c>
      <c r="E278" s="515">
        <f t="shared" si="214"/>
        <v>1380755.6816682611</v>
      </c>
      <c r="F278" s="515">
        <f t="shared" si="214"/>
        <v>891796.30683989311</v>
      </c>
      <c r="G278" s="515">
        <f t="shared" si="214"/>
        <v>1095945.3736426143</v>
      </c>
      <c r="H278" s="515">
        <f t="shared" si="214"/>
        <v>1338838.151350159</v>
      </c>
      <c r="I278" s="515">
        <f t="shared" si="214"/>
        <v>1312493.9971147643</v>
      </c>
      <c r="J278" s="515">
        <f t="shared" si="214"/>
        <v>1016904.2491565044</v>
      </c>
      <c r="K278" s="515">
        <f t="shared" si="214"/>
        <v>1079813.4703817226</v>
      </c>
      <c r="L278" s="515">
        <f t="shared" si="214"/>
        <v>1014629.0674608824</v>
      </c>
      <c r="M278" s="515">
        <f t="shared" si="214"/>
        <v>671906.29988410685</v>
      </c>
      <c r="N278" s="515">
        <f t="shared" si="214"/>
        <v>981587.29544403555</v>
      </c>
      <c r="O278" s="515">
        <f t="shared" si="214"/>
        <v>987710.28406166402</v>
      </c>
      <c r="P278" s="511">
        <f t="shared" si="175"/>
        <v>1.5282549429684877E-4</v>
      </c>
      <c r="Q278" s="530">
        <v>853602</v>
      </c>
      <c r="R278" s="480"/>
      <c r="S278" s="479"/>
      <c r="U278" s="513"/>
    </row>
    <row r="279" spans="1:21" s="492" customFormat="1" ht="18" x14ac:dyDescent="0.15">
      <c r="A279" s="579"/>
      <c r="B279" s="528" t="s">
        <v>297</v>
      </c>
      <c r="C279" s="517">
        <f>IEPS!I31</f>
        <v>1145831.4168763226</v>
      </c>
      <c r="D279" s="517">
        <f t="shared" ref="D279:O279" si="215">$C279*D$21%</f>
        <v>80482.993532777749</v>
      </c>
      <c r="E279" s="517">
        <f t="shared" si="215"/>
        <v>183960.51578435241</v>
      </c>
      <c r="F279" s="517">
        <f t="shared" si="215"/>
        <v>76409.805647459652</v>
      </c>
      <c r="G279" s="517">
        <f t="shared" si="215"/>
        <v>74259.631292790044</v>
      </c>
      <c r="H279" s="517">
        <f t="shared" si="215"/>
        <v>81986.718164810824</v>
      </c>
      <c r="I279" s="517">
        <f t="shared" si="215"/>
        <v>85021.860146101229</v>
      </c>
      <c r="J279" s="517">
        <f t="shared" si="215"/>
        <v>87556.798899525937</v>
      </c>
      <c r="K279" s="517">
        <f t="shared" si="215"/>
        <v>96987.299950318789</v>
      </c>
      <c r="L279" s="517">
        <f t="shared" si="215"/>
        <v>97190.532450194514</v>
      </c>
      <c r="M279" s="517">
        <f t="shared" si="215"/>
        <v>96110.332211567802</v>
      </c>
      <c r="N279" s="517">
        <f t="shared" si="215"/>
        <v>93003.001019975578</v>
      </c>
      <c r="O279" s="517">
        <f t="shared" si="215"/>
        <v>92861.927775302203</v>
      </c>
      <c r="P279" s="511">
        <f t="shared" si="175"/>
        <v>1.1457595974206924E-6</v>
      </c>
      <c r="Q279" s="530">
        <v>72003</v>
      </c>
      <c r="R279" s="480"/>
      <c r="S279" s="479"/>
      <c r="U279" s="513"/>
    </row>
    <row r="280" spans="1:21" s="492" customFormat="1" x14ac:dyDescent="0.15">
      <c r="A280" s="579"/>
      <c r="B280" s="528" t="s">
        <v>236</v>
      </c>
      <c r="C280" s="517">
        <f>ISR!C22</f>
        <v>3362656.45</v>
      </c>
      <c r="D280" s="517">
        <f>ISR!D22</f>
        <v>295901.65188277786</v>
      </c>
      <c r="E280" s="517">
        <f>ISR!E22</f>
        <v>310040.4314937265</v>
      </c>
      <c r="F280" s="517">
        <f>ISR!F22</f>
        <v>271511.26234119409</v>
      </c>
      <c r="G280" s="517">
        <f>ISR!G22</f>
        <v>289343.90456780413</v>
      </c>
      <c r="H280" s="517">
        <f>ISR!H22</f>
        <v>278546.26250348199</v>
      </c>
      <c r="I280" s="517">
        <f>ISR!I22</f>
        <v>274205.37909702287</v>
      </c>
      <c r="J280" s="517">
        <f>ISR!J22</f>
        <v>265181.5539293742</v>
      </c>
      <c r="K280" s="517">
        <f>ISR!K22</f>
        <v>278917.6401457609</v>
      </c>
      <c r="L280" s="517">
        <f>ISR!L22</f>
        <v>264764.56850646477</v>
      </c>
      <c r="M280" s="517">
        <f>ISR!M22</f>
        <v>276747.01164739073</v>
      </c>
      <c r="N280" s="517">
        <f>ISR!N22</f>
        <v>272651.76748333179</v>
      </c>
      <c r="O280" s="517">
        <f>ISR!O22</f>
        <v>284845.01640167006</v>
      </c>
      <c r="P280" s="511">
        <f t="shared" si="175"/>
        <v>0</v>
      </c>
      <c r="Q280" s="530">
        <v>0</v>
      </c>
      <c r="R280" s="480"/>
      <c r="S280" s="479"/>
      <c r="U280" s="513"/>
    </row>
    <row r="281" spans="1:21" s="492" customFormat="1" ht="18" x14ac:dyDescent="0.15">
      <c r="A281" s="579"/>
      <c r="B281" s="528" t="s">
        <v>298</v>
      </c>
      <c r="C281" s="517">
        <f>FOFIR!I31</f>
        <v>2216032.3208341398</v>
      </c>
      <c r="D281" s="517">
        <f t="shared" ref="D281:O281" si="216">$C281*D$23%</f>
        <v>302965.9569796492</v>
      </c>
      <c r="E281" s="517">
        <f t="shared" si="216"/>
        <v>77080.845030812096</v>
      </c>
      <c r="F281" s="517">
        <f t="shared" si="216"/>
        <v>77080.845030812096</v>
      </c>
      <c r="G281" s="517">
        <f t="shared" si="216"/>
        <v>434992.98505508096</v>
      </c>
      <c r="H281" s="517">
        <f t="shared" si="216"/>
        <v>77080.845030812096</v>
      </c>
      <c r="I281" s="517">
        <f t="shared" si="216"/>
        <v>77080.845030812096</v>
      </c>
      <c r="J281" s="517">
        <f t="shared" si="216"/>
        <v>541061.18222196389</v>
      </c>
      <c r="K281" s="517">
        <f t="shared" si="216"/>
        <v>77080.845030812096</v>
      </c>
      <c r="L281" s="517">
        <f t="shared" si="216"/>
        <v>77080.845030812096</v>
      </c>
      <c r="M281" s="517">
        <f t="shared" si="216"/>
        <v>320365.43633981323</v>
      </c>
      <c r="N281" s="517">
        <f t="shared" si="216"/>
        <v>77080.845030812096</v>
      </c>
      <c r="O281" s="517">
        <f t="shared" si="216"/>
        <v>77080.845030812096</v>
      </c>
      <c r="P281" s="511">
        <f t="shared" si="175"/>
        <v>-8.8641827460378408E-6</v>
      </c>
      <c r="Q281" s="530">
        <v>84816</v>
      </c>
      <c r="R281" s="480"/>
      <c r="S281" s="479"/>
      <c r="U281" s="513"/>
    </row>
    <row r="282" spans="1:21" s="492" customFormat="1" ht="27" x14ac:dyDescent="0.15">
      <c r="A282" s="579"/>
      <c r="B282" s="528" t="s">
        <v>407</v>
      </c>
      <c r="C282" s="517">
        <f>FCISAN!I31</f>
        <v>140676.49909907239</v>
      </c>
      <c r="D282" s="517">
        <f t="shared" ref="D282:O282" si="217">$C282*D$24%</f>
        <v>11723.041591542475</v>
      </c>
      <c r="E282" s="517">
        <f t="shared" si="217"/>
        <v>11723.041591542475</v>
      </c>
      <c r="F282" s="517">
        <f t="shared" si="217"/>
        <v>11723.041591542475</v>
      </c>
      <c r="G282" s="517">
        <f t="shared" si="217"/>
        <v>11723.041591542475</v>
      </c>
      <c r="H282" s="517">
        <f t="shared" si="217"/>
        <v>11723.041591542475</v>
      </c>
      <c r="I282" s="517">
        <f t="shared" si="217"/>
        <v>11723.041591542475</v>
      </c>
      <c r="J282" s="517">
        <f t="shared" si="217"/>
        <v>11723.041591542475</v>
      </c>
      <c r="K282" s="517">
        <f t="shared" si="217"/>
        <v>11723.041591542475</v>
      </c>
      <c r="L282" s="517">
        <f t="shared" si="217"/>
        <v>11723.041591542475</v>
      </c>
      <c r="M282" s="517">
        <f t="shared" si="217"/>
        <v>11723.041591542475</v>
      </c>
      <c r="N282" s="517">
        <f t="shared" si="217"/>
        <v>11723.041591542475</v>
      </c>
      <c r="O282" s="517">
        <f t="shared" si="217"/>
        <v>11723.041591542475</v>
      </c>
      <c r="P282" s="511">
        <f t="shared" si="175"/>
        <v>5.6264980230480433E-7</v>
      </c>
      <c r="Q282" s="530">
        <v>10086</v>
      </c>
      <c r="R282" s="480"/>
      <c r="S282" s="479"/>
      <c r="U282" s="513"/>
    </row>
    <row r="283" spans="1:21" s="492" customFormat="1" ht="27" x14ac:dyDescent="0.15">
      <c r="A283" s="579"/>
      <c r="B283" s="528" t="s">
        <v>242</v>
      </c>
      <c r="C283" s="517">
        <f>ISAN!I31</f>
        <v>702695.61089805211</v>
      </c>
      <c r="D283" s="517">
        <f t="shared" ref="D283:O283" si="218">$C283*D$25%</f>
        <v>67622.933628703264</v>
      </c>
      <c r="E283" s="517">
        <f t="shared" si="218"/>
        <v>75527.755312446287</v>
      </c>
      <c r="F283" s="517">
        <f t="shared" si="218"/>
        <v>58616.206642513833</v>
      </c>
      <c r="G283" s="517">
        <f t="shared" si="218"/>
        <v>54401.886068369531</v>
      </c>
      <c r="H283" s="517">
        <f t="shared" si="218"/>
        <v>58167.643777538273</v>
      </c>
      <c r="I283" s="517">
        <f t="shared" si="218"/>
        <v>50520.368521644268</v>
      </c>
      <c r="J283" s="517">
        <f t="shared" si="218"/>
        <v>54731.073320009731</v>
      </c>
      <c r="K283" s="517">
        <f t="shared" si="218"/>
        <v>56442.123280307918</v>
      </c>
      <c r="L283" s="517">
        <f t="shared" si="218"/>
        <v>55461.796050050092</v>
      </c>
      <c r="M283" s="517">
        <f t="shared" si="218"/>
        <v>56821.955181908939</v>
      </c>
      <c r="N283" s="517">
        <f t="shared" si="218"/>
        <v>55016.850447757301</v>
      </c>
      <c r="O283" s="517">
        <f t="shared" si="218"/>
        <v>59365.01865837034</v>
      </c>
      <c r="P283" s="511">
        <f t="shared" si="175"/>
        <v>8.4323182818479836E-6</v>
      </c>
      <c r="Q283" s="530">
        <v>43342</v>
      </c>
      <c r="R283" s="480"/>
      <c r="S283" s="479"/>
      <c r="U283" s="513"/>
    </row>
    <row r="284" spans="1:21" s="492" customFormat="1" ht="18" x14ac:dyDescent="0.15">
      <c r="A284" s="579"/>
      <c r="B284" s="528" t="s">
        <v>403</v>
      </c>
      <c r="C284" s="517">
        <f>LOT!I31</f>
        <v>34015.382939407777</v>
      </c>
      <c r="D284" s="517">
        <f t="shared" ref="D284:O284" si="219">$C284*D$26%</f>
        <v>2571.9163340937084</v>
      </c>
      <c r="E284" s="517">
        <f t="shared" si="219"/>
        <v>2535.4611318911598</v>
      </c>
      <c r="F284" s="517">
        <f t="shared" si="219"/>
        <v>2492.0470716609429</v>
      </c>
      <c r="G284" s="517">
        <f t="shared" si="219"/>
        <v>2741.8082450076017</v>
      </c>
      <c r="H284" s="517">
        <f t="shared" si="219"/>
        <v>2243.2982060430536</v>
      </c>
      <c r="I284" s="517">
        <f t="shared" si="219"/>
        <v>3044.2700382137782</v>
      </c>
      <c r="J284" s="517">
        <f t="shared" si="219"/>
        <v>6986.5964644375672</v>
      </c>
      <c r="K284" s="517">
        <f t="shared" si="219"/>
        <v>2543.3716804323826</v>
      </c>
      <c r="L284" s="517">
        <f t="shared" si="219"/>
        <v>3086.0656183930155</v>
      </c>
      <c r="M284" s="517">
        <f t="shared" si="219"/>
        <v>1910.6975260038544</v>
      </c>
      <c r="N284" s="517">
        <f t="shared" si="219"/>
        <v>1929.9253114112639</v>
      </c>
      <c r="O284" s="517">
        <f t="shared" si="219"/>
        <v>1929.9253114112639</v>
      </c>
      <c r="P284" s="511">
        <f t="shared" si="175"/>
        <v>4.081875886186026E-7</v>
      </c>
      <c r="Q284" s="530">
        <v>2117</v>
      </c>
      <c r="R284" s="480"/>
      <c r="S284" s="479"/>
      <c r="U284" s="513"/>
    </row>
    <row r="285" spans="1:21" s="492" customFormat="1" ht="45" x14ac:dyDescent="0.15">
      <c r="A285" s="579"/>
      <c r="B285" s="518" t="s">
        <v>301</v>
      </c>
      <c r="C285" s="517">
        <f>'ENAJENAC DE INMUE'!I31</f>
        <v>133752.52330814477</v>
      </c>
      <c r="D285" s="517">
        <f t="shared" ref="D285:O285" si="220">$C285*D$27%</f>
        <v>5776.1987061593254</v>
      </c>
      <c r="E285" s="517">
        <f t="shared" si="220"/>
        <v>5861.2763259048588</v>
      </c>
      <c r="F285" s="517">
        <f t="shared" si="220"/>
        <v>5782.2584821975279</v>
      </c>
      <c r="G285" s="517">
        <f t="shared" si="220"/>
        <v>5748.3876226343473</v>
      </c>
      <c r="H285" s="517">
        <f t="shared" si="220"/>
        <v>7974.1114355942973</v>
      </c>
      <c r="I285" s="517">
        <f t="shared" si="220"/>
        <v>5739.5867066006722</v>
      </c>
      <c r="J285" s="517">
        <f t="shared" si="220"/>
        <v>6596.3864882664166</v>
      </c>
      <c r="K285" s="517">
        <f t="shared" si="220"/>
        <v>6589.5965807439197</v>
      </c>
      <c r="L285" s="517">
        <f t="shared" si="220"/>
        <v>6581.2488496910555</v>
      </c>
      <c r="M285" s="517">
        <f t="shared" si="220"/>
        <v>5747.4466343096328</v>
      </c>
      <c r="N285" s="517">
        <f t="shared" si="220"/>
        <v>23895.769482055461</v>
      </c>
      <c r="O285" s="517">
        <f t="shared" si="220"/>
        <v>47460.255993719744</v>
      </c>
      <c r="P285" s="511">
        <f t="shared" si="175"/>
        <v>2.6750058168545365E-7</v>
      </c>
      <c r="Q285" s="530">
        <v>30891</v>
      </c>
      <c r="R285" s="480"/>
      <c r="S285" s="479"/>
      <c r="U285" s="513"/>
    </row>
    <row r="286" spans="1:21" s="492" customFormat="1" ht="27" x14ac:dyDescent="0.15">
      <c r="A286" s="579"/>
      <c r="B286" s="518" t="s">
        <v>248</v>
      </c>
      <c r="C286" s="517">
        <f>'IMP BEBIDAS AL'!I31</f>
        <v>52277.554186610243</v>
      </c>
      <c r="D286" s="517">
        <f t="shared" ref="D286:O286" si="221">$C286*D$28%</f>
        <v>11887.424173260866</v>
      </c>
      <c r="E286" s="517">
        <f t="shared" si="221"/>
        <v>4088.8422224258647</v>
      </c>
      <c r="F286" s="517">
        <f t="shared" si="221"/>
        <v>4394.0868422989142</v>
      </c>
      <c r="G286" s="517">
        <f t="shared" si="221"/>
        <v>4362.5431558176178</v>
      </c>
      <c r="H286" s="517">
        <f t="shared" si="221"/>
        <v>2778.0885041111605</v>
      </c>
      <c r="I286" s="517">
        <f t="shared" si="221"/>
        <v>4546.346306017871</v>
      </c>
      <c r="J286" s="517">
        <f t="shared" si="221"/>
        <v>4520.7555952115999</v>
      </c>
      <c r="K286" s="517">
        <f t="shared" si="221"/>
        <v>4134.5608458393581</v>
      </c>
      <c r="L286" s="517">
        <f t="shared" si="221"/>
        <v>2998.4998697925271</v>
      </c>
      <c r="M286" s="517">
        <f t="shared" si="221"/>
        <v>2787.3712400624363</v>
      </c>
      <c r="N286" s="517">
        <f t="shared" si="221"/>
        <v>2807.0740768897108</v>
      </c>
      <c r="O286" s="517">
        <f t="shared" si="221"/>
        <v>2971.9613548823199</v>
      </c>
      <c r="P286" s="511">
        <f t="shared" si="175"/>
        <v>-8.6401996668428183E-12</v>
      </c>
      <c r="Q286" s="530">
        <v>1323</v>
      </c>
      <c r="R286" s="480"/>
      <c r="S286" s="479"/>
      <c r="U286" s="513"/>
    </row>
    <row r="287" spans="1:21" s="492" customFormat="1" ht="18" x14ac:dyDescent="0.15">
      <c r="A287" s="579"/>
      <c r="B287" s="518" t="s">
        <v>253</v>
      </c>
      <c r="C287" s="517">
        <f>'FOND GASO Y D'!Q32</f>
        <v>0</v>
      </c>
      <c r="D287" s="517">
        <f t="shared" ref="D287:O287" si="222">$C287*D$29%</f>
        <v>0</v>
      </c>
      <c r="E287" s="517">
        <f t="shared" si="222"/>
        <v>0</v>
      </c>
      <c r="F287" s="517">
        <f t="shared" si="222"/>
        <v>0</v>
      </c>
      <c r="G287" s="517">
        <f t="shared" si="222"/>
        <v>0</v>
      </c>
      <c r="H287" s="517">
        <f t="shared" si="222"/>
        <v>0</v>
      </c>
      <c r="I287" s="517">
        <f t="shared" si="222"/>
        <v>0</v>
      </c>
      <c r="J287" s="517">
        <f t="shared" si="222"/>
        <v>0</v>
      </c>
      <c r="K287" s="517">
        <f t="shared" si="222"/>
        <v>0</v>
      </c>
      <c r="L287" s="517">
        <f t="shared" si="222"/>
        <v>0</v>
      </c>
      <c r="M287" s="517">
        <f t="shared" si="222"/>
        <v>0</v>
      </c>
      <c r="N287" s="517">
        <f t="shared" si="222"/>
        <v>0</v>
      </c>
      <c r="O287" s="517">
        <f t="shared" si="222"/>
        <v>0</v>
      </c>
      <c r="P287" s="511">
        <f t="shared" si="175"/>
        <v>0</v>
      </c>
      <c r="Q287" s="530">
        <v>54007</v>
      </c>
      <c r="R287" s="480"/>
      <c r="S287" s="479"/>
      <c r="U287" s="513"/>
    </row>
    <row r="288" spans="1:21" s="492" customFormat="1" ht="18" x14ac:dyDescent="0.15">
      <c r="A288" s="579"/>
      <c r="B288" s="528" t="s">
        <v>408</v>
      </c>
      <c r="C288" s="519">
        <f>'FOND GASO Y D'!H32</f>
        <v>1749139.7617434817</v>
      </c>
      <c r="D288" s="517">
        <f t="shared" ref="D288:O288" si="223">$C288*D$30%</f>
        <v>136066.98596058102</v>
      </c>
      <c r="E288" s="517">
        <f t="shared" si="223"/>
        <v>149602.55432069956</v>
      </c>
      <c r="F288" s="517">
        <f t="shared" si="223"/>
        <v>145653.52234468635</v>
      </c>
      <c r="G288" s="517">
        <f t="shared" si="223"/>
        <v>135718.73738698362</v>
      </c>
      <c r="H288" s="517">
        <f t="shared" si="223"/>
        <v>149542.64965795042</v>
      </c>
      <c r="I288" s="517">
        <f t="shared" si="223"/>
        <v>144326.42615268347</v>
      </c>
      <c r="J288" s="517">
        <f t="shared" si="223"/>
        <v>147335.43172626596</v>
      </c>
      <c r="K288" s="517">
        <f t="shared" si="223"/>
        <v>147247.88056099572</v>
      </c>
      <c r="L288" s="517">
        <f t="shared" si="223"/>
        <v>153229.02657617116</v>
      </c>
      <c r="M288" s="517">
        <f t="shared" si="223"/>
        <v>151883.49938365369</v>
      </c>
      <c r="N288" s="517">
        <f t="shared" si="223"/>
        <v>141948.71442595098</v>
      </c>
      <c r="O288" s="517">
        <f t="shared" si="223"/>
        <v>146584.33324860892</v>
      </c>
      <c r="P288" s="511">
        <f t="shared" si="175"/>
        <v>-1.7491111066192389E-6</v>
      </c>
      <c r="Q288" s="530">
        <v>106897</v>
      </c>
      <c r="R288" s="480"/>
      <c r="S288" s="479"/>
      <c r="U288" s="513"/>
    </row>
    <row r="289" spans="1:21" s="492" customFormat="1" x14ac:dyDescent="0.15">
      <c r="A289" s="579"/>
      <c r="B289" s="520"/>
      <c r="C289" s="521"/>
      <c r="D289" s="522"/>
      <c r="E289" s="522"/>
      <c r="F289" s="522"/>
      <c r="G289" s="522"/>
      <c r="H289" s="522"/>
      <c r="I289" s="522"/>
      <c r="J289" s="522"/>
      <c r="K289" s="522"/>
      <c r="L289" s="522"/>
      <c r="M289" s="522"/>
      <c r="N289" s="522"/>
      <c r="O289" s="522"/>
      <c r="P289" s="511">
        <f t="shared" si="175"/>
        <v>0</v>
      </c>
      <c r="Q289" s="530">
        <v>0</v>
      </c>
      <c r="R289" s="480"/>
      <c r="S289" s="479"/>
      <c r="U289" s="513"/>
    </row>
    <row r="290" spans="1:21" s="492" customFormat="1" x14ac:dyDescent="0.15">
      <c r="A290" s="588"/>
      <c r="B290" s="523"/>
      <c r="C290" s="521"/>
      <c r="D290" s="522"/>
      <c r="E290" s="522"/>
      <c r="F290" s="522"/>
      <c r="G290" s="522"/>
      <c r="H290" s="522"/>
      <c r="I290" s="522"/>
      <c r="J290" s="522"/>
      <c r="K290" s="522"/>
      <c r="L290" s="522"/>
      <c r="M290" s="522"/>
      <c r="N290" s="522"/>
      <c r="O290" s="522"/>
      <c r="P290" s="511">
        <f t="shared" si="175"/>
        <v>0</v>
      </c>
      <c r="Q290" s="530">
        <v>0</v>
      </c>
      <c r="R290" s="480"/>
      <c r="S290" s="479"/>
      <c r="U290" s="513"/>
    </row>
    <row r="291" spans="1:21" s="492" customFormat="1" x14ac:dyDescent="0.15">
      <c r="A291" s="584">
        <v>18</v>
      </c>
      <c r="B291" s="509" t="s">
        <v>82</v>
      </c>
      <c r="C291" s="524">
        <f t="shared" ref="C291:O291" si="224">SUM(C292:C303)</f>
        <v>29282801.091804117</v>
      </c>
      <c r="D291" s="524">
        <f t="shared" si="224"/>
        <v>2286426.8472631336</v>
      </c>
      <c r="E291" s="524">
        <f t="shared" si="224"/>
        <v>3050696.607877004</v>
      </c>
      <c r="F291" s="524">
        <f t="shared" si="224"/>
        <v>2057609.2480551454</v>
      </c>
      <c r="G291" s="524">
        <f t="shared" si="224"/>
        <v>2588239.5324030151</v>
      </c>
      <c r="H291" s="524">
        <f t="shared" si="224"/>
        <v>2922868.3594451328</v>
      </c>
      <c r="I291" s="524">
        <f t="shared" si="224"/>
        <v>2865124.8216577838</v>
      </c>
      <c r="J291" s="524">
        <f t="shared" si="224"/>
        <v>2493096.9098740523</v>
      </c>
      <c r="K291" s="524">
        <f t="shared" si="224"/>
        <v>2432758.3178071445</v>
      </c>
      <c r="L291" s="524">
        <f t="shared" si="224"/>
        <v>2311093.165282391</v>
      </c>
      <c r="M291" s="524">
        <f t="shared" si="224"/>
        <v>1751241.5960972749</v>
      </c>
      <c r="N291" s="524">
        <f t="shared" si="224"/>
        <v>2248509.2298798496</v>
      </c>
      <c r="O291" s="524">
        <f t="shared" si="224"/>
        <v>2275136.4560806658</v>
      </c>
      <c r="P291" s="511">
        <f t="shared" si="175"/>
        <v>8.1522390246391296E-5</v>
      </c>
      <c r="Q291" s="530">
        <v>1703939</v>
      </c>
      <c r="R291" s="480"/>
      <c r="S291" s="479"/>
      <c r="T291" s="512"/>
      <c r="U291" s="513"/>
    </row>
    <row r="292" spans="1:21" s="492" customFormat="1" x14ac:dyDescent="0.15">
      <c r="A292" s="579"/>
      <c r="B292" s="527" t="s">
        <v>294</v>
      </c>
      <c r="C292" s="515">
        <f>'FG1'!I33</f>
        <v>19319326.768324126</v>
      </c>
      <c r="D292" s="515">
        <f t="shared" ref="D292:O292" si="225">$C292*D$19%</f>
        <v>1461211.4570259561</v>
      </c>
      <c r="E292" s="515">
        <f t="shared" si="225"/>
        <v>2093550.2883957983</v>
      </c>
      <c r="F292" s="515">
        <f t="shared" si="225"/>
        <v>1353262.0243380372</v>
      </c>
      <c r="G292" s="515">
        <f t="shared" si="225"/>
        <v>1662345.2844808705</v>
      </c>
      <c r="H292" s="515">
        <f t="shared" si="225"/>
        <v>2030086.8194778694</v>
      </c>
      <c r="I292" s="515">
        <f t="shared" si="225"/>
        <v>1990201.5730318401</v>
      </c>
      <c r="J292" s="515">
        <f t="shared" si="225"/>
        <v>1542811.4127117936</v>
      </c>
      <c r="K292" s="515">
        <f t="shared" si="225"/>
        <v>1638056.457391938</v>
      </c>
      <c r="L292" s="515">
        <f t="shared" si="225"/>
        <v>1539366.7783331864</v>
      </c>
      <c r="M292" s="515">
        <f t="shared" si="225"/>
        <v>1020481.8713096807</v>
      </c>
      <c r="N292" s="515">
        <f t="shared" si="225"/>
        <v>1489341.276602777</v>
      </c>
      <c r="O292" s="515">
        <f t="shared" si="225"/>
        <v>1498611.5252050597</v>
      </c>
      <c r="P292" s="511">
        <f t="shared" ref="P292:P355" si="226">C292-D292-E292-F292-G292-H292-I292-J292-K292-L292-M292-N292-O292</f>
        <v>1.9319355487823486E-5</v>
      </c>
      <c r="Q292" s="530">
        <v>1162644</v>
      </c>
      <c r="R292" s="480"/>
      <c r="S292" s="479"/>
      <c r="U292" s="513"/>
    </row>
    <row r="293" spans="1:21" s="492" customFormat="1" x14ac:dyDescent="0.15">
      <c r="A293" s="579"/>
      <c r="B293" s="528" t="s">
        <v>296</v>
      </c>
      <c r="C293" s="517">
        <f>FFM!J33</f>
        <v>5192955.7411370613</v>
      </c>
      <c r="D293" s="517">
        <f t="shared" ref="D293:O293" si="227">$C293*D$20%</f>
        <v>392707.61871423438</v>
      </c>
      <c r="E293" s="517">
        <f t="shared" si="227"/>
        <v>563010.17880082724</v>
      </c>
      <c r="F293" s="517">
        <f t="shared" si="227"/>
        <v>363634.49727848184</v>
      </c>
      <c r="G293" s="517">
        <f t="shared" si="227"/>
        <v>446877.32157289388</v>
      </c>
      <c r="H293" s="517">
        <f t="shared" si="227"/>
        <v>545918.09179904161</v>
      </c>
      <c r="I293" s="517">
        <f t="shared" si="227"/>
        <v>535176.12840657099</v>
      </c>
      <c r="J293" s="517">
        <f t="shared" si="227"/>
        <v>414647.89951049385</v>
      </c>
      <c r="K293" s="517">
        <f t="shared" si="227"/>
        <v>440299.4556550518</v>
      </c>
      <c r="L293" s="517">
        <f t="shared" si="227"/>
        <v>413720.18255791254</v>
      </c>
      <c r="M293" s="517">
        <f t="shared" si="227"/>
        <v>273973.22426954954</v>
      </c>
      <c r="N293" s="517">
        <f t="shared" si="227"/>
        <v>400247.23131962784</v>
      </c>
      <c r="O293" s="517">
        <f t="shared" si="227"/>
        <v>402743.91119006032</v>
      </c>
      <c r="P293" s="511">
        <f t="shared" si="226"/>
        <v>6.2315026298165321E-5</v>
      </c>
      <c r="Q293" s="530">
        <v>355966</v>
      </c>
      <c r="R293" s="480"/>
      <c r="S293" s="479"/>
      <c r="U293" s="513"/>
    </row>
    <row r="294" spans="1:21" s="492" customFormat="1" ht="18" x14ac:dyDescent="0.15">
      <c r="A294" s="579"/>
      <c r="B294" s="528" t="s">
        <v>297</v>
      </c>
      <c r="C294" s="517">
        <f>IEPS!I32</f>
        <v>467218.6104001404</v>
      </c>
      <c r="D294" s="517">
        <f t="shared" ref="D294:O294" si="228">$C294*D$21%</f>
        <v>32817.35152780042</v>
      </c>
      <c r="E294" s="517">
        <f t="shared" si="228"/>
        <v>75010.839541795678</v>
      </c>
      <c r="F294" s="517">
        <f t="shared" si="228"/>
        <v>31156.488371451465</v>
      </c>
      <c r="G294" s="517">
        <f t="shared" si="228"/>
        <v>30279.743800382341</v>
      </c>
      <c r="H294" s="517">
        <f t="shared" si="228"/>
        <v>33430.502923944056</v>
      </c>
      <c r="I294" s="517">
        <f t="shared" si="228"/>
        <v>34668.097563067742</v>
      </c>
      <c r="J294" s="517">
        <f t="shared" si="228"/>
        <v>35701.731782186376</v>
      </c>
      <c r="K294" s="517">
        <f t="shared" si="228"/>
        <v>39547.066734111577</v>
      </c>
      <c r="L294" s="517">
        <f t="shared" si="228"/>
        <v>39629.935823561871</v>
      </c>
      <c r="M294" s="517">
        <f t="shared" si="228"/>
        <v>39189.478661180241</v>
      </c>
      <c r="N294" s="517">
        <f t="shared" si="228"/>
        <v>37922.448502986001</v>
      </c>
      <c r="O294" s="517">
        <f t="shared" si="228"/>
        <v>37864.925167205409</v>
      </c>
      <c r="P294" s="511">
        <f t="shared" si="226"/>
        <v>4.6725472202524543E-7</v>
      </c>
      <c r="Q294" s="530">
        <v>30027</v>
      </c>
      <c r="R294" s="480"/>
      <c r="S294" s="479"/>
      <c r="U294" s="513"/>
    </row>
    <row r="295" spans="1:21" s="492" customFormat="1" x14ac:dyDescent="0.15">
      <c r="A295" s="579"/>
      <c r="B295" s="528" t="s">
        <v>236</v>
      </c>
      <c r="C295" s="517">
        <f>ISR!C23</f>
        <v>2060067.98</v>
      </c>
      <c r="D295" s="517">
        <f>ISR!D23</f>
        <v>165069.64488844443</v>
      </c>
      <c r="E295" s="517">
        <f>ISR!E23</f>
        <v>169536.03308452116</v>
      </c>
      <c r="F295" s="517">
        <f>ISR!F23</f>
        <v>168833.71741093363</v>
      </c>
      <c r="G295" s="517">
        <f>ISR!G23</f>
        <v>168863.42260558694</v>
      </c>
      <c r="H295" s="517">
        <f>ISR!H23</f>
        <v>170745.45886683167</v>
      </c>
      <c r="I295" s="517">
        <f>ISR!I23</f>
        <v>168075.17404746686</v>
      </c>
      <c r="J295" s="517">
        <f>ISR!J23</f>
        <v>168519.69106745656</v>
      </c>
      <c r="K295" s="517">
        <f>ISR!K23</f>
        <v>173949.16411018372</v>
      </c>
      <c r="L295" s="517">
        <f>ISR!L23</f>
        <v>175017.06585796777</v>
      </c>
      <c r="M295" s="517">
        <f>ISR!M23</f>
        <v>176084.96760575165</v>
      </c>
      <c r="N295" s="517">
        <f>ISR!N23</f>
        <v>177152.86935353576</v>
      </c>
      <c r="O295" s="517">
        <f>ISR!O23</f>
        <v>178220.77110131981</v>
      </c>
      <c r="P295" s="511">
        <f t="shared" si="226"/>
        <v>2.3283064365386963E-10</v>
      </c>
      <c r="Q295" s="530">
        <v>0</v>
      </c>
      <c r="R295" s="480"/>
      <c r="S295" s="479"/>
      <c r="U295" s="513"/>
    </row>
    <row r="296" spans="1:21" s="492" customFormat="1" ht="18" x14ac:dyDescent="0.15">
      <c r="A296" s="579"/>
      <c r="B296" s="528" t="s">
        <v>298</v>
      </c>
      <c r="C296" s="517">
        <f>FOFIR!I32</f>
        <v>903598.49301782565</v>
      </c>
      <c r="D296" s="517">
        <f t="shared" ref="D296:O296" si="229">$C296*D$23%</f>
        <v>123535.91578459839</v>
      </c>
      <c r="E296" s="517">
        <f t="shared" si="229"/>
        <v>31430.108106079093</v>
      </c>
      <c r="F296" s="517">
        <f t="shared" si="229"/>
        <v>31430.108106079093</v>
      </c>
      <c r="G296" s="517">
        <f t="shared" si="229"/>
        <v>177370.61056092576</v>
      </c>
      <c r="H296" s="517">
        <f t="shared" si="229"/>
        <v>31430.108106079093</v>
      </c>
      <c r="I296" s="517">
        <f t="shared" si="229"/>
        <v>31430.108106079093</v>
      </c>
      <c r="J296" s="517">
        <f t="shared" si="229"/>
        <v>220620.4594986148</v>
      </c>
      <c r="K296" s="517">
        <f t="shared" si="229"/>
        <v>31430.108106079093</v>
      </c>
      <c r="L296" s="517">
        <f t="shared" si="229"/>
        <v>31430.108106079093</v>
      </c>
      <c r="M296" s="517">
        <f t="shared" si="229"/>
        <v>130630.64232866836</v>
      </c>
      <c r="N296" s="517">
        <f t="shared" si="229"/>
        <v>31430.108106079093</v>
      </c>
      <c r="O296" s="517">
        <f t="shared" si="229"/>
        <v>31430.108106079093</v>
      </c>
      <c r="P296" s="511">
        <f t="shared" si="226"/>
        <v>-3.6144410842098296E-6</v>
      </c>
      <c r="Q296" s="530">
        <v>35367</v>
      </c>
      <c r="R296" s="480"/>
      <c r="S296" s="479"/>
      <c r="U296" s="513"/>
    </row>
    <row r="297" spans="1:21" s="492" customFormat="1" ht="27" x14ac:dyDescent="0.15">
      <c r="A297" s="579"/>
      <c r="B297" s="528" t="s">
        <v>407</v>
      </c>
      <c r="C297" s="517">
        <f>FCISAN!I32</f>
        <v>57361.560747046213</v>
      </c>
      <c r="D297" s="517">
        <f t="shared" ref="D297:O297" si="230">$C297*D$24%</f>
        <v>4780.1300622347317</v>
      </c>
      <c r="E297" s="517">
        <f t="shared" si="230"/>
        <v>4780.1300622347317</v>
      </c>
      <c r="F297" s="517">
        <f t="shared" si="230"/>
        <v>4780.1300622347317</v>
      </c>
      <c r="G297" s="517">
        <f t="shared" si="230"/>
        <v>4780.1300622347317</v>
      </c>
      <c r="H297" s="517">
        <f t="shared" si="230"/>
        <v>4780.1300622347317</v>
      </c>
      <c r="I297" s="517">
        <f t="shared" si="230"/>
        <v>4780.1300622347317</v>
      </c>
      <c r="J297" s="517">
        <f t="shared" si="230"/>
        <v>4780.1300622347317</v>
      </c>
      <c r="K297" s="517">
        <f t="shared" si="230"/>
        <v>4780.1300622347317</v>
      </c>
      <c r="L297" s="517">
        <f t="shared" si="230"/>
        <v>4780.1300622347317</v>
      </c>
      <c r="M297" s="517">
        <f t="shared" si="230"/>
        <v>4780.1300622347317</v>
      </c>
      <c r="N297" s="517">
        <f t="shared" si="230"/>
        <v>4780.1300622347317</v>
      </c>
      <c r="O297" s="517">
        <f t="shared" si="230"/>
        <v>4780.1300622347317</v>
      </c>
      <c r="P297" s="511">
        <f t="shared" si="226"/>
        <v>2.294182195328176E-7</v>
      </c>
      <c r="Q297" s="530">
        <v>4204</v>
      </c>
      <c r="R297" s="480"/>
      <c r="S297" s="479"/>
      <c r="U297" s="513"/>
    </row>
    <row r="298" spans="1:21" s="492" customFormat="1" ht="27" x14ac:dyDescent="0.15">
      <c r="A298" s="579"/>
      <c r="B298" s="528" t="s">
        <v>242</v>
      </c>
      <c r="C298" s="517">
        <f>ISAN!I32</f>
        <v>286527.72303371283</v>
      </c>
      <c r="D298" s="517">
        <f t="shared" ref="D298:O298" si="231">$C298*D$25%</f>
        <v>27573.596443458224</v>
      </c>
      <c r="E298" s="517">
        <f t="shared" si="231"/>
        <v>30796.827843944389</v>
      </c>
      <c r="F298" s="517">
        <f t="shared" si="231"/>
        <v>23901.057530000344</v>
      </c>
      <c r="G298" s="517">
        <f t="shared" si="231"/>
        <v>22182.646799213977</v>
      </c>
      <c r="H298" s="517">
        <f t="shared" si="231"/>
        <v>23718.153731619324</v>
      </c>
      <c r="I298" s="517">
        <f t="shared" si="231"/>
        <v>20599.938202020327</v>
      </c>
      <c r="J298" s="517">
        <f t="shared" si="231"/>
        <v>22316.874581772128</v>
      </c>
      <c r="K298" s="517">
        <f t="shared" si="231"/>
        <v>23014.56393903822</v>
      </c>
      <c r="L298" s="517">
        <f t="shared" si="231"/>
        <v>22614.830505731672</v>
      </c>
      <c r="M298" s="517">
        <f t="shared" si="231"/>
        <v>23169.44233618975</v>
      </c>
      <c r="N298" s="517">
        <f t="shared" si="231"/>
        <v>22433.40166467788</v>
      </c>
      <c r="O298" s="517">
        <f t="shared" si="231"/>
        <v>24206.389452608266</v>
      </c>
      <c r="P298" s="511">
        <f t="shared" si="226"/>
        <v>3.4382865123916417E-6</v>
      </c>
      <c r="Q298" s="530">
        <v>18074</v>
      </c>
      <c r="R298" s="480"/>
      <c r="S298" s="479"/>
      <c r="U298" s="513"/>
    </row>
    <row r="299" spans="1:21" s="492" customFormat="1" ht="18" x14ac:dyDescent="0.15">
      <c r="A299" s="579"/>
      <c r="B299" s="528" t="s">
        <v>403</v>
      </c>
      <c r="C299" s="517">
        <f>LOT!I32</f>
        <v>13869.946062837047</v>
      </c>
      <c r="D299" s="517">
        <f t="shared" ref="D299:O299" si="232">$C299*D$26%</f>
        <v>1048.7120164295407</v>
      </c>
      <c r="E299" s="517">
        <f t="shared" si="232"/>
        <v>1033.8472216053913</v>
      </c>
      <c r="F299" s="517">
        <f t="shared" si="232"/>
        <v>1016.1449168912421</v>
      </c>
      <c r="G299" s="517">
        <f t="shared" si="232"/>
        <v>1117.9863105065908</v>
      </c>
      <c r="H299" s="517">
        <f t="shared" si="232"/>
        <v>914.71629692074771</v>
      </c>
      <c r="I299" s="517">
        <f t="shared" si="232"/>
        <v>1241.3166509384921</v>
      </c>
      <c r="J299" s="517">
        <f t="shared" si="232"/>
        <v>2848.8203792141171</v>
      </c>
      <c r="K299" s="517">
        <f t="shared" si="232"/>
        <v>1037.0727881612538</v>
      </c>
      <c r="L299" s="517">
        <f t="shared" si="232"/>
        <v>1258.3590121485258</v>
      </c>
      <c r="M299" s="517">
        <f t="shared" si="232"/>
        <v>779.09667150526707</v>
      </c>
      <c r="N299" s="517">
        <f t="shared" si="232"/>
        <v>786.93689917471988</v>
      </c>
      <c r="O299" s="517">
        <f t="shared" si="232"/>
        <v>786.93689917471988</v>
      </c>
      <c r="P299" s="511">
        <f t="shared" si="226"/>
        <v>1.6643912204017397E-7</v>
      </c>
      <c r="Q299" s="530">
        <v>882</v>
      </c>
      <c r="R299" s="480"/>
      <c r="S299" s="479"/>
      <c r="U299" s="513"/>
    </row>
    <row r="300" spans="1:21" s="492" customFormat="1" ht="45" x14ac:dyDescent="0.15">
      <c r="A300" s="579"/>
      <c r="B300" s="518" t="s">
        <v>301</v>
      </c>
      <c r="C300" s="517">
        <f>'ENAJENAC DE INMUE'!I32</f>
        <v>54538.274267172543</v>
      </c>
      <c r="D300" s="517">
        <f t="shared" ref="D300:O300" si="233">$C300*D$27%</f>
        <v>2355.274513456759</v>
      </c>
      <c r="E300" s="517">
        <f t="shared" si="233"/>
        <v>2389.9653472811819</v>
      </c>
      <c r="F300" s="517">
        <f t="shared" si="233"/>
        <v>2357.7454180751915</v>
      </c>
      <c r="G300" s="517">
        <f t="shared" si="233"/>
        <v>2343.9344021568913</v>
      </c>
      <c r="H300" s="517">
        <f t="shared" si="233"/>
        <v>3251.4846505699993</v>
      </c>
      <c r="I300" s="517">
        <f t="shared" si="233"/>
        <v>2340.3457837101114</v>
      </c>
      <c r="J300" s="517">
        <f t="shared" si="233"/>
        <v>2689.7102691702112</v>
      </c>
      <c r="K300" s="517">
        <f t="shared" si="233"/>
        <v>2686.9416497112902</v>
      </c>
      <c r="L300" s="517">
        <f t="shared" si="233"/>
        <v>2683.5378197542223</v>
      </c>
      <c r="M300" s="517">
        <f t="shared" si="233"/>
        <v>2343.5507093631691</v>
      </c>
      <c r="N300" s="517">
        <f t="shared" si="233"/>
        <v>9743.6220087977417</v>
      </c>
      <c r="O300" s="517">
        <f t="shared" si="233"/>
        <v>19352.161695016697</v>
      </c>
      <c r="P300" s="511">
        <f t="shared" si="226"/>
        <v>1.0908479453064501E-7</v>
      </c>
      <c r="Q300" s="530">
        <v>12882</v>
      </c>
      <c r="R300" s="480"/>
      <c r="S300" s="479"/>
      <c r="U300" s="513"/>
    </row>
    <row r="301" spans="1:21" s="492" customFormat="1" ht="27" x14ac:dyDescent="0.15">
      <c r="A301" s="579"/>
      <c r="B301" s="518" t="s">
        <v>248</v>
      </c>
      <c r="C301" s="517">
        <f>'IMP BEBIDAS AL'!I32</f>
        <v>21316.439628415639</v>
      </c>
      <c r="D301" s="517">
        <f t="shared" ref="D301:O301" si="234">$C301*D$28%</f>
        <v>4847.1578992038267</v>
      </c>
      <c r="E301" s="517">
        <f t="shared" si="234"/>
        <v>1667.246292229597</v>
      </c>
      <c r="F301" s="517">
        <f t="shared" si="234"/>
        <v>1791.7113444429442</v>
      </c>
      <c r="G301" s="517">
        <f t="shared" si="234"/>
        <v>1778.8492452304217</v>
      </c>
      <c r="H301" s="517">
        <f t="shared" si="234"/>
        <v>1132.7797713889361</v>
      </c>
      <c r="I301" s="517">
        <f t="shared" si="234"/>
        <v>1853.7959181518534</v>
      </c>
      <c r="J301" s="517">
        <f t="shared" si="234"/>
        <v>1843.3611751643966</v>
      </c>
      <c r="K301" s="517">
        <f t="shared" si="234"/>
        <v>1685.8882943479289</v>
      </c>
      <c r="L301" s="517">
        <f t="shared" si="234"/>
        <v>1222.6536310800782</v>
      </c>
      <c r="M301" s="517">
        <f t="shared" si="234"/>
        <v>1136.564854367102</v>
      </c>
      <c r="N301" s="517">
        <f t="shared" si="234"/>
        <v>1144.5987866784324</v>
      </c>
      <c r="O301" s="517">
        <f t="shared" si="234"/>
        <v>1211.8324161301232</v>
      </c>
      <c r="P301" s="511">
        <f t="shared" si="226"/>
        <v>0</v>
      </c>
      <c r="Q301" s="530">
        <v>550</v>
      </c>
      <c r="R301" s="480"/>
      <c r="S301" s="479"/>
      <c r="U301" s="513"/>
    </row>
    <row r="302" spans="1:21" s="492" customFormat="1" ht="18" x14ac:dyDescent="0.15">
      <c r="A302" s="579"/>
      <c r="B302" s="518" t="s">
        <v>253</v>
      </c>
      <c r="C302" s="517">
        <f>'FOND GASO Y D'!Q33</f>
        <v>0</v>
      </c>
      <c r="D302" s="517">
        <f t="shared" ref="D302:O302" si="235">$C302*D$29%</f>
        <v>0</v>
      </c>
      <c r="E302" s="517">
        <f t="shared" si="235"/>
        <v>0</v>
      </c>
      <c r="F302" s="517">
        <f t="shared" si="235"/>
        <v>0</v>
      </c>
      <c r="G302" s="517">
        <f t="shared" si="235"/>
        <v>0</v>
      </c>
      <c r="H302" s="517">
        <f t="shared" si="235"/>
        <v>0</v>
      </c>
      <c r="I302" s="517">
        <f t="shared" si="235"/>
        <v>0</v>
      </c>
      <c r="J302" s="517">
        <f t="shared" si="235"/>
        <v>0</v>
      </c>
      <c r="K302" s="517">
        <f t="shared" si="235"/>
        <v>0</v>
      </c>
      <c r="L302" s="517">
        <f t="shared" si="235"/>
        <v>0</v>
      </c>
      <c r="M302" s="517">
        <f t="shared" si="235"/>
        <v>0</v>
      </c>
      <c r="N302" s="517">
        <f t="shared" si="235"/>
        <v>0</v>
      </c>
      <c r="O302" s="517">
        <f t="shared" si="235"/>
        <v>0</v>
      </c>
      <c r="P302" s="511">
        <f t="shared" si="226"/>
        <v>0</v>
      </c>
      <c r="Q302" s="530">
        <v>27973</v>
      </c>
      <c r="R302" s="480"/>
      <c r="S302" s="479"/>
      <c r="U302" s="513"/>
    </row>
    <row r="303" spans="1:21" s="492" customFormat="1" ht="18" x14ac:dyDescent="0.15">
      <c r="A303" s="579"/>
      <c r="B303" s="528" t="s">
        <v>408</v>
      </c>
      <c r="C303" s="519">
        <f>'FOND GASO Y D'!H33</f>
        <v>906019.555185779</v>
      </c>
      <c r="D303" s="517">
        <f t="shared" ref="D303:O303" si="236">$C303*D$30%</f>
        <v>70479.988387317135</v>
      </c>
      <c r="E303" s="517">
        <f t="shared" si="236"/>
        <v>77491.143180686806</v>
      </c>
      <c r="F303" s="517">
        <f t="shared" si="236"/>
        <v>75445.623278517538</v>
      </c>
      <c r="G303" s="517">
        <f t="shared" si="236"/>
        <v>70299.60256301325</v>
      </c>
      <c r="H303" s="517">
        <f t="shared" si="236"/>
        <v>77460.113758633408</v>
      </c>
      <c r="I303" s="517">
        <f t="shared" si="236"/>
        <v>74758.213885703386</v>
      </c>
      <c r="J303" s="517">
        <f t="shared" si="236"/>
        <v>76316.818835951228</v>
      </c>
      <c r="K303" s="517">
        <f t="shared" si="236"/>
        <v>76271.469076287045</v>
      </c>
      <c r="L303" s="517">
        <f t="shared" si="236"/>
        <v>79369.583572734686</v>
      </c>
      <c r="M303" s="517">
        <f t="shared" si="236"/>
        <v>78672.627288784046</v>
      </c>
      <c r="N303" s="517">
        <f t="shared" si="236"/>
        <v>73526.606573279758</v>
      </c>
      <c r="O303" s="517">
        <f t="shared" si="236"/>
        <v>75927.764785776744</v>
      </c>
      <c r="P303" s="511">
        <f t="shared" si="226"/>
        <v>-9.0585672296583652E-7</v>
      </c>
      <c r="Q303" s="530">
        <v>55370</v>
      </c>
      <c r="R303" s="480"/>
      <c r="S303" s="479"/>
      <c r="U303" s="513"/>
    </row>
    <row r="304" spans="1:21" s="492" customFormat="1" x14ac:dyDescent="0.15">
      <c r="A304" s="579"/>
      <c r="B304" s="520"/>
      <c r="C304" s="521"/>
      <c r="D304" s="522"/>
      <c r="E304" s="522"/>
      <c r="F304" s="522"/>
      <c r="G304" s="522"/>
      <c r="H304" s="522"/>
      <c r="I304" s="522"/>
      <c r="J304" s="522"/>
      <c r="K304" s="522"/>
      <c r="L304" s="522"/>
      <c r="M304" s="522"/>
      <c r="N304" s="522"/>
      <c r="O304" s="522"/>
      <c r="P304" s="511">
        <f t="shared" si="226"/>
        <v>0</v>
      </c>
      <c r="Q304" s="530">
        <v>0</v>
      </c>
      <c r="R304" s="480"/>
      <c r="S304" s="479"/>
      <c r="U304" s="513"/>
    </row>
    <row r="305" spans="1:21" s="492" customFormat="1" x14ac:dyDescent="0.15">
      <c r="A305" s="588"/>
      <c r="B305" s="523"/>
      <c r="C305" s="521"/>
      <c r="D305" s="521"/>
      <c r="E305" s="521"/>
      <c r="F305" s="521"/>
      <c r="G305" s="521"/>
      <c r="H305" s="521"/>
      <c r="I305" s="521"/>
      <c r="J305" s="521"/>
      <c r="K305" s="521"/>
      <c r="L305" s="521"/>
      <c r="M305" s="521"/>
      <c r="N305" s="521"/>
      <c r="O305" s="521"/>
      <c r="P305" s="511">
        <f t="shared" si="226"/>
        <v>0</v>
      </c>
      <c r="Q305" s="530">
        <v>0</v>
      </c>
      <c r="R305" s="480"/>
      <c r="S305" s="479"/>
      <c r="U305" s="513"/>
    </row>
    <row r="306" spans="1:21" s="492" customFormat="1" x14ac:dyDescent="0.15">
      <c r="A306" s="584">
        <v>19</v>
      </c>
      <c r="B306" s="509" t="s">
        <v>344</v>
      </c>
      <c r="C306" s="524">
        <f t="shared" ref="C306:O306" si="237">SUM(C307:C318)</f>
        <v>52043564.656463385</v>
      </c>
      <c r="D306" s="524">
        <f t="shared" si="237"/>
        <v>4148792.75731235</v>
      </c>
      <c r="E306" s="524">
        <f t="shared" si="237"/>
        <v>5454023.8500168538</v>
      </c>
      <c r="F306" s="524">
        <f t="shared" si="237"/>
        <v>3633042.0176532557</v>
      </c>
      <c r="G306" s="524">
        <f t="shared" si="237"/>
        <v>4608628.6680972269</v>
      </c>
      <c r="H306" s="524">
        <f t="shared" si="237"/>
        <v>5216814.7506091688</v>
      </c>
      <c r="I306" s="524">
        <f t="shared" si="237"/>
        <v>5116285.3548739478</v>
      </c>
      <c r="J306" s="524">
        <f t="shared" si="237"/>
        <v>4428728.4980007047</v>
      </c>
      <c r="K306" s="524">
        <f t="shared" si="237"/>
        <v>4313676.7219729703</v>
      </c>
      <c r="L306" s="524">
        <f t="shared" si="237"/>
        <v>4078088.9558302206</v>
      </c>
      <c r="M306" s="524">
        <f t="shared" si="237"/>
        <v>3050613.5201373473</v>
      </c>
      <c r="N306" s="524">
        <f t="shared" si="237"/>
        <v>3975263.6958896788</v>
      </c>
      <c r="O306" s="524">
        <f t="shared" si="237"/>
        <v>4019605.8659192962</v>
      </c>
      <c r="P306" s="511">
        <f t="shared" si="226"/>
        <v>1.5036435797810555E-4</v>
      </c>
      <c r="Q306" s="530">
        <v>3092247</v>
      </c>
      <c r="R306" s="480"/>
      <c r="S306" s="479"/>
      <c r="T306" s="512"/>
      <c r="U306" s="513"/>
    </row>
    <row r="307" spans="1:21" s="492" customFormat="1" x14ac:dyDescent="0.15">
      <c r="A307" s="579"/>
      <c r="B307" s="527" t="s">
        <v>294</v>
      </c>
      <c r="C307" s="515">
        <f>'FG1'!I34</f>
        <v>35534150.91795966</v>
      </c>
      <c r="D307" s="515">
        <f t="shared" ref="D307:O307" si="238">$C307*D$19%</f>
        <v>2687614.7942248485</v>
      </c>
      <c r="E307" s="515">
        <f t="shared" si="238"/>
        <v>3850679.3116708342</v>
      </c>
      <c r="F307" s="515">
        <f t="shared" si="238"/>
        <v>2489062.7702003908</v>
      </c>
      <c r="G307" s="515">
        <f t="shared" si="238"/>
        <v>3057561.4215166527</v>
      </c>
      <c r="H307" s="515">
        <f t="shared" si="238"/>
        <v>3733950.5814541886</v>
      </c>
      <c r="I307" s="515">
        <f t="shared" si="238"/>
        <v>3660589.4139761897</v>
      </c>
      <c r="J307" s="515">
        <f t="shared" si="238"/>
        <v>2837702.070816366</v>
      </c>
      <c r="K307" s="515">
        <f t="shared" si="238"/>
        <v>3012886.8395424271</v>
      </c>
      <c r="L307" s="515">
        <f t="shared" si="238"/>
        <v>2831366.3346214942</v>
      </c>
      <c r="M307" s="515">
        <f t="shared" si="238"/>
        <v>1876978.2849584082</v>
      </c>
      <c r="N307" s="515">
        <f t="shared" si="238"/>
        <v>2739354.13618663</v>
      </c>
      <c r="O307" s="515">
        <f t="shared" si="238"/>
        <v>2756404.9587556971</v>
      </c>
      <c r="P307" s="511">
        <f t="shared" si="226"/>
        <v>3.553321585059166E-5</v>
      </c>
      <c r="Q307" s="530">
        <v>2135331</v>
      </c>
      <c r="R307" s="480"/>
      <c r="S307" s="479"/>
      <c r="U307" s="513"/>
    </row>
    <row r="308" spans="1:21" s="492" customFormat="1" x14ac:dyDescent="0.15">
      <c r="A308" s="579"/>
      <c r="B308" s="528" t="s">
        <v>296</v>
      </c>
      <c r="C308" s="517">
        <f>FFM!J34</f>
        <v>9551433.9204821289</v>
      </c>
      <c r="D308" s="517">
        <f t="shared" ref="D308:O308" si="239">$C308*D$20%</f>
        <v>722309.42399628286</v>
      </c>
      <c r="E308" s="517">
        <f t="shared" si="239"/>
        <v>1035547.9205754695</v>
      </c>
      <c r="F308" s="517">
        <f t="shared" si="239"/>
        <v>668835.06139851129</v>
      </c>
      <c r="G308" s="517">
        <f t="shared" si="239"/>
        <v>821944.07584743598</v>
      </c>
      <c r="H308" s="517">
        <f t="shared" si="239"/>
        <v>1004110.3448096224</v>
      </c>
      <c r="I308" s="517">
        <f t="shared" si="239"/>
        <v>984352.58860410645</v>
      </c>
      <c r="J308" s="517">
        <f t="shared" si="239"/>
        <v>762664.31101413548</v>
      </c>
      <c r="K308" s="517">
        <f t="shared" si="239"/>
        <v>809845.36852467665</v>
      </c>
      <c r="L308" s="517">
        <f t="shared" si="239"/>
        <v>760957.95578770887</v>
      </c>
      <c r="M308" s="517">
        <f t="shared" si="239"/>
        <v>503920.55662293098</v>
      </c>
      <c r="N308" s="517">
        <f t="shared" si="239"/>
        <v>736177.07763638126</v>
      </c>
      <c r="O308" s="517">
        <f t="shared" si="239"/>
        <v>740769.23555025028</v>
      </c>
      <c r="P308" s="511">
        <f t="shared" si="226"/>
        <v>1.1461623944342136E-4</v>
      </c>
      <c r="Q308" s="530">
        <v>653770</v>
      </c>
      <c r="R308" s="480"/>
      <c r="S308" s="479"/>
      <c r="U308" s="513"/>
    </row>
    <row r="309" spans="1:21" s="492" customFormat="1" ht="18" x14ac:dyDescent="0.15">
      <c r="A309" s="579"/>
      <c r="B309" s="528" t="s">
        <v>297</v>
      </c>
      <c r="C309" s="517">
        <f>IEPS!I33</f>
        <v>859357.92756810249</v>
      </c>
      <c r="D309" s="517">
        <f t="shared" ref="D309:O309" si="240">$C309*D$21%</f>
        <v>60361.146943721993</v>
      </c>
      <c r="E309" s="517">
        <f t="shared" si="240"/>
        <v>137967.87666179324</v>
      </c>
      <c r="F309" s="517">
        <f t="shared" si="240"/>
        <v>57306.311609162243</v>
      </c>
      <c r="G309" s="517">
        <f t="shared" si="240"/>
        <v>55693.71018270091</v>
      </c>
      <c r="H309" s="517">
        <f t="shared" si="240"/>
        <v>61488.919899136192</v>
      </c>
      <c r="I309" s="517">
        <f t="shared" si="240"/>
        <v>63765.234970010359</v>
      </c>
      <c r="J309" s="517">
        <f t="shared" si="240"/>
        <v>65666.404445354099</v>
      </c>
      <c r="K309" s="517">
        <f t="shared" si="240"/>
        <v>72739.151552455703</v>
      </c>
      <c r="L309" s="517">
        <f t="shared" si="240"/>
        <v>72891.573154216123</v>
      </c>
      <c r="M309" s="517">
        <f t="shared" si="240"/>
        <v>72081.437714785236</v>
      </c>
      <c r="N309" s="517">
        <f t="shared" si="240"/>
        <v>69750.981721220291</v>
      </c>
      <c r="O309" s="517">
        <f t="shared" si="240"/>
        <v>69645.178712686713</v>
      </c>
      <c r="P309" s="511">
        <f t="shared" si="226"/>
        <v>8.593779057264328E-7</v>
      </c>
      <c r="Q309" s="530">
        <v>55148</v>
      </c>
      <c r="R309" s="480"/>
      <c r="S309" s="479"/>
      <c r="U309" s="513"/>
    </row>
    <row r="310" spans="1:21" s="492" customFormat="1" x14ac:dyDescent="0.15">
      <c r="A310" s="579"/>
      <c r="B310" s="528" t="s">
        <v>236</v>
      </c>
      <c r="C310" s="517">
        <f>ISR!C24</f>
        <v>2380007.61</v>
      </c>
      <c r="D310" s="517">
        <f>ISR!D24</f>
        <v>278658.09027033235</v>
      </c>
      <c r="E310" s="517">
        <f>ISR!E24</f>
        <v>189530.82853585589</v>
      </c>
      <c r="F310" s="517">
        <f>ISR!F24</f>
        <v>192928.89092453744</v>
      </c>
      <c r="G310" s="517">
        <f>ISR!G24</f>
        <v>190264.97126859624</v>
      </c>
      <c r="H310" s="517">
        <f>ISR!H24</f>
        <v>189647.52752516442</v>
      </c>
      <c r="I310" s="517">
        <f>ISR!I24</f>
        <v>189199.827766181</v>
      </c>
      <c r="J310" s="517">
        <f>ISR!J24</f>
        <v>187434.49032791494</v>
      </c>
      <c r="K310" s="517">
        <f>ISR!K24</f>
        <v>193329.9110877974</v>
      </c>
      <c r="L310" s="517">
        <f>ISR!L24</f>
        <v>184878.78246205993</v>
      </c>
      <c r="M310" s="517">
        <f>ISR!M24</f>
        <v>188792.4422035043</v>
      </c>
      <c r="N310" s="517">
        <f>ISR!N24</f>
        <v>198465.72751727197</v>
      </c>
      <c r="O310" s="517">
        <f>ISR!O24</f>
        <v>196876.1201107846</v>
      </c>
      <c r="P310" s="511">
        <f t="shared" si="226"/>
        <v>-4.9476511776447296E-10</v>
      </c>
      <c r="Q310" s="530">
        <v>0</v>
      </c>
      <c r="R310" s="480"/>
      <c r="S310" s="479"/>
      <c r="U310" s="513"/>
    </row>
    <row r="311" spans="1:21" s="492" customFormat="1" ht="18" x14ac:dyDescent="0.15">
      <c r="A311" s="579"/>
      <c r="B311" s="528" t="s">
        <v>298</v>
      </c>
      <c r="C311" s="517">
        <f>FOFIR!I33</f>
        <v>1661994.0024401599</v>
      </c>
      <c r="D311" s="517">
        <f t="shared" ref="D311:O311" si="241">$C311*D$23%</f>
        <v>227220.33370622815</v>
      </c>
      <c r="E311" s="517">
        <f t="shared" si="241"/>
        <v>57809.581990215658</v>
      </c>
      <c r="F311" s="517">
        <f t="shared" si="241"/>
        <v>57809.581990215658</v>
      </c>
      <c r="G311" s="517">
        <f t="shared" si="241"/>
        <v>326238.8032287173</v>
      </c>
      <c r="H311" s="517">
        <f t="shared" si="241"/>
        <v>57809.581990215658</v>
      </c>
      <c r="I311" s="517">
        <f t="shared" si="241"/>
        <v>57809.581990215658</v>
      </c>
      <c r="J311" s="517">
        <f t="shared" si="241"/>
        <v>405788.50378301437</v>
      </c>
      <c r="K311" s="517">
        <f t="shared" si="241"/>
        <v>57809.581990215658</v>
      </c>
      <c r="L311" s="517">
        <f t="shared" si="241"/>
        <v>57809.581990215658</v>
      </c>
      <c r="M311" s="517">
        <f t="shared" si="241"/>
        <v>240269.70580712284</v>
      </c>
      <c r="N311" s="517">
        <f t="shared" si="241"/>
        <v>57809.581990215658</v>
      </c>
      <c r="O311" s="517">
        <f t="shared" si="241"/>
        <v>57809.581990215658</v>
      </c>
      <c r="P311" s="511">
        <f t="shared" si="226"/>
        <v>-6.6480279201641679E-6</v>
      </c>
      <c r="Q311" s="530">
        <v>64961</v>
      </c>
      <c r="R311" s="480"/>
      <c r="S311" s="479"/>
      <c r="U311" s="513"/>
    </row>
    <row r="312" spans="1:21" s="492" customFormat="1" ht="27" x14ac:dyDescent="0.15">
      <c r="A312" s="579"/>
      <c r="B312" s="528" t="s">
        <v>407</v>
      </c>
      <c r="C312" s="517">
        <f>FCISAN!I33</f>
        <v>105505.45476653091</v>
      </c>
      <c r="D312" s="517">
        <f t="shared" ref="D312:O312" si="242">$C312*D$24%</f>
        <v>8792.1212305090758</v>
      </c>
      <c r="E312" s="517">
        <f t="shared" si="242"/>
        <v>8792.1212305090758</v>
      </c>
      <c r="F312" s="517">
        <f t="shared" si="242"/>
        <v>8792.1212305090758</v>
      </c>
      <c r="G312" s="517">
        <f t="shared" si="242"/>
        <v>8792.1212305090758</v>
      </c>
      <c r="H312" s="517">
        <f t="shared" si="242"/>
        <v>8792.1212305090758</v>
      </c>
      <c r="I312" s="517">
        <f t="shared" si="242"/>
        <v>8792.1212305090758</v>
      </c>
      <c r="J312" s="517">
        <f t="shared" si="242"/>
        <v>8792.1212305090758</v>
      </c>
      <c r="K312" s="517">
        <f t="shared" si="242"/>
        <v>8792.1212305090758</v>
      </c>
      <c r="L312" s="517">
        <f t="shared" si="242"/>
        <v>8792.1212305090758</v>
      </c>
      <c r="M312" s="517">
        <f t="shared" si="242"/>
        <v>8792.1212305090758</v>
      </c>
      <c r="N312" s="517">
        <f t="shared" si="242"/>
        <v>8792.1212305090758</v>
      </c>
      <c r="O312" s="517">
        <f t="shared" si="242"/>
        <v>8792.1212305090758</v>
      </c>
      <c r="P312" s="511">
        <f t="shared" si="226"/>
        <v>4.2201645555905998E-7</v>
      </c>
      <c r="Q312" s="530">
        <v>7729</v>
      </c>
      <c r="R312" s="480"/>
      <c r="S312" s="479"/>
      <c r="U312" s="513"/>
    </row>
    <row r="313" spans="1:21" s="492" customFormat="1" ht="27" x14ac:dyDescent="0.15">
      <c r="A313" s="579"/>
      <c r="B313" s="528" t="s">
        <v>242</v>
      </c>
      <c r="C313" s="517">
        <f>ISAN!I33</f>
        <v>527012.11975734413</v>
      </c>
      <c r="D313" s="517">
        <f t="shared" ref="D313:O313" si="243">$C313*D$25%</f>
        <v>50716.27749364655</v>
      </c>
      <c r="E313" s="517">
        <f t="shared" si="243"/>
        <v>56644.785893647975</v>
      </c>
      <c r="F313" s="517">
        <f t="shared" si="243"/>
        <v>43961.355152519231</v>
      </c>
      <c r="G313" s="517">
        <f t="shared" si="243"/>
        <v>40800.672227122392</v>
      </c>
      <c r="H313" s="517">
        <f t="shared" si="243"/>
        <v>43624.939124513759</v>
      </c>
      <c r="I313" s="517">
        <f t="shared" si="243"/>
        <v>37889.58703112878</v>
      </c>
      <c r="J313" s="517">
        <f t="shared" si="243"/>
        <v>41047.558174029444</v>
      </c>
      <c r="K313" s="517">
        <f t="shared" si="243"/>
        <v>42330.822296648665</v>
      </c>
      <c r="L313" s="517">
        <f t="shared" si="243"/>
        <v>41595.590250708112</v>
      </c>
      <c r="M313" s="517">
        <f t="shared" si="243"/>
        <v>42615.691039970385</v>
      </c>
      <c r="N313" s="517">
        <f t="shared" si="243"/>
        <v>41261.887120356478</v>
      </c>
      <c r="O313" s="517">
        <f t="shared" si="243"/>
        <v>44522.953946728237</v>
      </c>
      <c r="P313" s="511">
        <f t="shared" si="226"/>
        <v>6.3240950112231076E-6</v>
      </c>
      <c r="Q313" s="530">
        <v>33194</v>
      </c>
      <c r="R313" s="480"/>
      <c r="S313" s="479"/>
      <c r="U313" s="513"/>
    </row>
    <row r="314" spans="1:21" s="492" customFormat="1" ht="18" x14ac:dyDescent="0.15">
      <c r="A314" s="579"/>
      <c r="B314" s="528" t="s">
        <v>403</v>
      </c>
      <c r="C314" s="517">
        <f>LOT!I33</f>
        <v>25511.073058140806</v>
      </c>
      <c r="D314" s="517">
        <f t="shared" ref="D314:O314" si="244">$C314*D$26%</f>
        <v>1928.9021562793148</v>
      </c>
      <c r="E314" s="517">
        <f t="shared" si="244"/>
        <v>1901.5612520656193</v>
      </c>
      <c r="F314" s="517">
        <f t="shared" si="244"/>
        <v>1869.0012992861236</v>
      </c>
      <c r="G314" s="517">
        <f t="shared" si="244"/>
        <v>2056.3187712570716</v>
      </c>
      <c r="H314" s="517">
        <f t="shared" si="244"/>
        <v>1682.4430442986195</v>
      </c>
      <c r="I314" s="517">
        <f t="shared" si="244"/>
        <v>2283.1609890126065</v>
      </c>
      <c r="J314" s="517">
        <f t="shared" si="244"/>
        <v>5239.8520148813059</v>
      </c>
      <c r="K314" s="517">
        <f t="shared" si="244"/>
        <v>1907.4940555305866</v>
      </c>
      <c r="L314" s="517">
        <f t="shared" si="244"/>
        <v>2314.507103838338</v>
      </c>
      <c r="M314" s="517">
        <f t="shared" si="244"/>
        <v>1432.9970726692009</v>
      </c>
      <c r="N314" s="517">
        <f t="shared" si="244"/>
        <v>1447.4176493579437</v>
      </c>
      <c r="O314" s="517">
        <f t="shared" si="244"/>
        <v>1447.4176493579437</v>
      </c>
      <c r="P314" s="511">
        <f t="shared" si="226"/>
        <v>3.0613546186941676E-7</v>
      </c>
      <c r="Q314" s="530">
        <v>1622</v>
      </c>
      <c r="R314" s="480"/>
      <c r="S314" s="479"/>
      <c r="U314" s="513"/>
    </row>
    <row r="315" spans="1:21" s="492" customFormat="1" ht="45" x14ac:dyDescent="0.15">
      <c r="A315" s="579"/>
      <c r="B315" s="518" t="s">
        <v>301</v>
      </c>
      <c r="C315" s="517">
        <f>'ENAJENAC DE INMUE'!I33</f>
        <v>100312.567402311</v>
      </c>
      <c r="D315" s="517">
        <f t="shared" ref="D315:O315" si="245">$C315*D$27%</f>
        <v>4332.0702122818584</v>
      </c>
      <c r="E315" s="517">
        <f t="shared" si="245"/>
        <v>4395.8772661905923</v>
      </c>
      <c r="F315" s="517">
        <f t="shared" si="245"/>
        <v>4336.6149616237062</v>
      </c>
      <c r="G315" s="517">
        <f t="shared" si="245"/>
        <v>4311.2122791256861</v>
      </c>
      <c r="H315" s="517">
        <f t="shared" si="245"/>
        <v>5980.4747684179383</v>
      </c>
      <c r="I315" s="517">
        <f t="shared" si="245"/>
        <v>4304.6117121906145</v>
      </c>
      <c r="J315" s="517">
        <f t="shared" si="245"/>
        <v>4947.1998572428038</v>
      </c>
      <c r="K315" s="517">
        <f t="shared" si="245"/>
        <v>4942.1075192505186</v>
      </c>
      <c r="L315" s="517">
        <f t="shared" si="245"/>
        <v>4935.8468348672604</v>
      </c>
      <c r="M315" s="517">
        <f t="shared" si="245"/>
        <v>4310.5065507221161</v>
      </c>
      <c r="N315" s="517">
        <f t="shared" si="245"/>
        <v>17921.501049190359</v>
      </c>
      <c r="O315" s="517">
        <f t="shared" si="245"/>
        <v>35594.544391006923</v>
      </c>
      <c r="P315" s="511">
        <f t="shared" si="226"/>
        <v>2.006199792958796E-7</v>
      </c>
      <c r="Q315" s="530">
        <v>23658</v>
      </c>
      <c r="R315" s="480"/>
      <c r="S315" s="479"/>
      <c r="U315" s="513"/>
    </row>
    <row r="316" spans="1:21" s="492" customFormat="1" ht="27" x14ac:dyDescent="0.15">
      <c r="A316" s="579"/>
      <c r="B316" s="518" t="s">
        <v>248</v>
      </c>
      <c r="C316" s="517">
        <f>'IMP BEBIDAS AL'!I33</f>
        <v>39207.452302718302</v>
      </c>
      <c r="D316" s="517">
        <f t="shared" ref="D316:O316" si="246">$C316*D$28%</f>
        <v>8915.4059237660567</v>
      </c>
      <c r="E316" s="517">
        <f t="shared" si="246"/>
        <v>3066.5758737841543</v>
      </c>
      <c r="F316" s="517">
        <f t="shared" si="246"/>
        <v>3295.5051735676411</v>
      </c>
      <c r="G316" s="517">
        <f t="shared" si="246"/>
        <v>3271.8478391263129</v>
      </c>
      <c r="H316" s="517">
        <f t="shared" si="246"/>
        <v>2083.5284705336558</v>
      </c>
      <c r="I316" s="517">
        <f t="shared" si="246"/>
        <v>3409.6976937473146</v>
      </c>
      <c r="J316" s="517">
        <f t="shared" si="246"/>
        <v>3390.5050098327615</v>
      </c>
      <c r="K316" s="517">
        <f t="shared" si="246"/>
        <v>3100.8642175049013</v>
      </c>
      <c r="L316" s="517">
        <f t="shared" si="246"/>
        <v>2248.8339872393817</v>
      </c>
      <c r="M316" s="517">
        <f t="shared" si="246"/>
        <v>2090.490395832403</v>
      </c>
      <c r="N316" s="517">
        <f t="shared" si="246"/>
        <v>2105.2672546038766</v>
      </c>
      <c r="O316" s="517">
        <f t="shared" si="246"/>
        <v>2228.9304631798454</v>
      </c>
      <c r="P316" s="511">
        <f t="shared" si="226"/>
        <v>0</v>
      </c>
      <c r="Q316" s="530">
        <v>1011</v>
      </c>
      <c r="R316" s="480"/>
      <c r="S316" s="479"/>
      <c r="U316" s="513"/>
    </row>
    <row r="317" spans="1:21" s="492" customFormat="1" ht="18" x14ac:dyDescent="0.15">
      <c r="A317" s="579"/>
      <c r="B317" s="518" t="s">
        <v>253</v>
      </c>
      <c r="C317" s="517">
        <f>'FOND GASO Y D'!Q34</f>
        <v>0</v>
      </c>
      <c r="D317" s="517">
        <f t="shared" ref="D317:O317" si="247">$C317*D$29%</f>
        <v>0</v>
      </c>
      <c r="E317" s="517">
        <f t="shared" si="247"/>
        <v>0</v>
      </c>
      <c r="F317" s="517">
        <f t="shared" si="247"/>
        <v>0</v>
      </c>
      <c r="G317" s="517">
        <f t="shared" si="247"/>
        <v>0</v>
      </c>
      <c r="H317" s="517">
        <f t="shared" si="247"/>
        <v>0</v>
      </c>
      <c r="I317" s="517">
        <f t="shared" si="247"/>
        <v>0</v>
      </c>
      <c r="J317" s="517">
        <f t="shared" si="247"/>
        <v>0</v>
      </c>
      <c r="K317" s="517">
        <f t="shared" si="247"/>
        <v>0</v>
      </c>
      <c r="L317" s="517">
        <f t="shared" si="247"/>
        <v>0</v>
      </c>
      <c r="M317" s="517">
        <f t="shared" si="247"/>
        <v>0</v>
      </c>
      <c r="N317" s="517">
        <f t="shared" si="247"/>
        <v>0</v>
      </c>
      <c r="O317" s="517">
        <f t="shared" si="247"/>
        <v>0</v>
      </c>
      <c r="P317" s="511">
        <f t="shared" si="226"/>
        <v>0</v>
      </c>
      <c r="Q317" s="530">
        <v>38875</v>
      </c>
      <c r="R317" s="480"/>
      <c r="S317" s="479"/>
      <c r="U317" s="513"/>
    </row>
    <row r="318" spans="1:21" s="492" customFormat="1" ht="18" x14ac:dyDescent="0.15">
      <c r="A318" s="579"/>
      <c r="B318" s="528" t="s">
        <v>408</v>
      </c>
      <c r="C318" s="519">
        <f>'FOND GASO Y D'!H34</f>
        <v>1259071.6107262787</v>
      </c>
      <c r="D318" s="517">
        <f t="shared" ref="D318:O318" si="248">$C318*D$30%</f>
        <v>97944.191154453423</v>
      </c>
      <c r="E318" s="517">
        <f t="shared" si="248"/>
        <v>107687.4090664875</v>
      </c>
      <c r="F318" s="517">
        <f t="shared" si="248"/>
        <v>104844.80371293216</v>
      </c>
      <c r="G318" s="517">
        <f t="shared" si="248"/>
        <v>97693.513705982783</v>
      </c>
      <c r="H318" s="517">
        <f t="shared" si="248"/>
        <v>107644.28829256924</v>
      </c>
      <c r="I318" s="517">
        <f t="shared" si="248"/>
        <v>103889.5289106555</v>
      </c>
      <c r="J318" s="517">
        <f t="shared" si="248"/>
        <v>106055.48132742436</v>
      </c>
      <c r="K318" s="517">
        <f t="shared" si="248"/>
        <v>105992.45995595439</v>
      </c>
      <c r="L318" s="517">
        <f t="shared" si="248"/>
        <v>110297.82840736372</v>
      </c>
      <c r="M318" s="517">
        <f t="shared" si="248"/>
        <v>109329.28654089196</v>
      </c>
      <c r="N318" s="517">
        <f t="shared" si="248"/>
        <v>102177.9965339426</v>
      </c>
      <c r="O318" s="517">
        <f t="shared" si="248"/>
        <v>105514.82311888014</v>
      </c>
      <c r="P318" s="511">
        <f t="shared" si="226"/>
        <v>-1.2592645362019539E-6</v>
      </c>
      <c r="Q318" s="530">
        <v>76948</v>
      </c>
      <c r="R318" s="480"/>
      <c r="S318" s="479"/>
      <c r="U318" s="513"/>
    </row>
    <row r="319" spans="1:21" s="492" customFormat="1" x14ac:dyDescent="0.15">
      <c r="A319" s="579"/>
      <c r="B319" s="520"/>
      <c r="C319" s="521"/>
      <c r="D319" s="522"/>
      <c r="E319" s="522"/>
      <c r="F319" s="522"/>
      <c r="G319" s="522"/>
      <c r="H319" s="522"/>
      <c r="I319" s="522"/>
      <c r="J319" s="522"/>
      <c r="K319" s="522"/>
      <c r="L319" s="522"/>
      <c r="M319" s="522"/>
      <c r="N319" s="522"/>
      <c r="O319" s="522"/>
      <c r="P319" s="511">
        <f t="shared" si="226"/>
        <v>0</v>
      </c>
      <c r="Q319" s="530">
        <v>0</v>
      </c>
      <c r="R319" s="480"/>
      <c r="S319" s="479"/>
      <c r="U319" s="513"/>
    </row>
    <row r="320" spans="1:21" s="479" customFormat="1" x14ac:dyDescent="0.15">
      <c r="A320" s="591"/>
      <c r="B320" s="532"/>
      <c r="C320" s="521"/>
      <c r="D320" s="522"/>
      <c r="E320" s="522"/>
      <c r="F320" s="522"/>
      <c r="G320" s="522"/>
      <c r="H320" s="522"/>
      <c r="I320" s="522"/>
      <c r="J320" s="522"/>
      <c r="K320" s="522"/>
      <c r="L320" s="522"/>
      <c r="M320" s="522"/>
      <c r="N320" s="522"/>
      <c r="O320" s="522"/>
      <c r="P320" s="511">
        <f t="shared" si="226"/>
        <v>0</v>
      </c>
      <c r="Q320" s="530">
        <v>0</v>
      </c>
      <c r="R320" s="480"/>
      <c r="U320" s="513"/>
    </row>
    <row r="321" spans="1:21" s="479" customFormat="1" x14ac:dyDescent="0.15">
      <c r="A321" s="584">
        <v>20</v>
      </c>
      <c r="B321" s="533" t="s">
        <v>87</v>
      </c>
      <c r="C321" s="524">
        <f t="shared" ref="C321:O321" si="249">SUM(C322:C333)</f>
        <v>59099902.662139513</v>
      </c>
      <c r="D321" s="524">
        <f t="shared" si="249"/>
        <v>4618334.1614672095</v>
      </c>
      <c r="E321" s="524">
        <f t="shared" si="249"/>
        <v>6214294.2446630402</v>
      </c>
      <c r="F321" s="524">
        <f t="shared" si="249"/>
        <v>4123744.4740885366</v>
      </c>
      <c r="G321" s="524">
        <f t="shared" si="249"/>
        <v>5235143.960443357</v>
      </c>
      <c r="H321" s="524">
        <f t="shared" si="249"/>
        <v>5938081.6169167021</v>
      </c>
      <c r="I321" s="524">
        <f t="shared" si="249"/>
        <v>5822871.8376802579</v>
      </c>
      <c r="J321" s="524">
        <f t="shared" si="249"/>
        <v>5049793.3673346611</v>
      </c>
      <c r="K321" s="524">
        <f t="shared" si="249"/>
        <v>4907556.2444938328</v>
      </c>
      <c r="L321" s="524">
        <f t="shared" si="249"/>
        <v>4650111.5468527935</v>
      </c>
      <c r="M321" s="524">
        <f t="shared" si="249"/>
        <v>3467412.4725016253</v>
      </c>
      <c r="N321" s="524">
        <f t="shared" si="249"/>
        <v>4509490.7161284899</v>
      </c>
      <c r="O321" s="524">
        <f t="shared" si="249"/>
        <v>4563068.0193974413</v>
      </c>
      <c r="P321" s="511">
        <f t="shared" si="226"/>
        <v>1.7157662659883499E-4</v>
      </c>
      <c r="Q321" s="530">
        <v>3553729</v>
      </c>
      <c r="R321" s="480"/>
      <c r="T321" s="512"/>
      <c r="U321" s="513"/>
    </row>
    <row r="322" spans="1:21" s="479" customFormat="1" x14ac:dyDescent="0.15">
      <c r="A322" s="579"/>
      <c r="B322" s="527" t="s">
        <v>294</v>
      </c>
      <c r="C322" s="515">
        <f>'FG1'!I35</f>
        <v>40577978.816454373</v>
      </c>
      <c r="D322" s="515">
        <f t="shared" ref="D322:O322" si="250">$C322*D$19%</f>
        <v>3069103.1970521975</v>
      </c>
      <c r="E322" s="515">
        <f t="shared" si="250"/>
        <v>4397256.7094311798</v>
      </c>
      <c r="F322" s="515">
        <f t="shared" si="250"/>
        <v>2842368.081207443</v>
      </c>
      <c r="G322" s="515">
        <f t="shared" si="250"/>
        <v>3491561.1992181754</v>
      </c>
      <c r="H322" s="515">
        <f t="shared" si="250"/>
        <v>4263959.1402015546</v>
      </c>
      <c r="I322" s="515">
        <f t="shared" si="250"/>
        <v>4180184.8604461304</v>
      </c>
      <c r="J322" s="515">
        <f t="shared" si="250"/>
        <v>3240494.328479846</v>
      </c>
      <c r="K322" s="515">
        <f t="shared" si="250"/>
        <v>3440545.3681330471</v>
      </c>
      <c r="L322" s="515">
        <f t="shared" si="250"/>
        <v>3233259.2781842672</v>
      </c>
      <c r="M322" s="515">
        <f t="shared" si="250"/>
        <v>2143402.4204442822</v>
      </c>
      <c r="N322" s="515">
        <f t="shared" si="250"/>
        <v>3128186.5821301104</v>
      </c>
      <c r="O322" s="515">
        <f t="shared" si="250"/>
        <v>3147657.6514855628</v>
      </c>
      <c r="P322" s="511">
        <f t="shared" si="226"/>
        <v>4.0582381188869476E-5</v>
      </c>
      <c r="Q322" s="530">
        <v>2445299</v>
      </c>
      <c r="R322" s="480"/>
      <c r="U322" s="513"/>
    </row>
    <row r="323" spans="1:21" s="479" customFormat="1" x14ac:dyDescent="0.15">
      <c r="A323" s="579"/>
      <c r="B323" s="528" t="s">
        <v>296</v>
      </c>
      <c r="C323" s="517">
        <f>FFM!J35</f>
        <v>10907194.157724986</v>
      </c>
      <c r="D323" s="517">
        <f t="shared" ref="D323:O323" si="251">$C323*D$20%</f>
        <v>824836.27014238702</v>
      </c>
      <c r="E323" s="517">
        <f t="shared" si="251"/>
        <v>1182536.8131505519</v>
      </c>
      <c r="F323" s="517">
        <f t="shared" si="251"/>
        <v>763771.59020320559</v>
      </c>
      <c r="G323" s="517">
        <f t="shared" si="251"/>
        <v>938613.37435785588</v>
      </c>
      <c r="H323" s="517">
        <f t="shared" si="251"/>
        <v>1146636.8901043402</v>
      </c>
      <c r="I323" s="517">
        <f t="shared" si="251"/>
        <v>1124074.6565330608</v>
      </c>
      <c r="J323" s="517">
        <f t="shared" si="251"/>
        <v>870919.25533405505</v>
      </c>
      <c r="K323" s="517">
        <f t="shared" si="251"/>
        <v>924797.33888868487</v>
      </c>
      <c r="L323" s="517">
        <f t="shared" si="251"/>
        <v>868970.69473973708</v>
      </c>
      <c r="M323" s="517">
        <f t="shared" si="251"/>
        <v>575448.60770786926</v>
      </c>
      <c r="N323" s="517">
        <f t="shared" si="251"/>
        <v>840672.34167090163</v>
      </c>
      <c r="O323" s="517">
        <f t="shared" si="251"/>
        <v>845916.32476145041</v>
      </c>
      <c r="P323" s="511">
        <f t="shared" si="226"/>
        <v>1.3088691048324108E-4</v>
      </c>
      <c r="Q323" s="530">
        <v>748671</v>
      </c>
      <c r="R323" s="480"/>
      <c r="U323" s="513"/>
    </row>
    <row r="324" spans="1:21" s="479" customFormat="1" ht="18" x14ac:dyDescent="0.15">
      <c r="A324" s="579"/>
      <c r="B324" s="528" t="s">
        <v>297</v>
      </c>
      <c r="C324" s="517">
        <f>IEPS!I34</f>
        <v>981337.86455513991</v>
      </c>
      <c r="D324" s="517">
        <f t="shared" ref="D324:O324" si="252">$C324*D$21%</f>
        <v>68928.995874256259</v>
      </c>
      <c r="E324" s="517">
        <f t="shared" si="252"/>
        <v>157551.46617852253</v>
      </c>
      <c r="F324" s="517">
        <f t="shared" si="252"/>
        <v>65440.547711256244</v>
      </c>
      <c r="G324" s="517">
        <f t="shared" si="252"/>
        <v>63599.048622860711</v>
      </c>
      <c r="H324" s="517">
        <f t="shared" si="252"/>
        <v>70216.848430525963</v>
      </c>
      <c r="I324" s="517">
        <f t="shared" si="252"/>
        <v>72816.27074228361</v>
      </c>
      <c r="J324" s="517">
        <f t="shared" si="252"/>
        <v>74987.298125915186</v>
      </c>
      <c r="K324" s="517">
        <f t="shared" si="252"/>
        <v>83063.972954834593</v>
      </c>
      <c r="L324" s="517">
        <f t="shared" si="252"/>
        <v>83238.029752805756</v>
      </c>
      <c r="M324" s="517">
        <f t="shared" si="252"/>
        <v>82312.90116944426</v>
      </c>
      <c r="N324" s="517">
        <f t="shared" si="252"/>
        <v>79651.653004041727</v>
      </c>
      <c r="O324" s="517">
        <f t="shared" si="252"/>
        <v>79530.831987411686</v>
      </c>
      <c r="P324" s="511">
        <f t="shared" si="226"/>
        <v>9.8143937066197395E-7</v>
      </c>
      <c r="Q324" s="530">
        <v>63152</v>
      </c>
      <c r="R324" s="480"/>
      <c r="U324" s="513"/>
    </row>
    <row r="325" spans="1:21" s="479" customFormat="1" x14ac:dyDescent="0.15">
      <c r="A325" s="579"/>
      <c r="B325" s="528" t="s">
        <v>236</v>
      </c>
      <c r="C325" s="517">
        <f>ISR!C25</f>
        <v>2245628.66</v>
      </c>
      <c r="D325" s="517">
        <f>ISR!D25</f>
        <v>187867.36409896635</v>
      </c>
      <c r="E325" s="517">
        <f>ISR!E25</f>
        <v>190455.96022847318</v>
      </c>
      <c r="F325" s="517">
        <f>ISR!F25</f>
        <v>183563.29258363435</v>
      </c>
      <c r="G325" s="517">
        <f>ISR!G25</f>
        <v>178658.93555537704</v>
      </c>
      <c r="H325" s="517">
        <f>ISR!H25</f>
        <v>185260.73266855706</v>
      </c>
      <c r="I325" s="517">
        <f>ISR!I25</f>
        <v>184759.98784350482</v>
      </c>
      <c r="J325" s="517">
        <f>ISR!J25</f>
        <v>194573.31333446348</v>
      </c>
      <c r="K325" s="517">
        <f>ISR!K25</f>
        <v>190458.08202857946</v>
      </c>
      <c r="L325" s="517">
        <f>ISR!L25</f>
        <v>191907.27150108194</v>
      </c>
      <c r="M325" s="517">
        <f>ISR!M25</f>
        <v>187104.57696080414</v>
      </c>
      <c r="N325" s="517">
        <f>ISR!N25</f>
        <v>185133.91974887936</v>
      </c>
      <c r="O325" s="517">
        <f>ISR!O25</f>
        <v>185885.22344767893</v>
      </c>
      <c r="P325" s="511">
        <f t="shared" si="226"/>
        <v>0</v>
      </c>
      <c r="Q325" s="530">
        <v>0</v>
      </c>
      <c r="R325" s="480"/>
      <c r="U325" s="513"/>
    </row>
    <row r="326" spans="1:21" s="479" customFormat="1" ht="18" x14ac:dyDescent="0.15">
      <c r="A326" s="579"/>
      <c r="B326" s="528" t="s">
        <v>298</v>
      </c>
      <c r="C326" s="517">
        <f>FOFIR!I34</f>
        <v>1897902.6002280344</v>
      </c>
      <c r="D326" s="517">
        <f t="shared" ref="D326:O326" si="253">$C326*D$23%</f>
        <v>259472.69456603166</v>
      </c>
      <c r="E326" s="517">
        <f t="shared" si="253"/>
        <v>66015.253855452116</v>
      </c>
      <c r="F326" s="517">
        <f t="shared" si="253"/>
        <v>66015.253855452116</v>
      </c>
      <c r="G326" s="517">
        <f t="shared" si="253"/>
        <v>372546.15361667518</v>
      </c>
      <c r="H326" s="517">
        <f t="shared" si="253"/>
        <v>66015.253855452116</v>
      </c>
      <c r="I326" s="517">
        <f t="shared" si="253"/>
        <v>66015.253855452116</v>
      </c>
      <c r="J326" s="517">
        <f t="shared" si="253"/>
        <v>463387.38608062797</v>
      </c>
      <c r="K326" s="517">
        <f t="shared" si="253"/>
        <v>66015.253855452116</v>
      </c>
      <c r="L326" s="517">
        <f t="shared" si="253"/>
        <v>66015.253855452116</v>
      </c>
      <c r="M326" s="517">
        <f t="shared" si="253"/>
        <v>274374.33512867434</v>
      </c>
      <c r="N326" s="517">
        <f t="shared" si="253"/>
        <v>66015.253855452116</v>
      </c>
      <c r="O326" s="517">
        <f t="shared" si="253"/>
        <v>66015.253855452116</v>
      </c>
      <c r="P326" s="511">
        <f t="shared" si="226"/>
        <v>-7.5919670052826405E-6</v>
      </c>
      <c r="Q326" s="530">
        <v>74384</v>
      </c>
      <c r="R326" s="480"/>
      <c r="U326" s="513"/>
    </row>
    <row r="327" spans="1:21" s="479" customFormat="1" ht="27" x14ac:dyDescent="0.15">
      <c r="A327" s="579"/>
      <c r="B327" s="528" t="s">
        <v>407</v>
      </c>
      <c r="C327" s="517">
        <f>FCISAN!I34</f>
        <v>120481.22715584221</v>
      </c>
      <c r="D327" s="517">
        <f t="shared" ref="D327:O327" si="254">$C327*D$24%</f>
        <v>10040.102262946692</v>
      </c>
      <c r="E327" s="517">
        <f t="shared" si="254"/>
        <v>10040.102262946692</v>
      </c>
      <c r="F327" s="517">
        <f t="shared" si="254"/>
        <v>10040.102262946692</v>
      </c>
      <c r="G327" s="517">
        <f t="shared" si="254"/>
        <v>10040.102262946692</v>
      </c>
      <c r="H327" s="517">
        <f t="shared" si="254"/>
        <v>10040.102262946692</v>
      </c>
      <c r="I327" s="517">
        <f t="shared" si="254"/>
        <v>10040.102262946692</v>
      </c>
      <c r="J327" s="517">
        <f t="shared" si="254"/>
        <v>10040.102262946692</v>
      </c>
      <c r="K327" s="517">
        <f t="shared" si="254"/>
        <v>10040.102262946692</v>
      </c>
      <c r="L327" s="517">
        <f t="shared" si="254"/>
        <v>10040.102262946692</v>
      </c>
      <c r="M327" s="517">
        <f t="shared" si="254"/>
        <v>10040.102262946692</v>
      </c>
      <c r="N327" s="517">
        <f t="shared" si="254"/>
        <v>10040.102262946692</v>
      </c>
      <c r="O327" s="517">
        <f t="shared" si="254"/>
        <v>10040.102262946692</v>
      </c>
      <c r="P327" s="511">
        <f t="shared" si="226"/>
        <v>4.8192669055424631E-7</v>
      </c>
      <c r="Q327" s="530">
        <v>8846</v>
      </c>
      <c r="R327" s="480"/>
      <c r="U327" s="513"/>
    </row>
    <row r="328" spans="1:21" s="479" customFormat="1" ht="27" x14ac:dyDescent="0.15">
      <c r="A328" s="579"/>
      <c r="B328" s="528" t="s">
        <v>242</v>
      </c>
      <c r="C328" s="517">
        <f>ISAN!I34</f>
        <v>601817.85913223505</v>
      </c>
      <c r="D328" s="517">
        <f t="shared" ref="D328:O328" si="255">$C328*D$25%</f>
        <v>57915.103657267246</v>
      </c>
      <c r="E328" s="517">
        <f t="shared" si="255"/>
        <v>64685.122978225394</v>
      </c>
      <c r="F328" s="517">
        <f t="shared" si="255"/>
        <v>50201.366630093115</v>
      </c>
      <c r="G328" s="517">
        <f t="shared" si="255"/>
        <v>46592.046540008741</v>
      </c>
      <c r="H328" s="517">
        <f t="shared" si="255"/>
        <v>49817.198664761992</v>
      </c>
      <c r="I328" s="517">
        <f t="shared" si="255"/>
        <v>43267.752857330102</v>
      </c>
      <c r="J328" s="517">
        <f t="shared" si="255"/>
        <v>46873.976246076694</v>
      </c>
      <c r="K328" s="517">
        <f t="shared" si="255"/>
        <v>48339.390869428236</v>
      </c>
      <c r="L328" s="517">
        <f t="shared" si="255"/>
        <v>47499.797700191273</v>
      </c>
      <c r="M328" s="517">
        <f t="shared" si="255"/>
        <v>48664.694768166853</v>
      </c>
      <c r="N328" s="517">
        <f t="shared" si="255"/>
        <v>47118.72770964454</v>
      </c>
      <c r="O328" s="517">
        <f t="shared" si="255"/>
        <v>50842.680503819072</v>
      </c>
      <c r="P328" s="511">
        <f t="shared" si="226"/>
        <v>7.2217808337882161E-6</v>
      </c>
      <c r="Q328" s="530">
        <v>38011</v>
      </c>
      <c r="R328" s="480"/>
      <c r="U328" s="513"/>
    </row>
    <row r="329" spans="1:21" s="479" customFormat="1" ht="18" x14ac:dyDescent="0.15">
      <c r="A329" s="579"/>
      <c r="B329" s="528" t="s">
        <v>403</v>
      </c>
      <c r="C329" s="517">
        <f>LOT!I34</f>
        <v>29132.194111751051</v>
      </c>
      <c r="D329" s="517">
        <f t="shared" ref="D329:O329" si="256">$C329*D$26%</f>
        <v>2202.6965275524713</v>
      </c>
      <c r="E329" s="517">
        <f t="shared" si="256"/>
        <v>2171.4747703598628</v>
      </c>
      <c r="F329" s="517">
        <f t="shared" si="256"/>
        <v>2134.2931566159036</v>
      </c>
      <c r="G329" s="517">
        <f t="shared" si="256"/>
        <v>2348.1990531473225</v>
      </c>
      <c r="H329" s="517">
        <f t="shared" si="256"/>
        <v>1921.254242687851</v>
      </c>
      <c r="I329" s="517">
        <f t="shared" si="256"/>
        <v>2607.2399608086153</v>
      </c>
      <c r="J329" s="517">
        <f t="shared" si="256"/>
        <v>5983.6129066966323</v>
      </c>
      <c r="K329" s="517">
        <f t="shared" si="256"/>
        <v>2178.2496944006666</v>
      </c>
      <c r="L329" s="517">
        <f t="shared" si="256"/>
        <v>2643.0354406644128</v>
      </c>
      <c r="M329" s="517">
        <f t="shared" si="256"/>
        <v>1636.4011340263305</v>
      </c>
      <c r="N329" s="517">
        <f t="shared" si="256"/>
        <v>1652.868612220698</v>
      </c>
      <c r="O329" s="517">
        <f t="shared" si="256"/>
        <v>1652.868612220698</v>
      </c>
      <c r="P329" s="511">
        <f t="shared" si="226"/>
        <v>3.4958748074132018E-7</v>
      </c>
      <c r="Q329" s="530">
        <v>1855</v>
      </c>
      <c r="R329" s="480"/>
      <c r="U329" s="513"/>
    </row>
    <row r="330" spans="1:21" s="479" customFormat="1" ht="45" x14ac:dyDescent="0.15">
      <c r="A330" s="579"/>
      <c r="B330" s="518" t="s">
        <v>301</v>
      </c>
      <c r="C330" s="517">
        <f>'ENAJENAC DE INMUE'!I34</f>
        <v>114551.24520838981</v>
      </c>
      <c r="D330" s="517">
        <f t="shared" ref="D330:O330" si="257">$C330*D$27%</f>
        <v>4946.9777316817836</v>
      </c>
      <c r="E330" s="517">
        <f t="shared" si="257"/>
        <v>5019.8417572730168</v>
      </c>
      <c r="F330" s="517">
        <f t="shared" si="257"/>
        <v>4952.1675768801488</v>
      </c>
      <c r="G330" s="517">
        <f t="shared" si="257"/>
        <v>4923.1591586217355</v>
      </c>
      <c r="H330" s="517">
        <f t="shared" si="257"/>
        <v>6829.3619573318665</v>
      </c>
      <c r="I330" s="517">
        <f t="shared" si="257"/>
        <v>4915.6216866870236</v>
      </c>
      <c r="J330" s="517">
        <f t="shared" si="257"/>
        <v>5649.4207916053756</v>
      </c>
      <c r="K330" s="517">
        <f t="shared" si="257"/>
        <v>5643.6056313204372</v>
      </c>
      <c r="L330" s="517">
        <f t="shared" si="257"/>
        <v>5636.4562859240341</v>
      </c>
      <c r="M330" s="517">
        <f t="shared" si="257"/>
        <v>4922.3532569336285</v>
      </c>
      <c r="N330" s="517">
        <f t="shared" si="257"/>
        <v>20465.334647001815</v>
      </c>
      <c r="O330" s="517">
        <f t="shared" si="257"/>
        <v>40646.944726899841</v>
      </c>
      <c r="P330" s="511">
        <f t="shared" si="226"/>
        <v>2.2910535335540771E-7</v>
      </c>
      <c r="Q330" s="530">
        <v>27092</v>
      </c>
      <c r="R330" s="480"/>
      <c r="U330" s="513"/>
    </row>
    <row r="331" spans="1:21" s="479" customFormat="1" ht="27" x14ac:dyDescent="0.15">
      <c r="A331" s="579"/>
      <c r="B331" s="518" t="s">
        <v>248</v>
      </c>
      <c r="C331" s="517">
        <f>'IMP BEBIDAS AL'!I34</f>
        <v>44772.680024352201</v>
      </c>
      <c r="D331" s="517">
        <f t="shared" ref="D331:O331" si="258">$C331*D$28%</f>
        <v>10180.886369000749</v>
      </c>
      <c r="E331" s="517">
        <f t="shared" si="258"/>
        <v>3501.8551908769932</v>
      </c>
      <c r="F331" s="517">
        <f t="shared" si="258"/>
        <v>3763.2794274804619</v>
      </c>
      <c r="G331" s="517">
        <f t="shared" si="258"/>
        <v>3736.2640974102333</v>
      </c>
      <c r="H331" s="517">
        <f t="shared" si="258"/>
        <v>2379.2709817659775</v>
      </c>
      <c r="I331" s="517">
        <f t="shared" si="258"/>
        <v>3893.6807891324261</v>
      </c>
      <c r="J331" s="517">
        <f t="shared" si="258"/>
        <v>3871.7638359705593</v>
      </c>
      <c r="K331" s="517">
        <f t="shared" si="258"/>
        <v>3541.0105287479923</v>
      </c>
      <c r="L331" s="517">
        <f t="shared" si="258"/>
        <v>2568.0404776409373</v>
      </c>
      <c r="M331" s="517">
        <f t="shared" si="258"/>
        <v>2387.2211043943898</v>
      </c>
      <c r="N331" s="517">
        <f t="shared" si="258"/>
        <v>2404.0954364584086</v>
      </c>
      <c r="O331" s="517">
        <f t="shared" si="258"/>
        <v>2545.3117854730754</v>
      </c>
      <c r="P331" s="511">
        <f t="shared" si="226"/>
        <v>-7.2759576141834259E-12</v>
      </c>
      <c r="Q331" s="530">
        <v>1158</v>
      </c>
      <c r="R331" s="480"/>
      <c r="U331" s="513"/>
    </row>
    <row r="332" spans="1:21" s="479" customFormat="1" ht="18" x14ac:dyDescent="0.15">
      <c r="A332" s="579"/>
      <c r="B332" s="518" t="s">
        <v>253</v>
      </c>
      <c r="C332" s="517">
        <f>'FOND GASO Y D'!Q35</f>
        <v>0</v>
      </c>
      <c r="D332" s="517">
        <f t="shared" ref="D332:O332" si="259">$C332*D$29%</f>
        <v>0</v>
      </c>
      <c r="E332" s="517">
        <f t="shared" si="259"/>
        <v>0</v>
      </c>
      <c r="F332" s="517">
        <f t="shared" si="259"/>
        <v>0</v>
      </c>
      <c r="G332" s="517">
        <f t="shared" si="259"/>
        <v>0</v>
      </c>
      <c r="H332" s="517">
        <f t="shared" si="259"/>
        <v>0</v>
      </c>
      <c r="I332" s="517">
        <f t="shared" si="259"/>
        <v>0</v>
      </c>
      <c r="J332" s="517">
        <f t="shared" si="259"/>
        <v>0</v>
      </c>
      <c r="K332" s="517">
        <f t="shared" si="259"/>
        <v>0</v>
      </c>
      <c r="L332" s="517">
        <f t="shared" si="259"/>
        <v>0</v>
      </c>
      <c r="M332" s="517">
        <f t="shared" si="259"/>
        <v>0</v>
      </c>
      <c r="N332" s="517">
        <f t="shared" si="259"/>
        <v>0</v>
      </c>
      <c r="O332" s="517">
        <f t="shared" si="259"/>
        <v>0</v>
      </c>
      <c r="P332" s="511">
        <f t="shared" si="226"/>
        <v>0</v>
      </c>
      <c r="Q332" s="530">
        <v>48755</v>
      </c>
      <c r="R332" s="480"/>
      <c r="U332" s="513"/>
    </row>
    <row r="333" spans="1:21" s="479" customFormat="1" ht="18" x14ac:dyDescent="0.15">
      <c r="A333" s="579"/>
      <c r="B333" s="528" t="s">
        <v>408</v>
      </c>
      <c r="C333" s="519">
        <f>'FOND GASO Y D'!H35</f>
        <v>1579105.3575443984</v>
      </c>
      <c r="D333" s="517">
        <f t="shared" ref="D333:O333" si="260">$C333*D$30%</f>
        <v>122839.87318492083</v>
      </c>
      <c r="E333" s="517">
        <f t="shared" si="260"/>
        <v>135059.64485917895</v>
      </c>
      <c r="F333" s="517">
        <f t="shared" si="260"/>
        <v>131494.49947352902</v>
      </c>
      <c r="G333" s="517">
        <f t="shared" si="260"/>
        <v>122525.47796027811</v>
      </c>
      <c r="H333" s="517">
        <f t="shared" si="260"/>
        <v>135005.5635467773</v>
      </c>
      <c r="I333" s="517">
        <f t="shared" si="260"/>
        <v>130296.41070292122</v>
      </c>
      <c r="J333" s="517">
        <f t="shared" si="260"/>
        <v>133012.90993645808</v>
      </c>
      <c r="K333" s="517">
        <f t="shared" si="260"/>
        <v>132933.8696463902</v>
      </c>
      <c r="L333" s="517">
        <f t="shared" si="260"/>
        <v>138333.58665208251</v>
      </c>
      <c r="M333" s="517">
        <f t="shared" si="260"/>
        <v>137118.85856408332</v>
      </c>
      <c r="N333" s="517">
        <f t="shared" si="260"/>
        <v>128149.83705083243</v>
      </c>
      <c r="O333" s="517">
        <f t="shared" si="260"/>
        <v>132334.82596852552</v>
      </c>
      <c r="P333" s="511">
        <f t="shared" si="226"/>
        <v>-1.5787954907864332E-6</v>
      </c>
      <c r="Q333" s="530">
        <v>96506</v>
      </c>
      <c r="R333" s="480"/>
      <c r="U333" s="513"/>
    </row>
    <row r="334" spans="1:21" s="479" customFormat="1" x14ac:dyDescent="0.15">
      <c r="A334" s="579"/>
      <c r="B334" s="534"/>
      <c r="C334" s="521"/>
      <c r="D334" s="522"/>
      <c r="E334" s="522"/>
      <c r="F334" s="522"/>
      <c r="G334" s="522"/>
      <c r="H334" s="522"/>
      <c r="I334" s="522"/>
      <c r="J334" s="522"/>
      <c r="K334" s="522"/>
      <c r="L334" s="522"/>
      <c r="M334" s="522"/>
      <c r="N334" s="522"/>
      <c r="O334" s="522"/>
      <c r="P334" s="511">
        <f t="shared" si="226"/>
        <v>0</v>
      </c>
      <c r="Q334" s="530">
        <v>0</v>
      </c>
      <c r="R334" s="480"/>
      <c r="U334" s="513"/>
    </row>
    <row r="335" spans="1:21" s="479" customFormat="1" x14ac:dyDescent="0.15">
      <c r="A335" s="591"/>
      <c r="B335" s="532"/>
      <c r="C335" s="521"/>
      <c r="D335" s="522"/>
      <c r="E335" s="522"/>
      <c r="F335" s="522"/>
      <c r="G335" s="522"/>
      <c r="H335" s="522"/>
      <c r="I335" s="522"/>
      <c r="J335" s="522"/>
      <c r="K335" s="522"/>
      <c r="L335" s="522"/>
      <c r="M335" s="522"/>
      <c r="N335" s="522"/>
      <c r="O335" s="522"/>
      <c r="P335" s="511">
        <f t="shared" si="226"/>
        <v>0</v>
      </c>
      <c r="Q335" s="530">
        <v>0</v>
      </c>
      <c r="R335" s="480"/>
      <c r="U335" s="513"/>
    </row>
    <row r="336" spans="1:21" s="479" customFormat="1" x14ac:dyDescent="0.15">
      <c r="A336" s="584">
        <v>21</v>
      </c>
      <c r="B336" s="533" t="s">
        <v>88</v>
      </c>
      <c r="C336" s="524">
        <f t="shared" ref="C336:O336" si="261">SUM(C337:C348)</f>
        <v>35047652.789934427</v>
      </c>
      <c r="D336" s="524">
        <f t="shared" si="261"/>
        <v>2734748.2664139196</v>
      </c>
      <c r="E336" s="524">
        <f t="shared" si="261"/>
        <v>3686740.6909502456</v>
      </c>
      <c r="F336" s="524">
        <f t="shared" si="261"/>
        <v>2448346.6709473934</v>
      </c>
      <c r="G336" s="524">
        <f t="shared" si="261"/>
        <v>3105353.912538636</v>
      </c>
      <c r="H336" s="524">
        <f t="shared" si="261"/>
        <v>3527767.6198279373</v>
      </c>
      <c r="I336" s="524">
        <f t="shared" si="261"/>
        <v>3459255.9144979119</v>
      </c>
      <c r="J336" s="524">
        <f t="shared" si="261"/>
        <v>2983639.3363749445</v>
      </c>
      <c r="K336" s="524">
        <f t="shared" si="261"/>
        <v>2910650.2319776537</v>
      </c>
      <c r="L336" s="524">
        <f t="shared" si="261"/>
        <v>2756863.3178345631</v>
      </c>
      <c r="M336" s="524">
        <f t="shared" si="261"/>
        <v>2050543.0565535191</v>
      </c>
      <c r="N336" s="524">
        <f t="shared" si="261"/>
        <v>2676295.5175340483</v>
      </c>
      <c r="O336" s="524">
        <f t="shared" si="261"/>
        <v>2707448.2543711197</v>
      </c>
      <c r="P336" s="511">
        <f t="shared" si="226"/>
        <v>1.1253170669078827E-4</v>
      </c>
      <c r="Q336" s="530">
        <v>2035870</v>
      </c>
      <c r="R336" s="480"/>
      <c r="T336" s="512"/>
      <c r="U336" s="513"/>
    </row>
    <row r="337" spans="1:21" s="479" customFormat="1" x14ac:dyDescent="0.15">
      <c r="A337" s="579"/>
      <c r="B337" s="525" t="s">
        <v>294</v>
      </c>
      <c r="C337" s="526">
        <f>'FG1'!I36</f>
        <v>23203104.068122189</v>
      </c>
      <c r="D337" s="526">
        <f t="shared" ref="D337:O337" si="262">$C337*D$19%</f>
        <v>1754959.7824752154</v>
      </c>
      <c r="E337" s="526">
        <f t="shared" si="262"/>
        <v>2514418.1159118507</v>
      </c>
      <c r="F337" s="526">
        <f t="shared" si="262"/>
        <v>1625309.2024736737</v>
      </c>
      <c r="G337" s="526">
        <f t="shared" si="262"/>
        <v>1996527.6790184833</v>
      </c>
      <c r="H337" s="526">
        <f t="shared" si="262"/>
        <v>2438196.5430027405</v>
      </c>
      <c r="I337" s="526">
        <f t="shared" si="262"/>
        <v>2390293.1385431555</v>
      </c>
      <c r="J337" s="526">
        <f t="shared" si="262"/>
        <v>1852963.832328392</v>
      </c>
      <c r="K337" s="526">
        <f t="shared" si="262"/>
        <v>1967356.0526261413</v>
      </c>
      <c r="L337" s="526">
        <f t="shared" si="262"/>
        <v>1848826.7207757006</v>
      </c>
      <c r="M337" s="526">
        <f t="shared" si="262"/>
        <v>1225630.0306723681</v>
      </c>
      <c r="N337" s="526">
        <f t="shared" si="262"/>
        <v>1788744.5586677603</v>
      </c>
      <c r="O337" s="526">
        <f t="shared" si="262"/>
        <v>1799878.4116035057</v>
      </c>
      <c r="P337" s="511">
        <f t="shared" si="226"/>
        <v>2.3207161575555801E-5</v>
      </c>
      <c r="Q337" s="530">
        <v>1391950</v>
      </c>
      <c r="R337" s="480"/>
      <c r="U337" s="513"/>
    </row>
    <row r="338" spans="1:21" s="479" customFormat="1" x14ac:dyDescent="0.15">
      <c r="A338" s="579"/>
      <c r="B338" s="527" t="s">
        <v>296</v>
      </c>
      <c r="C338" s="515">
        <f>FFM!J36</f>
        <v>7451133.0502867224</v>
      </c>
      <c r="D338" s="515">
        <f t="shared" ref="D338:O338" si="263">$C338*D$20%</f>
        <v>563478.07737339183</v>
      </c>
      <c r="E338" s="515">
        <f t="shared" si="263"/>
        <v>807837.37817725365</v>
      </c>
      <c r="F338" s="515">
        <f t="shared" si="263"/>
        <v>521762.39428199275</v>
      </c>
      <c r="G338" s="515">
        <f t="shared" si="263"/>
        <v>641203.68941683089</v>
      </c>
      <c r="H338" s="515">
        <f t="shared" si="263"/>
        <v>783312.72965223179</v>
      </c>
      <c r="I338" s="515">
        <f t="shared" si="263"/>
        <v>767899.58106239198</v>
      </c>
      <c r="J338" s="515">
        <f t="shared" si="263"/>
        <v>594959.17590818962</v>
      </c>
      <c r="K338" s="515">
        <f t="shared" si="263"/>
        <v>631765.41253098636</v>
      </c>
      <c r="L338" s="515">
        <f t="shared" si="263"/>
        <v>593628.03757555748</v>
      </c>
      <c r="M338" s="515">
        <f t="shared" si="263"/>
        <v>393111.56266497757</v>
      </c>
      <c r="N338" s="515">
        <f t="shared" si="263"/>
        <v>574296.32029146154</v>
      </c>
      <c r="O338" s="515">
        <f t="shared" si="263"/>
        <v>577878.69126204331</v>
      </c>
      <c r="P338" s="511">
        <f t="shared" si="226"/>
        <v>8.9413370005786419E-5</v>
      </c>
      <c r="Q338" s="530">
        <v>426171</v>
      </c>
      <c r="R338" s="480"/>
      <c r="U338" s="513"/>
    </row>
    <row r="339" spans="1:21" s="479" customFormat="1" ht="18" x14ac:dyDescent="0.15">
      <c r="A339" s="579"/>
      <c r="B339" s="528" t="s">
        <v>297</v>
      </c>
      <c r="C339" s="517">
        <f>IEPS!I35</f>
        <v>561143.88299765275</v>
      </c>
      <c r="D339" s="517">
        <f t="shared" ref="D339:O339" si="264">$C339*D$21%</f>
        <v>39414.645855475421</v>
      </c>
      <c r="E339" s="517">
        <f t="shared" si="264"/>
        <v>90090.319243380131</v>
      </c>
      <c r="F339" s="517">
        <f t="shared" si="264"/>
        <v>37419.898257807574</v>
      </c>
      <c r="G339" s="517">
        <f t="shared" si="264"/>
        <v>36366.901133858482</v>
      </c>
      <c r="H339" s="517">
        <f t="shared" si="264"/>
        <v>40151.059490631778</v>
      </c>
      <c r="I339" s="517">
        <f t="shared" si="264"/>
        <v>41637.448615371868</v>
      </c>
      <c r="J339" s="517">
        <f t="shared" si="264"/>
        <v>42878.875019210391</v>
      </c>
      <c r="K339" s="517">
        <f t="shared" si="264"/>
        <v>47497.240251926407</v>
      </c>
      <c r="L339" s="517">
        <f t="shared" si="264"/>
        <v>47596.768570361317</v>
      </c>
      <c r="M339" s="517">
        <f t="shared" si="264"/>
        <v>47067.766007339946</v>
      </c>
      <c r="N339" s="517">
        <f t="shared" si="264"/>
        <v>45546.023921263077</v>
      </c>
      <c r="O339" s="517">
        <f t="shared" si="264"/>
        <v>45476.936630465185</v>
      </c>
      <c r="P339" s="511">
        <f t="shared" si="226"/>
        <v>5.6110729929059744E-7</v>
      </c>
      <c r="Q339" s="530">
        <v>35949</v>
      </c>
      <c r="R339" s="480"/>
      <c r="U339" s="513"/>
    </row>
    <row r="340" spans="1:21" s="479" customFormat="1" x14ac:dyDescent="0.15">
      <c r="A340" s="579"/>
      <c r="B340" s="528" t="s">
        <v>236</v>
      </c>
      <c r="C340" s="517">
        <f>ISR!C26</f>
        <v>1186597.08</v>
      </c>
      <c r="D340" s="517">
        <f>ISR!D26</f>
        <v>98883.089999999967</v>
      </c>
      <c r="E340" s="517">
        <f>ISR!E26</f>
        <v>98883.089999999967</v>
      </c>
      <c r="F340" s="517">
        <f>ISR!F26</f>
        <v>98883.089999999967</v>
      </c>
      <c r="G340" s="517">
        <f>ISR!G26</f>
        <v>98883.089999999967</v>
      </c>
      <c r="H340" s="517">
        <f>ISR!H26</f>
        <v>98883.089999999967</v>
      </c>
      <c r="I340" s="517">
        <f>ISR!I26</f>
        <v>98883.089999999967</v>
      </c>
      <c r="J340" s="517">
        <f>ISR!J26</f>
        <v>98883.089999999967</v>
      </c>
      <c r="K340" s="517">
        <f>ISR!K26</f>
        <v>98883.089999999967</v>
      </c>
      <c r="L340" s="517">
        <f>ISR!L26</f>
        <v>98883.089999999967</v>
      </c>
      <c r="M340" s="517">
        <f>ISR!M26</f>
        <v>98883.089999999967</v>
      </c>
      <c r="N340" s="517">
        <f>ISR!N26</f>
        <v>98883.089999999967</v>
      </c>
      <c r="O340" s="517">
        <f>ISR!O26</f>
        <v>98883.089999999967</v>
      </c>
      <c r="P340" s="511">
        <f t="shared" si="226"/>
        <v>5.8207660913467407E-10</v>
      </c>
      <c r="Q340" s="530">
        <v>0</v>
      </c>
      <c r="R340" s="480"/>
      <c r="U340" s="513"/>
    </row>
    <row r="341" spans="1:21" s="479" customFormat="1" ht="18" x14ac:dyDescent="0.15">
      <c r="A341" s="579"/>
      <c r="B341" s="528" t="s">
        <v>298</v>
      </c>
      <c r="C341" s="517">
        <f>FOFIR!I35</f>
        <v>1085249.5079521723</v>
      </c>
      <c r="D341" s="517">
        <f t="shared" ref="D341:O341" si="265">$C341*D$23%</f>
        <v>148370.42431522915</v>
      </c>
      <c r="E341" s="517">
        <f t="shared" si="265"/>
        <v>37748.523952366777</v>
      </c>
      <c r="F341" s="517">
        <f t="shared" si="265"/>
        <v>37748.523952366777</v>
      </c>
      <c r="G341" s="517">
        <f t="shared" si="265"/>
        <v>213027.5441181194</v>
      </c>
      <c r="H341" s="517">
        <f t="shared" si="265"/>
        <v>37748.523952366777</v>
      </c>
      <c r="I341" s="517">
        <f t="shared" si="265"/>
        <v>37748.523952366777</v>
      </c>
      <c r="J341" s="517">
        <f t="shared" si="265"/>
        <v>264971.93937919789</v>
      </c>
      <c r="K341" s="517">
        <f t="shared" si="265"/>
        <v>37748.523952366777</v>
      </c>
      <c r="L341" s="517">
        <f t="shared" si="265"/>
        <v>37748.523952366777</v>
      </c>
      <c r="M341" s="517">
        <f t="shared" si="265"/>
        <v>156891.40852503266</v>
      </c>
      <c r="N341" s="517">
        <f t="shared" si="265"/>
        <v>37748.523952366777</v>
      </c>
      <c r="O341" s="517">
        <f t="shared" si="265"/>
        <v>37748.523952366777</v>
      </c>
      <c r="P341" s="511">
        <f t="shared" si="226"/>
        <v>-4.3410836951807141E-6</v>
      </c>
      <c r="Q341" s="530">
        <v>42347</v>
      </c>
      <c r="R341" s="480"/>
      <c r="U341" s="513"/>
    </row>
    <row r="342" spans="1:21" s="479" customFormat="1" ht="27" x14ac:dyDescent="0.15">
      <c r="A342" s="579"/>
      <c r="B342" s="528" t="s">
        <v>407</v>
      </c>
      <c r="C342" s="517">
        <f>FCISAN!I35</f>
        <v>68892.994020157668</v>
      </c>
      <c r="D342" s="517">
        <f t="shared" ref="D342:O342" si="266">$C342*D$24%</f>
        <v>5741.0828349901758</v>
      </c>
      <c r="E342" s="517">
        <f t="shared" si="266"/>
        <v>5741.0828349901758</v>
      </c>
      <c r="F342" s="517">
        <f t="shared" si="266"/>
        <v>5741.0828349901758</v>
      </c>
      <c r="G342" s="517">
        <f t="shared" si="266"/>
        <v>5741.0828349901758</v>
      </c>
      <c r="H342" s="517">
        <f t="shared" si="266"/>
        <v>5741.0828349901758</v>
      </c>
      <c r="I342" s="517">
        <f t="shared" si="266"/>
        <v>5741.0828349901758</v>
      </c>
      <c r="J342" s="517">
        <f t="shared" si="266"/>
        <v>5741.0828349901758</v>
      </c>
      <c r="K342" s="517">
        <f t="shared" si="266"/>
        <v>5741.0828349901758</v>
      </c>
      <c r="L342" s="517">
        <f t="shared" si="266"/>
        <v>5741.0828349901758</v>
      </c>
      <c r="M342" s="517">
        <f t="shared" si="266"/>
        <v>5741.0828349901758</v>
      </c>
      <c r="N342" s="517">
        <f t="shared" si="266"/>
        <v>5741.0828349901758</v>
      </c>
      <c r="O342" s="517">
        <f t="shared" si="266"/>
        <v>5741.0828349901758</v>
      </c>
      <c r="P342" s="511">
        <f t="shared" si="226"/>
        <v>2.7554597181733698E-7</v>
      </c>
      <c r="Q342" s="530">
        <v>5041</v>
      </c>
      <c r="R342" s="480"/>
      <c r="U342" s="513"/>
    </row>
    <row r="343" spans="1:21" s="479" customFormat="1" ht="27" x14ac:dyDescent="0.15">
      <c r="A343" s="579"/>
      <c r="B343" s="528" t="s">
        <v>242</v>
      </c>
      <c r="C343" s="517">
        <f>ISAN!I35</f>
        <v>344128.58458680368</v>
      </c>
      <c r="D343" s="517">
        <f t="shared" ref="D343:O343" si="267">$C343*D$25%</f>
        <v>33116.735147260231</v>
      </c>
      <c r="E343" s="517">
        <f t="shared" si="267"/>
        <v>36987.934931703203</v>
      </c>
      <c r="F343" s="517">
        <f t="shared" si="267"/>
        <v>28705.903257253147</v>
      </c>
      <c r="G343" s="517">
        <f t="shared" si="267"/>
        <v>26642.039257417051</v>
      </c>
      <c r="H343" s="517">
        <f t="shared" si="267"/>
        <v>28486.230184832839</v>
      </c>
      <c r="I343" s="517">
        <f t="shared" si="267"/>
        <v>24741.157682681845</v>
      </c>
      <c r="J343" s="517">
        <f t="shared" si="267"/>
        <v>26803.250941699789</v>
      </c>
      <c r="K343" s="517">
        <f t="shared" si="267"/>
        <v>27641.197261361871</v>
      </c>
      <c r="L343" s="517">
        <f t="shared" si="267"/>
        <v>27161.105146157995</v>
      </c>
      <c r="M343" s="517">
        <f t="shared" si="267"/>
        <v>27827.210967227806</v>
      </c>
      <c r="N343" s="517">
        <f t="shared" si="267"/>
        <v>26943.203542731932</v>
      </c>
      <c r="O343" s="517">
        <f t="shared" si="267"/>
        <v>29072.616262346441</v>
      </c>
      <c r="P343" s="511">
        <f t="shared" si="226"/>
        <v>4.1295388655271381E-6</v>
      </c>
      <c r="Q343" s="530">
        <v>21637</v>
      </c>
      <c r="R343" s="480"/>
      <c r="U343" s="513"/>
    </row>
    <row r="344" spans="1:21" s="479" customFormat="1" ht="18" x14ac:dyDescent="0.15">
      <c r="A344" s="579"/>
      <c r="B344" s="528" t="s">
        <v>403</v>
      </c>
      <c r="C344" s="517">
        <f>LOT!I35</f>
        <v>16658.230681356537</v>
      </c>
      <c r="D344" s="517">
        <f t="shared" ref="D344:O344" si="268">$C344*D$26%</f>
        <v>1259.5353009195837</v>
      </c>
      <c r="E344" s="517">
        <f t="shared" si="268"/>
        <v>1241.6822263589559</v>
      </c>
      <c r="F344" s="517">
        <f t="shared" si="268"/>
        <v>1220.4212153799672</v>
      </c>
      <c r="G344" s="517">
        <f t="shared" si="268"/>
        <v>1342.7358530915646</v>
      </c>
      <c r="H344" s="517">
        <f t="shared" si="268"/>
        <v>1098.6023314776503</v>
      </c>
      <c r="I344" s="517">
        <f t="shared" si="268"/>
        <v>1490.8593751021908</v>
      </c>
      <c r="J344" s="517">
        <f t="shared" si="268"/>
        <v>3421.52066285623</v>
      </c>
      <c r="K344" s="517">
        <f t="shared" si="268"/>
        <v>1245.5562307366367</v>
      </c>
      <c r="L344" s="517">
        <f t="shared" si="268"/>
        <v>1511.3277736890036</v>
      </c>
      <c r="M344" s="517">
        <f t="shared" si="268"/>
        <v>935.71900122855391</v>
      </c>
      <c r="N344" s="517">
        <f t="shared" si="268"/>
        <v>945.13535515815124</v>
      </c>
      <c r="O344" s="517">
        <f t="shared" si="268"/>
        <v>945.13535515815124</v>
      </c>
      <c r="P344" s="511">
        <f t="shared" si="226"/>
        <v>1.9989761312899645E-7</v>
      </c>
      <c r="Q344" s="530">
        <v>1057</v>
      </c>
      <c r="R344" s="480"/>
      <c r="U344" s="513"/>
    </row>
    <row r="345" spans="1:21" s="479" customFormat="1" ht="45" x14ac:dyDescent="0.15">
      <c r="A345" s="579"/>
      <c r="B345" s="518" t="s">
        <v>301</v>
      </c>
      <c r="C345" s="517">
        <f>'ENAJENAC DE INMUE'!I35</f>
        <v>65502.140353660376</v>
      </c>
      <c r="D345" s="517">
        <f t="shared" ref="D345:O345" si="269">$C345*D$27%</f>
        <v>2828.7569385873412</v>
      </c>
      <c r="E345" s="517">
        <f t="shared" si="269"/>
        <v>2870.4216941500345</v>
      </c>
      <c r="F345" s="517">
        <f t="shared" si="269"/>
        <v>2831.7245708289524</v>
      </c>
      <c r="G345" s="517">
        <f t="shared" si="269"/>
        <v>2815.1371170588636</v>
      </c>
      <c r="H345" s="517">
        <f t="shared" si="269"/>
        <v>3905.1328044606653</v>
      </c>
      <c r="I345" s="517">
        <f t="shared" si="269"/>
        <v>2810.8270762235929</v>
      </c>
      <c r="J345" s="517">
        <f t="shared" si="269"/>
        <v>3230.424539998975</v>
      </c>
      <c r="K345" s="517">
        <f t="shared" si="269"/>
        <v>3227.0993431015499</v>
      </c>
      <c r="L345" s="517">
        <f t="shared" si="269"/>
        <v>3223.0112389108008</v>
      </c>
      <c r="M345" s="517">
        <f t="shared" si="269"/>
        <v>2814.6762902438463</v>
      </c>
      <c r="N345" s="517">
        <f t="shared" si="269"/>
        <v>11702.388917675078</v>
      </c>
      <c r="O345" s="517">
        <f t="shared" si="269"/>
        <v>23242.539822289669</v>
      </c>
      <c r="P345" s="511">
        <f t="shared" si="226"/>
        <v>1.3099997886456549E-7</v>
      </c>
      <c r="Q345" s="530">
        <v>15421</v>
      </c>
      <c r="R345" s="480"/>
      <c r="U345" s="513"/>
    </row>
    <row r="346" spans="1:21" s="479" customFormat="1" ht="27" x14ac:dyDescent="0.15">
      <c r="A346" s="579"/>
      <c r="B346" s="518" t="s">
        <v>248</v>
      </c>
      <c r="C346" s="517">
        <f>'IMP BEBIDAS AL'!I35</f>
        <v>25601.697874427387</v>
      </c>
      <c r="D346" s="517">
        <f t="shared" ref="D346:O346" si="270">$C346*D$28%</f>
        <v>5821.5853232655454</v>
      </c>
      <c r="E346" s="517">
        <f t="shared" si="270"/>
        <v>2002.4139396628668</v>
      </c>
      <c r="F346" s="517">
        <f t="shared" si="270"/>
        <v>2151.9002853302359</v>
      </c>
      <c r="G346" s="517">
        <f t="shared" si="270"/>
        <v>2136.4525096317579</v>
      </c>
      <c r="H346" s="517">
        <f t="shared" si="270"/>
        <v>1360.5032533999201</v>
      </c>
      <c r="I346" s="517">
        <f t="shared" si="270"/>
        <v>2226.4657627957731</v>
      </c>
      <c r="J346" s="517">
        <f t="shared" si="270"/>
        <v>2213.9333163826277</v>
      </c>
      <c r="K346" s="517">
        <f t="shared" si="270"/>
        <v>2024.8035560494491</v>
      </c>
      <c r="L346" s="517">
        <f t="shared" si="270"/>
        <v>1468.4445157650518</v>
      </c>
      <c r="M346" s="517">
        <f t="shared" si="270"/>
        <v>1365.0492541639253</v>
      </c>
      <c r="N346" s="517">
        <f t="shared" si="270"/>
        <v>1374.6982533102976</v>
      </c>
      <c r="O346" s="517">
        <f t="shared" si="270"/>
        <v>1455.4479046699382</v>
      </c>
      <c r="P346" s="511">
        <f t="shared" si="226"/>
        <v>0</v>
      </c>
      <c r="Q346" s="530">
        <v>661</v>
      </c>
      <c r="R346" s="480"/>
      <c r="U346" s="513"/>
    </row>
    <row r="347" spans="1:21" s="479" customFormat="1" ht="18" x14ac:dyDescent="0.15">
      <c r="A347" s="579"/>
      <c r="B347" s="518" t="s">
        <v>253</v>
      </c>
      <c r="C347" s="517">
        <f>'FOND GASO Y D'!Q36</f>
        <v>0</v>
      </c>
      <c r="D347" s="517">
        <f t="shared" ref="D347:O347" si="271">$C347*D$29%</f>
        <v>0</v>
      </c>
      <c r="E347" s="517">
        <f t="shared" si="271"/>
        <v>0</v>
      </c>
      <c r="F347" s="517">
        <f t="shared" si="271"/>
        <v>0</v>
      </c>
      <c r="G347" s="517">
        <f t="shared" si="271"/>
        <v>0</v>
      </c>
      <c r="H347" s="517">
        <f t="shared" si="271"/>
        <v>0</v>
      </c>
      <c r="I347" s="517">
        <f t="shared" si="271"/>
        <v>0</v>
      </c>
      <c r="J347" s="517">
        <f t="shared" si="271"/>
        <v>0</v>
      </c>
      <c r="K347" s="517">
        <f t="shared" si="271"/>
        <v>0</v>
      </c>
      <c r="L347" s="517">
        <f t="shared" si="271"/>
        <v>0</v>
      </c>
      <c r="M347" s="517">
        <f t="shared" si="271"/>
        <v>0</v>
      </c>
      <c r="N347" s="517">
        <f t="shared" si="271"/>
        <v>0</v>
      </c>
      <c r="O347" s="517">
        <f t="shared" si="271"/>
        <v>0</v>
      </c>
      <c r="P347" s="511">
        <f t="shared" si="226"/>
        <v>0</v>
      </c>
      <c r="Q347" s="530">
        <v>32099</v>
      </c>
      <c r="R347" s="480"/>
      <c r="U347" s="513"/>
    </row>
    <row r="348" spans="1:21" s="479" customFormat="1" ht="18" x14ac:dyDescent="0.15">
      <c r="A348" s="579"/>
      <c r="B348" s="528" t="s">
        <v>408</v>
      </c>
      <c r="C348" s="519">
        <f>'FOND GASO Y D'!H36</f>
        <v>1039641.5530592836</v>
      </c>
      <c r="D348" s="517">
        <f t="shared" ref="D348:O348" si="272">$C348*D$30%</f>
        <v>80874.550849584994</v>
      </c>
      <c r="E348" s="517">
        <f t="shared" si="272"/>
        <v>88919.728038529065</v>
      </c>
      <c r="F348" s="517">
        <f t="shared" si="272"/>
        <v>86572.529817770061</v>
      </c>
      <c r="G348" s="517">
        <f t="shared" si="272"/>
        <v>80667.561279154892</v>
      </c>
      <c r="H348" s="517">
        <f t="shared" si="272"/>
        <v>88884.122320805327</v>
      </c>
      <c r="I348" s="517">
        <f t="shared" si="272"/>
        <v>85783.739592832469</v>
      </c>
      <c r="J348" s="517">
        <f t="shared" si="272"/>
        <v>87572.211444026994</v>
      </c>
      <c r="K348" s="517">
        <f t="shared" si="272"/>
        <v>87520.173389993521</v>
      </c>
      <c r="L348" s="517">
        <f t="shared" si="272"/>
        <v>91075.205451064059</v>
      </c>
      <c r="M348" s="517">
        <f t="shared" si="272"/>
        <v>90275.460335946438</v>
      </c>
      <c r="N348" s="517">
        <f t="shared" si="272"/>
        <v>84370.491797331284</v>
      </c>
      <c r="O348" s="517">
        <f t="shared" si="272"/>
        <v>87125.778743284158</v>
      </c>
      <c r="P348" s="511">
        <f t="shared" si="226"/>
        <v>-1.0395160643383861E-6</v>
      </c>
      <c r="Q348" s="530">
        <v>63537</v>
      </c>
      <c r="R348" s="480"/>
      <c r="U348" s="513"/>
    </row>
    <row r="349" spans="1:21" s="479" customFormat="1" x14ac:dyDescent="0.15">
      <c r="A349" s="579"/>
      <c r="B349" s="534"/>
      <c r="C349" s="521"/>
      <c r="D349" s="522"/>
      <c r="E349" s="522"/>
      <c r="F349" s="522"/>
      <c r="G349" s="522"/>
      <c r="H349" s="522"/>
      <c r="I349" s="522"/>
      <c r="J349" s="522"/>
      <c r="K349" s="522"/>
      <c r="L349" s="522"/>
      <c r="M349" s="522"/>
      <c r="N349" s="522"/>
      <c r="O349" s="522"/>
      <c r="P349" s="511">
        <f t="shared" si="226"/>
        <v>0</v>
      </c>
      <c r="Q349" s="530">
        <v>0</v>
      </c>
      <c r="R349" s="480"/>
      <c r="U349" s="513"/>
    </row>
    <row r="350" spans="1:21" s="479" customFormat="1" x14ac:dyDescent="0.15">
      <c r="A350" s="591"/>
      <c r="B350" s="532"/>
      <c r="C350" s="521"/>
      <c r="D350" s="521"/>
      <c r="E350" s="521"/>
      <c r="F350" s="521"/>
      <c r="G350" s="521"/>
      <c r="H350" s="521"/>
      <c r="I350" s="521"/>
      <c r="J350" s="521"/>
      <c r="K350" s="521"/>
      <c r="L350" s="521"/>
      <c r="M350" s="521"/>
      <c r="N350" s="521"/>
      <c r="O350" s="521"/>
      <c r="P350" s="511">
        <f t="shared" si="226"/>
        <v>0</v>
      </c>
      <c r="Q350" s="530">
        <v>0</v>
      </c>
      <c r="R350" s="480"/>
      <c r="U350" s="513"/>
    </row>
    <row r="351" spans="1:21" s="479" customFormat="1" x14ac:dyDescent="0.15">
      <c r="A351" s="584">
        <v>22</v>
      </c>
      <c r="B351" s="533" t="s">
        <v>91</v>
      </c>
      <c r="C351" s="524">
        <f t="shared" ref="C351:O351" si="273">SUM(C352:C363)</f>
        <v>57042221.604775369</v>
      </c>
      <c r="D351" s="524">
        <f t="shared" si="273"/>
        <v>4463018.0129444487</v>
      </c>
      <c r="E351" s="524">
        <f t="shared" si="273"/>
        <v>5970367.8026469396</v>
      </c>
      <c r="F351" s="524">
        <f t="shared" si="273"/>
        <v>3998631.1475793957</v>
      </c>
      <c r="G351" s="524">
        <f t="shared" si="273"/>
        <v>5055474.2898623729</v>
      </c>
      <c r="H351" s="524">
        <f t="shared" si="273"/>
        <v>5713888.8658105731</v>
      </c>
      <c r="I351" s="524">
        <f t="shared" si="273"/>
        <v>5605548.6010113228</v>
      </c>
      <c r="J351" s="524">
        <f t="shared" si="273"/>
        <v>4864522.2792187799</v>
      </c>
      <c r="K351" s="524">
        <f t="shared" si="273"/>
        <v>4733812.1666808687</v>
      </c>
      <c r="L351" s="524">
        <f t="shared" si="273"/>
        <v>4488555.9191201683</v>
      </c>
      <c r="M351" s="524">
        <f t="shared" si="273"/>
        <v>3373891.650999011</v>
      </c>
      <c r="N351" s="524">
        <f t="shared" si="273"/>
        <v>4362355.2339871423</v>
      </c>
      <c r="O351" s="524">
        <f t="shared" si="273"/>
        <v>4412155.6347519131</v>
      </c>
      <c r="P351" s="511">
        <f t="shared" si="226"/>
        <v>1.6243942081928253E-4</v>
      </c>
      <c r="Q351" s="530">
        <v>3324984</v>
      </c>
      <c r="R351" s="480"/>
      <c r="T351" s="512"/>
      <c r="U351" s="513"/>
    </row>
    <row r="352" spans="1:21" s="479" customFormat="1" x14ac:dyDescent="0.15">
      <c r="A352" s="579"/>
      <c r="B352" s="525" t="s">
        <v>294</v>
      </c>
      <c r="C352" s="526">
        <f>'FG1'!I37</f>
        <v>38401584.872121111</v>
      </c>
      <c r="D352" s="526">
        <f t="shared" ref="D352:O352" si="274">$C352*D$19%</f>
        <v>2904492.2970659793</v>
      </c>
      <c r="E352" s="526">
        <f t="shared" si="274"/>
        <v>4161410.4905405496</v>
      </c>
      <c r="F352" s="526">
        <f t="shared" si="274"/>
        <v>2689918.0859159683</v>
      </c>
      <c r="G352" s="526">
        <f t="shared" si="274"/>
        <v>3304291.8262259942</v>
      </c>
      <c r="H352" s="526">
        <f t="shared" si="274"/>
        <v>4035262.3168926504</v>
      </c>
      <c r="I352" s="526">
        <f t="shared" si="274"/>
        <v>3955981.2583490391</v>
      </c>
      <c r="J352" s="526">
        <f t="shared" si="274"/>
        <v>3066690.890288637</v>
      </c>
      <c r="K352" s="526">
        <f t="shared" si="274"/>
        <v>3256012.2217612457</v>
      </c>
      <c r="L352" s="526">
        <f t="shared" si="274"/>
        <v>3059843.8908548681</v>
      </c>
      <c r="M352" s="526">
        <f t="shared" si="274"/>
        <v>2028441.3458864586</v>
      </c>
      <c r="N352" s="526">
        <f t="shared" si="274"/>
        <v>2960406.7534479625</v>
      </c>
      <c r="O352" s="526">
        <f t="shared" si="274"/>
        <v>2978833.4948533569</v>
      </c>
      <c r="P352" s="511">
        <f t="shared" si="226"/>
        <v>3.8400758057832718E-5</v>
      </c>
      <c r="Q352" s="530">
        <v>2291559</v>
      </c>
      <c r="R352" s="480"/>
      <c r="U352" s="513"/>
    </row>
    <row r="353" spans="1:21" s="479" customFormat="1" x14ac:dyDescent="0.15">
      <c r="A353" s="579"/>
      <c r="B353" s="525" t="s">
        <v>296</v>
      </c>
      <c r="C353" s="526">
        <f>FFM!J37</f>
        <v>10322188.398273163</v>
      </c>
      <c r="D353" s="526">
        <f t="shared" ref="D353:O353" si="275">$C353*D$20%</f>
        <v>780596.29772965587</v>
      </c>
      <c r="E353" s="526">
        <f t="shared" si="275"/>
        <v>1119111.6245591377</v>
      </c>
      <c r="F353" s="526">
        <f t="shared" si="275"/>
        <v>722806.81294579327</v>
      </c>
      <c r="G353" s="526">
        <f t="shared" si="275"/>
        <v>888270.98364237009</v>
      </c>
      <c r="H353" s="526">
        <f t="shared" si="275"/>
        <v>1085137.1886219124</v>
      </c>
      <c r="I353" s="526">
        <f t="shared" si="275"/>
        <v>1063785.0771401851</v>
      </c>
      <c r="J353" s="526">
        <f t="shared" si="275"/>
        <v>824207.62876719248</v>
      </c>
      <c r="K353" s="526">
        <f t="shared" si="275"/>
        <v>875195.96920990001</v>
      </c>
      <c r="L353" s="526">
        <f t="shared" si="275"/>
        <v>822363.57893465541</v>
      </c>
      <c r="M353" s="526">
        <f t="shared" si="275"/>
        <v>544584.50600493839</v>
      </c>
      <c r="N353" s="526">
        <f t="shared" si="275"/>
        <v>795583.00388360152</v>
      </c>
      <c r="O353" s="526">
        <f t="shared" si="275"/>
        <v>800545.72670995421</v>
      </c>
      <c r="P353" s="511">
        <f t="shared" si="226"/>
        <v>1.2386532034724951E-4</v>
      </c>
      <c r="Q353" s="530">
        <v>701601</v>
      </c>
      <c r="R353" s="480"/>
      <c r="U353" s="513"/>
    </row>
    <row r="354" spans="1:21" s="479" customFormat="1" ht="18" x14ac:dyDescent="0.15">
      <c r="A354" s="579"/>
      <c r="B354" s="525" t="s">
        <v>297</v>
      </c>
      <c r="C354" s="526">
        <f>IEPS!I36</f>
        <v>928703.95207212865</v>
      </c>
      <c r="D354" s="526">
        <f t="shared" ref="D354:O354" si="276">$C354*D$21%</f>
        <v>65231.999286814797</v>
      </c>
      <c r="E354" s="526">
        <f t="shared" si="276"/>
        <v>149101.21639001605</v>
      </c>
      <c r="F354" s="526">
        <f t="shared" si="276"/>
        <v>61930.653529565825</v>
      </c>
      <c r="G354" s="526">
        <f t="shared" si="276"/>
        <v>60187.922974778332</v>
      </c>
      <c r="H354" s="526">
        <f t="shared" si="276"/>
        <v>66450.778060052136</v>
      </c>
      <c r="I354" s="526">
        <f t="shared" si="276"/>
        <v>68910.78073724237</v>
      </c>
      <c r="J354" s="526">
        <f t="shared" si="276"/>
        <v>70965.365385465921</v>
      </c>
      <c r="K354" s="526">
        <f t="shared" si="276"/>
        <v>78608.848944127152</v>
      </c>
      <c r="L354" s="526">
        <f t="shared" si="276"/>
        <v>78773.570231259102</v>
      </c>
      <c r="M354" s="526">
        <f t="shared" si="276"/>
        <v>77898.060783825116</v>
      </c>
      <c r="N354" s="526">
        <f t="shared" si="276"/>
        <v>75379.548273585417</v>
      </c>
      <c r="O354" s="526">
        <f t="shared" si="276"/>
        <v>75265.207474467723</v>
      </c>
      <c r="P354" s="511">
        <f t="shared" si="226"/>
        <v>9.2881964519619942E-7</v>
      </c>
      <c r="Q354" s="530">
        <v>59181</v>
      </c>
      <c r="R354" s="480"/>
      <c r="U354" s="513"/>
    </row>
    <row r="355" spans="1:21" s="479" customFormat="1" x14ac:dyDescent="0.15">
      <c r="A355" s="579"/>
      <c r="B355" s="527" t="s">
        <v>236</v>
      </c>
      <c r="C355" s="515">
        <f>ISR!C27</f>
        <v>3309872.04</v>
      </c>
      <c r="D355" s="515">
        <f>ISR!D27</f>
        <v>275822.66999999987</v>
      </c>
      <c r="E355" s="515">
        <f>ISR!E27</f>
        <v>275822.66999999987</v>
      </c>
      <c r="F355" s="515">
        <f>ISR!F27</f>
        <v>275822.66999999987</v>
      </c>
      <c r="G355" s="515">
        <f>ISR!G27</f>
        <v>275822.66999999987</v>
      </c>
      <c r="H355" s="515">
        <f>ISR!H27</f>
        <v>275822.66999999987</v>
      </c>
      <c r="I355" s="515">
        <f>ISR!I27</f>
        <v>275822.66999999987</v>
      </c>
      <c r="J355" s="515">
        <f>ISR!J27</f>
        <v>275822.66999999987</v>
      </c>
      <c r="K355" s="515">
        <f>ISR!K27</f>
        <v>275822.66999999987</v>
      </c>
      <c r="L355" s="515">
        <f>ISR!L27</f>
        <v>275822.66999999987</v>
      </c>
      <c r="M355" s="515">
        <f>ISR!M27</f>
        <v>275822.66999999987</v>
      </c>
      <c r="N355" s="515">
        <f>ISR!N27</f>
        <v>275822.66999999987</v>
      </c>
      <c r="O355" s="515">
        <f>ISR!O27</f>
        <v>275822.66999999987</v>
      </c>
      <c r="P355" s="511">
        <f t="shared" si="226"/>
        <v>1.0477378964424133E-9</v>
      </c>
      <c r="Q355" s="530">
        <v>0</v>
      </c>
      <c r="R355" s="480"/>
      <c r="U355" s="513"/>
    </row>
    <row r="356" spans="1:21" s="479" customFormat="1" ht="18" x14ac:dyDescent="0.15">
      <c r="A356" s="579"/>
      <c r="B356" s="528" t="s">
        <v>298</v>
      </c>
      <c r="C356" s="517">
        <f>FOFIR!I36</f>
        <v>1796108.8725326641</v>
      </c>
      <c r="D356" s="517">
        <f t="shared" ref="D356:O356" si="277">$C356*D$23%</f>
        <v>245555.91463651098</v>
      </c>
      <c r="E356" s="517">
        <f t="shared" si="277"/>
        <v>62474.535393980361</v>
      </c>
      <c r="F356" s="517">
        <f t="shared" si="277"/>
        <v>62474.535393980361</v>
      </c>
      <c r="G356" s="517">
        <f t="shared" si="277"/>
        <v>352564.69528964773</v>
      </c>
      <c r="H356" s="517">
        <f t="shared" si="277"/>
        <v>62474.535393980361</v>
      </c>
      <c r="I356" s="517">
        <f t="shared" si="277"/>
        <v>62474.535393980361</v>
      </c>
      <c r="J356" s="517">
        <f t="shared" si="277"/>
        <v>438533.67156941257</v>
      </c>
      <c r="K356" s="517">
        <f t="shared" si="277"/>
        <v>62474.535393980361</v>
      </c>
      <c r="L356" s="517">
        <f t="shared" si="277"/>
        <v>62474.535393980361</v>
      </c>
      <c r="M356" s="517">
        <f t="shared" si="277"/>
        <v>259658.30789243433</v>
      </c>
      <c r="N356" s="517">
        <f t="shared" si="277"/>
        <v>62474.535393980361</v>
      </c>
      <c r="O356" s="517">
        <f t="shared" si="277"/>
        <v>62474.535393980361</v>
      </c>
      <c r="P356" s="511">
        <f t="shared" ref="P356:P419" si="278">C356-D356-E356-F356-G356-H356-I356-J356-K356-L356-M356-N356-O356</f>
        <v>-7.1840768214315176E-6</v>
      </c>
      <c r="Q356" s="530">
        <v>69710</v>
      </c>
      <c r="R356" s="480"/>
      <c r="U356" s="513"/>
    </row>
    <row r="357" spans="1:21" s="479" customFormat="1" ht="27" x14ac:dyDescent="0.15">
      <c r="A357" s="579"/>
      <c r="B357" s="528" t="s">
        <v>407</v>
      </c>
      <c r="C357" s="517">
        <f>FCISAN!I36</f>
        <v>114019.23420212991</v>
      </c>
      <c r="D357" s="517">
        <f t="shared" ref="D357:O357" si="279">$C357*D$24%</f>
        <v>9501.6028501394885</v>
      </c>
      <c r="E357" s="517">
        <f t="shared" si="279"/>
        <v>9501.6028501394885</v>
      </c>
      <c r="F357" s="517">
        <f t="shared" si="279"/>
        <v>9501.6028501394885</v>
      </c>
      <c r="G357" s="517">
        <f t="shared" si="279"/>
        <v>9501.6028501394885</v>
      </c>
      <c r="H357" s="517">
        <f t="shared" si="279"/>
        <v>9501.6028501394885</v>
      </c>
      <c r="I357" s="517">
        <f t="shared" si="279"/>
        <v>9501.6028501394885</v>
      </c>
      <c r="J357" s="517">
        <f t="shared" si="279"/>
        <v>9501.6028501394885</v>
      </c>
      <c r="K357" s="517">
        <f t="shared" si="279"/>
        <v>9501.6028501394885</v>
      </c>
      <c r="L357" s="517">
        <f t="shared" si="279"/>
        <v>9501.6028501394885</v>
      </c>
      <c r="M357" s="517">
        <f t="shared" si="279"/>
        <v>9501.6028501394885</v>
      </c>
      <c r="N357" s="517">
        <f t="shared" si="279"/>
        <v>9501.6028501394885</v>
      </c>
      <c r="O357" s="517">
        <f t="shared" si="279"/>
        <v>9501.6028501394885</v>
      </c>
      <c r="P357" s="511">
        <f t="shared" si="278"/>
        <v>4.5603155740536749E-7</v>
      </c>
      <c r="Q357" s="530">
        <v>8296</v>
      </c>
      <c r="R357" s="480"/>
      <c r="U357" s="513"/>
    </row>
    <row r="358" spans="1:21" s="479" customFormat="1" ht="27" x14ac:dyDescent="0.15">
      <c r="A358" s="579"/>
      <c r="B358" s="528" t="s">
        <v>242</v>
      </c>
      <c r="C358" s="517">
        <f>ISAN!I36</f>
        <v>569539.44649538165</v>
      </c>
      <c r="D358" s="517">
        <f t="shared" ref="D358:O358" si="280">$C358*D$25%</f>
        <v>54808.835564042296</v>
      </c>
      <c r="E358" s="517">
        <f t="shared" si="280"/>
        <v>61215.745891331739</v>
      </c>
      <c r="F358" s="517">
        <f t="shared" si="280"/>
        <v>47508.823691343168</v>
      </c>
      <c r="G358" s="517">
        <f t="shared" si="280"/>
        <v>44093.088955096937</v>
      </c>
      <c r="H358" s="517">
        <f t="shared" si="280"/>
        <v>47145.260518506409</v>
      </c>
      <c r="I358" s="517">
        <f t="shared" si="280"/>
        <v>40947.093276685417</v>
      </c>
      <c r="J358" s="517">
        <f t="shared" si="280"/>
        <v>44359.89740271608</v>
      </c>
      <c r="K358" s="517">
        <f t="shared" si="280"/>
        <v>45746.714727601233</v>
      </c>
      <c r="L358" s="517">
        <f t="shared" si="280"/>
        <v>44952.153014896307</v>
      </c>
      <c r="M358" s="517">
        <f t="shared" si="280"/>
        <v>46054.570999426614</v>
      </c>
      <c r="N358" s="517">
        <f t="shared" si="280"/>
        <v>44591.521657420592</v>
      </c>
      <c r="O358" s="517">
        <f t="shared" si="280"/>
        <v>48115.740789480391</v>
      </c>
      <c r="P358" s="511">
        <f t="shared" si="278"/>
        <v>6.834387022536248E-6</v>
      </c>
      <c r="Q358" s="530">
        <v>35623</v>
      </c>
      <c r="R358" s="480"/>
      <c r="U358" s="513"/>
    </row>
    <row r="359" spans="1:21" s="479" customFormat="1" ht="18" x14ac:dyDescent="0.15">
      <c r="A359" s="579"/>
      <c r="B359" s="528" t="s">
        <v>403</v>
      </c>
      <c r="C359" s="517">
        <f>LOT!I36</f>
        <v>27569.693151889383</v>
      </c>
      <c r="D359" s="517">
        <f t="shared" ref="D359:O359" si="281">$C359*D$26%</f>
        <v>2084.5552222535198</v>
      </c>
      <c r="E359" s="517">
        <f t="shared" si="281"/>
        <v>2055.0080394302458</v>
      </c>
      <c r="F359" s="517">
        <f t="shared" si="281"/>
        <v>2019.8206560879271</v>
      </c>
      <c r="G359" s="517">
        <f t="shared" si="281"/>
        <v>2222.253741221471</v>
      </c>
      <c r="H359" s="517">
        <f t="shared" si="281"/>
        <v>1818.208053072934</v>
      </c>
      <c r="I359" s="517">
        <f t="shared" si="281"/>
        <v>2467.4010277805705</v>
      </c>
      <c r="J359" s="517">
        <f t="shared" si="281"/>
        <v>5662.6827057550263</v>
      </c>
      <c r="K359" s="517">
        <f t="shared" si="281"/>
        <v>2061.4195914134511</v>
      </c>
      <c r="L359" s="517">
        <f t="shared" si="281"/>
        <v>2501.2766223225858</v>
      </c>
      <c r="M359" s="517">
        <f t="shared" si="281"/>
        <v>1548.6329991297046</v>
      </c>
      <c r="N359" s="517">
        <f t="shared" si="281"/>
        <v>1564.217246545556</v>
      </c>
      <c r="O359" s="517">
        <f t="shared" si="281"/>
        <v>1564.217246545556</v>
      </c>
      <c r="P359" s="511">
        <f t="shared" si="278"/>
        <v>3.3083961170632392E-7</v>
      </c>
      <c r="Q359" s="530">
        <v>1740</v>
      </c>
      <c r="R359" s="480"/>
      <c r="U359" s="513"/>
    </row>
    <row r="360" spans="1:21" s="479" customFormat="1" ht="45" x14ac:dyDescent="0.15">
      <c r="A360" s="579"/>
      <c r="B360" s="518" t="s">
        <v>301</v>
      </c>
      <c r="C360" s="517">
        <f>'ENAJENAC DE INMUE'!I36</f>
        <v>108407.30596698335</v>
      </c>
      <c r="D360" s="517">
        <f t="shared" ref="D360:O360" si="282">$C360*D$27%</f>
        <v>4681.6473063620806</v>
      </c>
      <c r="E360" s="517">
        <f t="shared" si="282"/>
        <v>4750.6032806239509</v>
      </c>
      <c r="F360" s="517">
        <f t="shared" si="282"/>
        <v>4686.5587949741594</v>
      </c>
      <c r="G360" s="517">
        <f t="shared" si="282"/>
        <v>4659.1062389758627</v>
      </c>
      <c r="H360" s="517">
        <f t="shared" si="282"/>
        <v>6463.0701300619994</v>
      </c>
      <c r="I360" s="517">
        <f t="shared" si="282"/>
        <v>4651.9730382432354</v>
      </c>
      <c r="J360" s="517">
        <f t="shared" si="282"/>
        <v>5346.4149357579035</v>
      </c>
      <c r="K360" s="517">
        <f t="shared" si="282"/>
        <v>5340.9116707422363</v>
      </c>
      <c r="L360" s="517">
        <f t="shared" si="282"/>
        <v>5334.1457794379421</v>
      </c>
      <c r="M360" s="517">
        <f t="shared" si="282"/>
        <v>4658.3435617066361</v>
      </c>
      <c r="N360" s="517">
        <f t="shared" si="282"/>
        <v>19367.679423809001</v>
      </c>
      <c r="O360" s="517">
        <f t="shared" si="282"/>
        <v>38466.851806071521</v>
      </c>
      <c r="P360" s="511">
        <f t="shared" si="278"/>
        <v>2.1683081286028028E-7</v>
      </c>
      <c r="Q360" s="530">
        <v>25390</v>
      </c>
      <c r="R360" s="480"/>
      <c r="U360" s="513"/>
    </row>
    <row r="361" spans="1:21" s="479" customFormat="1" ht="27" x14ac:dyDescent="0.15">
      <c r="A361" s="579"/>
      <c r="B361" s="518" t="s">
        <v>248</v>
      </c>
      <c r="C361" s="517">
        <f>'IMP BEBIDAS AL'!I36</f>
        <v>42371.303895754638</v>
      </c>
      <c r="D361" s="517">
        <f t="shared" ref="D361:O361" si="283">$C361*D$28%</f>
        <v>9634.8360213069045</v>
      </c>
      <c r="E361" s="517">
        <f t="shared" si="283"/>
        <v>3314.0337011514816</v>
      </c>
      <c r="F361" s="517">
        <f t="shared" si="283"/>
        <v>3561.4364871543844</v>
      </c>
      <c r="G361" s="517">
        <f t="shared" si="283"/>
        <v>3535.870120351522</v>
      </c>
      <c r="H361" s="517">
        <f t="shared" si="283"/>
        <v>2251.6591315043879</v>
      </c>
      <c r="I361" s="517">
        <f t="shared" si="283"/>
        <v>3684.8437908934134</v>
      </c>
      <c r="J361" s="517">
        <f t="shared" si="283"/>
        <v>3664.1023503009496</v>
      </c>
      <c r="K361" s="517">
        <f t="shared" si="283"/>
        <v>3351.0889482166713</v>
      </c>
      <c r="L361" s="517">
        <f t="shared" si="283"/>
        <v>2430.3040031452169</v>
      </c>
      <c r="M361" s="517">
        <f t="shared" si="283"/>
        <v>2259.1828504712612</v>
      </c>
      <c r="N361" s="517">
        <f t="shared" si="283"/>
        <v>2275.1521302091173</v>
      </c>
      <c r="O361" s="517">
        <f t="shared" si="283"/>
        <v>2408.7943610493289</v>
      </c>
      <c r="P361" s="511">
        <f t="shared" si="278"/>
        <v>0</v>
      </c>
      <c r="Q361" s="530">
        <v>1086</v>
      </c>
      <c r="R361" s="480"/>
      <c r="U361" s="513"/>
    </row>
    <row r="362" spans="1:21" s="479" customFormat="1" ht="18" x14ac:dyDescent="0.15">
      <c r="A362" s="579"/>
      <c r="B362" s="518" t="s">
        <v>253</v>
      </c>
      <c r="C362" s="517">
        <f>'FOND GASO Y D'!Q37</f>
        <v>0</v>
      </c>
      <c r="D362" s="517">
        <f t="shared" ref="D362:O362" si="284">$C362*D$29%</f>
        <v>0</v>
      </c>
      <c r="E362" s="517">
        <f t="shared" si="284"/>
        <v>0</v>
      </c>
      <c r="F362" s="517">
        <f t="shared" si="284"/>
        <v>0</v>
      </c>
      <c r="G362" s="517">
        <f t="shared" si="284"/>
        <v>0</v>
      </c>
      <c r="H362" s="517">
        <f t="shared" si="284"/>
        <v>0</v>
      </c>
      <c r="I362" s="517">
        <f t="shared" si="284"/>
        <v>0</v>
      </c>
      <c r="J362" s="517">
        <f t="shared" si="284"/>
        <v>0</v>
      </c>
      <c r="K362" s="517">
        <f t="shared" si="284"/>
        <v>0</v>
      </c>
      <c r="L362" s="517">
        <f t="shared" si="284"/>
        <v>0</v>
      </c>
      <c r="M362" s="517">
        <f t="shared" si="284"/>
        <v>0</v>
      </c>
      <c r="N362" s="517">
        <f t="shared" si="284"/>
        <v>0</v>
      </c>
      <c r="O362" s="517">
        <f t="shared" si="284"/>
        <v>0</v>
      </c>
      <c r="P362" s="511">
        <f t="shared" si="278"/>
        <v>0</v>
      </c>
      <c r="Q362" s="530">
        <v>43900</v>
      </c>
      <c r="R362" s="480"/>
      <c r="U362" s="513"/>
    </row>
    <row r="363" spans="1:21" s="479" customFormat="1" ht="18" x14ac:dyDescent="0.15">
      <c r="A363" s="579"/>
      <c r="B363" s="528" t="s">
        <v>408</v>
      </c>
      <c r="C363" s="519">
        <f>'FOND GASO Y D'!H37</f>
        <v>1421856.4860641609</v>
      </c>
      <c r="D363" s="517">
        <f t="shared" ref="D363:O363" si="285">$C363*D$30%</f>
        <v>110607.35726138392</v>
      </c>
      <c r="E363" s="517">
        <f t="shared" si="285"/>
        <v>121610.27200057892</v>
      </c>
      <c r="F363" s="517">
        <f t="shared" si="285"/>
        <v>118400.14731438897</v>
      </c>
      <c r="G363" s="517">
        <f t="shared" si="285"/>
        <v>110324.26982379775</v>
      </c>
      <c r="H363" s="517">
        <f t="shared" si="285"/>
        <v>121561.57615869236</v>
      </c>
      <c r="I363" s="517">
        <f t="shared" si="285"/>
        <v>117321.36540713333</v>
      </c>
      <c r="J363" s="517">
        <f t="shared" si="285"/>
        <v>119767.35296340323</v>
      </c>
      <c r="K363" s="517">
        <f t="shared" si="285"/>
        <v>119696.18358350308</v>
      </c>
      <c r="L363" s="517">
        <f t="shared" si="285"/>
        <v>124558.1914354641</v>
      </c>
      <c r="M363" s="517">
        <f t="shared" si="285"/>
        <v>123464.42717048066</v>
      </c>
      <c r="N363" s="517">
        <f t="shared" si="285"/>
        <v>115388.54967988945</v>
      </c>
      <c r="O363" s="517">
        <f t="shared" si="285"/>
        <v>119156.79326686698</v>
      </c>
      <c r="P363" s="511">
        <f t="shared" si="278"/>
        <v>-1.4218676369637251E-6</v>
      </c>
      <c r="Q363" s="530">
        <v>86898</v>
      </c>
      <c r="R363" s="480"/>
      <c r="U363" s="513"/>
    </row>
    <row r="364" spans="1:21" s="479" customFormat="1" x14ac:dyDescent="0.15">
      <c r="A364" s="579"/>
      <c r="B364" s="534"/>
      <c r="C364" s="521"/>
      <c r="D364" s="522"/>
      <c r="E364" s="522"/>
      <c r="F364" s="522"/>
      <c r="G364" s="522"/>
      <c r="H364" s="522"/>
      <c r="I364" s="522"/>
      <c r="J364" s="522"/>
      <c r="K364" s="522"/>
      <c r="L364" s="522"/>
      <c r="M364" s="522"/>
      <c r="N364" s="522"/>
      <c r="O364" s="522"/>
      <c r="P364" s="511">
        <f t="shared" si="278"/>
        <v>0</v>
      </c>
      <c r="Q364" s="530">
        <v>0</v>
      </c>
      <c r="R364" s="480"/>
      <c r="U364" s="513"/>
    </row>
    <row r="365" spans="1:21" s="479" customFormat="1" x14ac:dyDescent="0.15">
      <c r="A365" s="591"/>
      <c r="B365" s="532"/>
      <c r="C365" s="521"/>
      <c r="D365" s="522"/>
      <c r="E365" s="522"/>
      <c r="F365" s="522"/>
      <c r="G365" s="522"/>
      <c r="H365" s="522"/>
      <c r="I365" s="522"/>
      <c r="J365" s="522"/>
      <c r="K365" s="522"/>
      <c r="L365" s="522"/>
      <c r="M365" s="522"/>
      <c r="N365" s="522"/>
      <c r="O365" s="522"/>
      <c r="P365" s="511">
        <f t="shared" si="278"/>
        <v>0</v>
      </c>
      <c r="Q365" s="530">
        <v>0</v>
      </c>
      <c r="R365" s="480"/>
      <c r="U365" s="513"/>
    </row>
    <row r="366" spans="1:21" s="479" customFormat="1" x14ac:dyDescent="0.15">
      <c r="A366" s="584">
        <v>23</v>
      </c>
      <c r="B366" s="533" t="s">
        <v>60</v>
      </c>
      <c r="C366" s="524">
        <f t="shared" ref="C366:O366" si="286">SUM(C367:C378)</f>
        <v>32871342.486558672</v>
      </c>
      <c r="D366" s="524">
        <f t="shared" si="286"/>
        <v>2578680.7174575487</v>
      </c>
      <c r="E366" s="524">
        <f t="shared" si="286"/>
        <v>3408734.7555959169</v>
      </c>
      <c r="F366" s="524">
        <f t="shared" si="286"/>
        <v>2324174.6782029835</v>
      </c>
      <c r="G366" s="524">
        <f t="shared" si="286"/>
        <v>2904427.2561086193</v>
      </c>
      <c r="H366" s="524">
        <f t="shared" si="286"/>
        <v>3267697.883493857</v>
      </c>
      <c r="I366" s="524">
        <f t="shared" si="286"/>
        <v>3207662.1953053172</v>
      </c>
      <c r="J366" s="524">
        <f t="shared" si="286"/>
        <v>2800456.2417109623</v>
      </c>
      <c r="K366" s="524">
        <f t="shared" si="286"/>
        <v>2728574.1567180837</v>
      </c>
      <c r="L366" s="524">
        <f t="shared" si="286"/>
        <v>2594243.4202201976</v>
      </c>
      <c r="M366" s="524">
        <f t="shared" si="286"/>
        <v>1981197.3166689305</v>
      </c>
      <c r="N366" s="524">
        <f t="shared" si="286"/>
        <v>2523849.6281501153</v>
      </c>
      <c r="O366" s="524">
        <f t="shared" si="286"/>
        <v>2551644.2368369829</v>
      </c>
      <c r="P366" s="511">
        <f t="shared" si="278"/>
        <v>8.9155975729227066E-5</v>
      </c>
      <c r="Q366" s="530">
        <v>1865310</v>
      </c>
      <c r="R366" s="480"/>
      <c r="T366" s="512"/>
      <c r="U366" s="513"/>
    </row>
    <row r="367" spans="1:21" s="479" customFormat="1" x14ac:dyDescent="0.15">
      <c r="A367" s="579"/>
      <c r="B367" s="525" t="s">
        <v>294</v>
      </c>
      <c r="C367" s="526">
        <f>'FG1'!I38</f>
        <v>21116103.075291462</v>
      </c>
      <c r="D367" s="526">
        <f t="shared" ref="D367:O367" si="287">$C367*D$19%</f>
        <v>1597110.0914316936</v>
      </c>
      <c r="E367" s="526">
        <f t="shared" si="287"/>
        <v>2288259.0171596687</v>
      </c>
      <c r="F367" s="526">
        <f t="shared" si="287"/>
        <v>1479120.920541187</v>
      </c>
      <c r="G367" s="526">
        <f t="shared" si="287"/>
        <v>1816950.1864514377</v>
      </c>
      <c r="H367" s="526">
        <f t="shared" si="287"/>
        <v>2218893.1863904637</v>
      </c>
      <c r="I367" s="526">
        <f t="shared" si="287"/>
        <v>2175298.4490977204</v>
      </c>
      <c r="J367" s="526">
        <f t="shared" si="287"/>
        <v>1686299.1763239531</v>
      </c>
      <c r="K367" s="526">
        <f t="shared" si="287"/>
        <v>1790402.3992258105</v>
      </c>
      <c r="L367" s="526">
        <f t="shared" si="287"/>
        <v>1682534.1768771491</v>
      </c>
      <c r="M367" s="526">
        <f t="shared" si="287"/>
        <v>1115390.8539076278</v>
      </c>
      <c r="N367" s="526">
        <f t="shared" si="287"/>
        <v>1627856.099136652</v>
      </c>
      <c r="O367" s="526">
        <f t="shared" si="287"/>
        <v>1637988.5187269831</v>
      </c>
      <c r="P367" s="511">
        <f t="shared" si="278"/>
        <v>2.1114479750394821E-5</v>
      </c>
      <c r="Q367" s="530">
        <v>1276379</v>
      </c>
      <c r="R367" s="480"/>
      <c r="U367" s="513"/>
    </row>
    <row r="368" spans="1:21" s="479" customFormat="1" x14ac:dyDescent="0.15">
      <c r="A368" s="579"/>
      <c r="B368" s="525" t="s">
        <v>296</v>
      </c>
      <c r="C368" s="526">
        <f>FFM!J38</f>
        <v>5675921.8377664462</v>
      </c>
      <c r="D368" s="526">
        <f t="shared" ref="D368:O368" si="288">$C368*D$20%</f>
        <v>429231.03142591391</v>
      </c>
      <c r="E368" s="526">
        <f t="shared" si="288"/>
        <v>615372.42526944599</v>
      </c>
      <c r="F368" s="526">
        <f t="shared" si="288"/>
        <v>397453.99093584972</v>
      </c>
      <c r="G368" s="526">
        <f t="shared" si="288"/>
        <v>488438.73792823468</v>
      </c>
      <c r="H368" s="526">
        <f t="shared" si="288"/>
        <v>596690.70435703231</v>
      </c>
      <c r="I368" s="526">
        <f t="shared" si="288"/>
        <v>584949.69448921829</v>
      </c>
      <c r="J368" s="526">
        <f t="shared" si="288"/>
        <v>453211.84796007315</v>
      </c>
      <c r="K368" s="526">
        <f t="shared" si="288"/>
        <v>481249.10361011047</v>
      </c>
      <c r="L368" s="526">
        <f t="shared" si="288"/>
        <v>452197.84954127105</v>
      </c>
      <c r="M368" s="526">
        <f t="shared" si="288"/>
        <v>299453.85327977454</v>
      </c>
      <c r="N368" s="526">
        <f t="shared" si="288"/>
        <v>437471.85880217067</v>
      </c>
      <c r="O368" s="526">
        <f t="shared" si="288"/>
        <v>440200.74009924033</v>
      </c>
      <c r="P368" s="511">
        <f t="shared" si="278"/>
        <v>6.8110937718302011E-5</v>
      </c>
      <c r="Q368" s="530">
        <v>390786</v>
      </c>
      <c r="R368" s="480"/>
      <c r="U368" s="513"/>
    </row>
    <row r="369" spans="1:21" s="479" customFormat="1" ht="18" x14ac:dyDescent="0.15">
      <c r="A369" s="579"/>
      <c r="B369" s="525" t="s">
        <v>297</v>
      </c>
      <c r="C369" s="526">
        <f>IEPS!I37</f>
        <v>510671.84970854089</v>
      </c>
      <c r="D369" s="526">
        <f t="shared" ref="D369:O369" si="289">$C369*D$21%</f>
        <v>35869.499275477094</v>
      </c>
      <c r="E369" s="526">
        <f t="shared" si="289"/>
        <v>81987.15403094278</v>
      </c>
      <c r="F369" s="526">
        <f t="shared" si="289"/>
        <v>34054.169061128188</v>
      </c>
      <c r="G369" s="526">
        <f t="shared" si="289"/>
        <v>33095.883663535948</v>
      </c>
      <c r="H369" s="526">
        <f t="shared" si="289"/>
        <v>36539.676256124076</v>
      </c>
      <c r="I369" s="526">
        <f t="shared" si="289"/>
        <v>37892.372252136302</v>
      </c>
      <c r="J369" s="526">
        <f t="shared" si="289"/>
        <v>39022.13867592514</v>
      </c>
      <c r="K369" s="526">
        <f t="shared" si="289"/>
        <v>43225.105486187189</v>
      </c>
      <c r="L369" s="526">
        <f t="shared" si="289"/>
        <v>43315.681739468288</v>
      </c>
      <c r="M369" s="526">
        <f t="shared" si="289"/>
        <v>42834.260261761803</v>
      </c>
      <c r="N369" s="526">
        <f t="shared" si="289"/>
        <v>41449.391123164321</v>
      </c>
      <c r="O369" s="526">
        <f t="shared" si="289"/>
        <v>41386.517882179069</v>
      </c>
      <c r="P369" s="511">
        <f t="shared" si="278"/>
        <v>5.1074312068521976E-7</v>
      </c>
      <c r="Q369" s="530">
        <v>32965</v>
      </c>
      <c r="R369" s="480"/>
      <c r="U369" s="513"/>
    </row>
    <row r="370" spans="1:21" s="479" customFormat="1" x14ac:dyDescent="0.15">
      <c r="A370" s="579"/>
      <c r="B370" s="527" t="s">
        <v>236</v>
      </c>
      <c r="C370" s="515">
        <f>ISR!C28</f>
        <v>3170302.92</v>
      </c>
      <c r="D370" s="515">
        <f>ISR!D28</f>
        <v>264191.90999999992</v>
      </c>
      <c r="E370" s="515">
        <f>ISR!E28</f>
        <v>264191.90999999992</v>
      </c>
      <c r="F370" s="515">
        <f>ISR!F28</f>
        <v>264191.90999999992</v>
      </c>
      <c r="G370" s="515">
        <f>ISR!G28</f>
        <v>264191.90999999992</v>
      </c>
      <c r="H370" s="515">
        <f>ISR!H28</f>
        <v>264191.90999999992</v>
      </c>
      <c r="I370" s="515">
        <f>ISR!I28</f>
        <v>264191.90999999992</v>
      </c>
      <c r="J370" s="515">
        <f>ISR!J28</f>
        <v>264191.90999999992</v>
      </c>
      <c r="K370" s="515">
        <f>ISR!K28</f>
        <v>264191.90999999992</v>
      </c>
      <c r="L370" s="515">
        <f>ISR!L28</f>
        <v>264191.90999999992</v>
      </c>
      <c r="M370" s="515">
        <f>ISR!M28</f>
        <v>264191.90999999992</v>
      </c>
      <c r="N370" s="515">
        <f>ISR!N28</f>
        <v>264191.90999999992</v>
      </c>
      <c r="O370" s="515">
        <f>ISR!O28</f>
        <v>264191.90999999992</v>
      </c>
      <c r="P370" s="511">
        <f t="shared" si="278"/>
        <v>0</v>
      </c>
      <c r="Q370" s="530">
        <v>0</v>
      </c>
      <c r="R370" s="480"/>
      <c r="U370" s="513"/>
    </row>
    <row r="371" spans="1:21" s="479" customFormat="1" ht="18" x14ac:dyDescent="0.15">
      <c r="A371" s="579"/>
      <c r="B371" s="528" t="s">
        <v>298</v>
      </c>
      <c r="C371" s="517">
        <f>FOFIR!I37</f>
        <v>987636.84397774667</v>
      </c>
      <c r="D371" s="517">
        <f t="shared" ref="D371:O371" si="290">$C371*D$23%</f>
        <v>135025.26058439823</v>
      </c>
      <c r="E371" s="517">
        <f t="shared" si="290"/>
        <v>34353.236548785368</v>
      </c>
      <c r="F371" s="517">
        <f t="shared" si="290"/>
        <v>34353.236548785368</v>
      </c>
      <c r="G371" s="517">
        <f t="shared" si="290"/>
        <v>193866.80188425558</v>
      </c>
      <c r="H371" s="517">
        <f t="shared" si="290"/>
        <v>34353.236548785368</v>
      </c>
      <c r="I371" s="517">
        <f t="shared" si="290"/>
        <v>34353.236548785368</v>
      </c>
      <c r="J371" s="517">
        <f t="shared" si="290"/>
        <v>241139.06344444703</v>
      </c>
      <c r="K371" s="517">
        <f t="shared" si="290"/>
        <v>34353.236548785368</v>
      </c>
      <c r="L371" s="517">
        <f t="shared" si="290"/>
        <v>34353.236548785368</v>
      </c>
      <c r="M371" s="517">
        <f t="shared" si="290"/>
        <v>142779.82567831344</v>
      </c>
      <c r="N371" s="517">
        <f t="shared" si="290"/>
        <v>34353.236548785368</v>
      </c>
      <c r="O371" s="517">
        <f t="shared" si="290"/>
        <v>34353.236548785368</v>
      </c>
      <c r="P371" s="511">
        <f t="shared" si="278"/>
        <v>-3.9505248423665762E-6</v>
      </c>
      <c r="Q371" s="530">
        <v>38827</v>
      </c>
      <c r="R371" s="480"/>
      <c r="U371" s="513"/>
    </row>
    <row r="372" spans="1:21" s="479" customFormat="1" ht="27" x14ac:dyDescent="0.15">
      <c r="A372" s="579"/>
      <c r="B372" s="528" t="s">
        <v>407</v>
      </c>
      <c r="C372" s="517">
        <f>FCISAN!I37</f>
        <v>62696.420212746991</v>
      </c>
      <c r="D372" s="517">
        <f t="shared" ref="D372:O372" si="291">$C372*D$24%</f>
        <v>5224.7016843746842</v>
      </c>
      <c r="E372" s="517">
        <f t="shared" si="291"/>
        <v>5224.7016843746842</v>
      </c>
      <c r="F372" s="517">
        <f t="shared" si="291"/>
        <v>5224.7016843746842</v>
      </c>
      <c r="G372" s="517">
        <f t="shared" si="291"/>
        <v>5224.7016843746842</v>
      </c>
      <c r="H372" s="517">
        <f t="shared" si="291"/>
        <v>5224.7016843746842</v>
      </c>
      <c r="I372" s="517">
        <f t="shared" si="291"/>
        <v>5224.7016843746842</v>
      </c>
      <c r="J372" s="517">
        <f t="shared" si="291"/>
        <v>5224.7016843746842</v>
      </c>
      <c r="K372" s="517">
        <f t="shared" si="291"/>
        <v>5224.7016843746842</v>
      </c>
      <c r="L372" s="517">
        <f t="shared" si="291"/>
        <v>5224.7016843746842</v>
      </c>
      <c r="M372" s="517">
        <f t="shared" si="291"/>
        <v>5224.7016843746842</v>
      </c>
      <c r="N372" s="517">
        <f t="shared" si="291"/>
        <v>5224.7016843746842</v>
      </c>
      <c r="O372" s="517">
        <f t="shared" si="291"/>
        <v>5224.7016843746842</v>
      </c>
      <c r="P372" s="511">
        <f t="shared" si="278"/>
        <v>2.5079498300328851E-7</v>
      </c>
      <c r="Q372" s="530">
        <v>4621</v>
      </c>
      <c r="R372" s="480"/>
      <c r="U372" s="513"/>
    </row>
    <row r="373" spans="1:21" s="479" customFormat="1" ht="27" x14ac:dyDescent="0.15">
      <c r="A373" s="579"/>
      <c r="B373" s="528" t="s">
        <v>242</v>
      </c>
      <c r="C373" s="517">
        <f>ISAN!I37</f>
        <v>313175.9717128739</v>
      </c>
      <c r="D373" s="517">
        <f t="shared" ref="D373:O373" si="292">$C373*D$25%</f>
        <v>30138.053548077209</v>
      </c>
      <c r="E373" s="517">
        <f t="shared" si="292"/>
        <v>33661.058635385751</v>
      </c>
      <c r="F373" s="517">
        <f t="shared" si="292"/>
        <v>26123.953513714438</v>
      </c>
      <c r="G373" s="517">
        <f t="shared" si="292"/>
        <v>24245.723565429365</v>
      </c>
      <c r="H373" s="517">
        <f t="shared" si="292"/>
        <v>25924.038914940302</v>
      </c>
      <c r="I373" s="517">
        <f t="shared" si="292"/>
        <v>22515.816603490741</v>
      </c>
      <c r="J373" s="517">
        <f t="shared" si="292"/>
        <v>24392.435080072461</v>
      </c>
      <c r="K373" s="517">
        <f t="shared" si="292"/>
        <v>25155.012397555383</v>
      </c>
      <c r="L373" s="517">
        <f t="shared" si="292"/>
        <v>24718.102122080323</v>
      </c>
      <c r="M373" s="517">
        <f t="shared" si="292"/>
        <v>25324.29511830473</v>
      </c>
      <c r="N373" s="517">
        <f t="shared" si="292"/>
        <v>24519.799657689899</v>
      </c>
      <c r="O373" s="517">
        <f t="shared" si="292"/>
        <v>26457.68255237519</v>
      </c>
      <c r="P373" s="511">
        <f t="shared" si="278"/>
        <v>3.75809395336546E-6</v>
      </c>
      <c r="Q373" s="530">
        <v>19842</v>
      </c>
      <c r="R373" s="480"/>
      <c r="U373" s="513"/>
    </row>
    <row r="374" spans="1:21" s="479" customFormat="1" ht="18" x14ac:dyDescent="0.15">
      <c r="A374" s="579"/>
      <c r="B374" s="528" t="s">
        <v>403</v>
      </c>
      <c r="C374" s="517">
        <f>LOT!I37</f>
        <v>15159.907704020176</v>
      </c>
      <c r="D374" s="517">
        <f t="shared" ref="D374:O374" si="293">$C374*D$26%</f>
        <v>1146.2465178409475</v>
      </c>
      <c r="E374" s="517">
        <f t="shared" si="293"/>
        <v>1129.9992363769554</v>
      </c>
      <c r="F374" s="517">
        <f t="shared" si="293"/>
        <v>1110.6505450122504</v>
      </c>
      <c r="G374" s="517">
        <f t="shared" si="293"/>
        <v>1221.9636042457105</v>
      </c>
      <c r="H374" s="517">
        <f t="shared" si="293"/>
        <v>999.78864905875503</v>
      </c>
      <c r="I374" s="517">
        <f t="shared" si="293"/>
        <v>1356.764170129856</v>
      </c>
      <c r="J374" s="517">
        <f t="shared" si="293"/>
        <v>3113.7723116267011</v>
      </c>
      <c r="K374" s="517">
        <f t="shared" si="293"/>
        <v>1133.5247937986294</v>
      </c>
      <c r="L374" s="517">
        <f t="shared" si="293"/>
        <v>1375.3915405487598</v>
      </c>
      <c r="M374" s="517">
        <f t="shared" si="293"/>
        <v>851.55584448705997</v>
      </c>
      <c r="N374" s="517">
        <f t="shared" si="293"/>
        <v>860.12524535631599</v>
      </c>
      <c r="O374" s="517">
        <f t="shared" si="293"/>
        <v>860.12524535631599</v>
      </c>
      <c r="P374" s="511">
        <f t="shared" si="278"/>
        <v>1.8191781236964744E-7</v>
      </c>
      <c r="Q374" s="530">
        <v>970</v>
      </c>
      <c r="R374" s="480"/>
      <c r="U374" s="513"/>
    </row>
    <row r="375" spans="1:21" s="479" customFormat="1" ht="45" x14ac:dyDescent="0.15">
      <c r="A375" s="579"/>
      <c r="B375" s="518" t="s">
        <v>301</v>
      </c>
      <c r="C375" s="517">
        <f>'ENAJENAC DE INMUE'!I37</f>
        <v>59610.556557402815</v>
      </c>
      <c r="D375" s="517">
        <f t="shared" ref="D375:O375" si="294">$C375*D$27%</f>
        <v>2574.3246642685222</v>
      </c>
      <c r="E375" s="517">
        <f t="shared" si="294"/>
        <v>2612.2418873471947</v>
      </c>
      <c r="F375" s="517">
        <f t="shared" si="294"/>
        <v>2577.0253731098665</v>
      </c>
      <c r="G375" s="517">
        <f t="shared" si="294"/>
        <v>2561.9298762945491</v>
      </c>
      <c r="H375" s="517">
        <f t="shared" si="294"/>
        <v>3553.8860050618637</v>
      </c>
      <c r="I375" s="517">
        <f t="shared" si="294"/>
        <v>2558.0075016730721</v>
      </c>
      <c r="J375" s="517">
        <f t="shared" si="294"/>
        <v>2939.8643113998619</v>
      </c>
      <c r="K375" s="517">
        <f t="shared" si="294"/>
        <v>2936.8381990217281</v>
      </c>
      <c r="L375" s="517">
        <f t="shared" si="294"/>
        <v>2933.1177989743487</v>
      </c>
      <c r="M375" s="517">
        <f t="shared" si="294"/>
        <v>2561.5104985036637</v>
      </c>
      <c r="N375" s="517">
        <f t="shared" si="294"/>
        <v>10649.818657335094</v>
      </c>
      <c r="O375" s="517">
        <f t="shared" si="294"/>
        <v>21151.99178429383</v>
      </c>
      <c r="P375" s="511">
        <f t="shared" si="278"/>
        <v>1.1922384146600962E-7</v>
      </c>
      <c r="Q375" s="530">
        <v>14142</v>
      </c>
      <c r="R375" s="480"/>
      <c r="U375" s="513"/>
    </row>
    <row r="376" spans="1:21" s="479" customFormat="1" ht="27" x14ac:dyDescent="0.15">
      <c r="A376" s="579"/>
      <c r="B376" s="518" t="s">
        <v>248</v>
      </c>
      <c r="C376" s="517">
        <f>'IMP BEBIDAS AL'!I37</f>
        <v>23298.955589377321</v>
      </c>
      <c r="D376" s="517">
        <f t="shared" ref="D376:O376" si="295">$C376*D$28%</f>
        <v>5297.9633839839007</v>
      </c>
      <c r="E376" s="517">
        <f t="shared" si="295"/>
        <v>1822.307007940921</v>
      </c>
      <c r="F376" s="517">
        <f t="shared" si="295"/>
        <v>1958.3478184373712</v>
      </c>
      <c r="G376" s="517">
        <f t="shared" si="295"/>
        <v>1944.289491457698</v>
      </c>
      <c r="H376" s="517">
        <f t="shared" si="295"/>
        <v>1238.1329174199184</v>
      </c>
      <c r="I376" s="517">
        <f t="shared" si="295"/>
        <v>2026.2065111104687</v>
      </c>
      <c r="J376" s="517">
        <f t="shared" si="295"/>
        <v>2014.8012944002992</v>
      </c>
      <c r="K376" s="517">
        <f t="shared" si="295"/>
        <v>1842.6827924069678</v>
      </c>
      <c r="L376" s="517">
        <f t="shared" si="295"/>
        <v>1336.3654131880442</v>
      </c>
      <c r="M376" s="517">
        <f t="shared" si="295"/>
        <v>1242.2700285767382</v>
      </c>
      <c r="N376" s="517">
        <f t="shared" si="295"/>
        <v>1251.0511494108305</v>
      </c>
      <c r="O376" s="517">
        <f t="shared" si="295"/>
        <v>1324.5377810441651</v>
      </c>
      <c r="P376" s="511">
        <f t="shared" si="278"/>
        <v>0</v>
      </c>
      <c r="Q376" s="530">
        <v>605</v>
      </c>
      <c r="R376" s="480"/>
      <c r="U376" s="513"/>
    </row>
    <row r="377" spans="1:21" s="479" customFormat="1" ht="18" x14ac:dyDescent="0.15">
      <c r="A377" s="579"/>
      <c r="B377" s="518" t="s">
        <v>253</v>
      </c>
      <c r="C377" s="517">
        <f>'FOND GASO Y D'!Q38</f>
        <v>0</v>
      </c>
      <c r="D377" s="517">
        <f t="shared" ref="D377:O377" si="296">$C377*D$29%</f>
        <v>0</v>
      </c>
      <c r="E377" s="517">
        <f t="shared" si="296"/>
        <v>0</v>
      </c>
      <c r="F377" s="517">
        <f t="shared" si="296"/>
        <v>0</v>
      </c>
      <c r="G377" s="517">
        <f t="shared" si="296"/>
        <v>0</v>
      </c>
      <c r="H377" s="517">
        <f t="shared" si="296"/>
        <v>0</v>
      </c>
      <c r="I377" s="517">
        <f t="shared" si="296"/>
        <v>0</v>
      </c>
      <c r="J377" s="517">
        <f t="shared" si="296"/>
        <v>0</v>
      </c>
      <c r="K377" s="517">
        <f t="shared" si="296"/>
        <v>0</v>
      </c>
      <c r="L377" s="517">
        <f t="shared" si="296"/>
        <v>0</v>
      </c>
      <c r="M377" s="517">
        <f t="shared" si="296"/>
        <v>0</v>
      </c>
      <c r="N377" s="517">
        <f t="shared" si="296"/>
        <v>0</v>
      </c>
      <c r="O377" s="517">
        <f t="shared" si="296"/>
        <v>0</v>
      </c>
      <c r="P377" s="511">
        <f t="shared" si="278"/>
        <v>0</v>
      </c>
      <c r="Q377" s="530">
        <v>28924</v>
      </c>
      <c r="R377" s="480"/>
      <c r="U377" s="513"/>
    </row>
    <row r="378" spans="1:21" s="479" customFormat="1" ht="18" x14ac:dyDescent="0.15">
      <c r="A378" s="579"/>
      <c r="B378" s="528" t="s">
        <v>408</v>
      </c>
      <c r="C378" s="519">
        <f>'FOND GASO Y D'!H38</f>
        <v>936764.14803805517</v>
      </c>
      <c r="D378" s="517">
        <f t="shared" ref="D378:O378" si="297">$C378*D$30%</f>
        <v>72871.63494152081</v>
      </c>
      <c r="E378" s="517">
        <f t="shared" si="297"/>
        <v>80120.7041356478</v>
      </c>
      <c r="F378" s="517">
        <f t="shared" si="297"/>
        <v>78005.772181383771</v>
      </c>
      <c r="G378" s="517">
        <f t="shared" si="297"/>
        <v>72685.127959353602</v>
      </c>
      <c r="H378" s="517">
        <f t="shared" si="297"/>
        <v>80088.621770595521</v>
      </c>
      <c r="I378" s="517">
        <f t="shared" si="297"/>
        <v>77295.036446677841</v>
      </c>
      <c r="J378" s="517">
        <f t="shared" si="297"/>
        <v>78906.530624689753</v>
      </c>
      <c r="K378" s="517">
        <f t="shared" si="297"/>
        <v>78859.641980032582</v>
      </c>
      <c r="L378" s="517">
        <f t="shared" si="297"/>
        <v>82062.886954357702</v>
      </c>
      <c r="M378" s="517">
        <f t="shared" si="297"/>
        <v>81342.28036720636</v>
      </c>
      <c r="N378" s="517">
        <f t="shared" si="297"/>
        <v>76021.636145176206</v>
      </c>
      <c r="O378" s="517">
        <f t="shared" si="297"/>
        <v>78504.274532349969</v>
      </c>
      <c r="P378" s="511">
        <f t="shared" si="278"/>
        <v>-9.3670678324997425E-7</v>
      </c>
      <c r="Q378" s="530">
        <v>57249</v>
      </c>
      <c r="R378" s="480"/>
      <c r="U378" s="513"/>
    </row>
    <row r="379" spans="1:21" s="479" customFormat="1" x14ac:dyDescent="0.15">
      <c r="A379" s="579"/>
      <c r="B379" s="534"/>
      <c r="C379" s="521"/>
      <c r="D379" s="522"/>
      <c r="E379" s="522"/>
      <c r="F379" s="522"/>
      <c r="G379" s="522"/>
      <c r="H379" s="522"/>
      <c r="I379" s="522"/>
      <c r="J379" s="522"/>
      <c r="K379" s="522"/>
      <c r="L379" s="522"/>
      <c r="M379" s="522"/>
      <c r="N379" s="522"/>
      <c r="O379" s="522"/>
      <c r="P379" s="511">
        <f t="shared" si="278"/>
        <v>0</v>
      </c>
      <c r="Q379" s="530">
        <v>0</v>
      </c>
      <c r="R379" s="480"/>
      <c r="U379" s="513"/>
    </row>
    <row r="380" spans="1:21" s="479" customFormat="1" x14ac:dyDescent="0.15">
      <c r="A380" s="591"/>
      <c r="B380" s="532"/>
      <c r="C380" s="521"/>
      <c r="D380" s="522"/>
      <c r="E380" s="522"/>
      <c r="F380" s="522"/>
      <c r="G380" s="522"/>
      <c r="H380" s="522"/>
      <c r="I380" s="522"/>
      <c r="J380" s="522"/>
      <c r="K380" s="522"/>
      <c r="L380" s="522"/>
      <c r="M380" s="522"/>
      <c r="N380" s="522"/>
      <c r="O380" s="522"/>
      <c r="P380" s="511">
        <f t="shared" si="278"/>
        <v>0</v>
      </c>
      <c r="Q380" s="530">
        <v>0</v>
      </c>
      <c r="R380" s="480"/>
      <c r="U380" s="513"/>
    </row>
    <row r="381" spans="1:21" s="479" customFormat="1" x14ac:dyDescent="0.15">
      <c r="A381" s="584">
        <v>24</v>
      </c>
      <c r="B381" s="533" t="s">
        <v>95</v>
      </c>
      <c r="C381" s="524">
        <f t="shared" ref="C381:O381" si="298">SUM(C382:C393)</f>
        <v>43769369.767799929</v>
      </c>
      <c r="D381" s="524">
        <f t="shared" si="298"/>
        <v>3416576.2090802123</v>
      </c>
      <c r="E381" s="524">
        <f t="shared" si="298"/>
        <v>4611456.8223827705</v>
      </c>
      <c r="F381" s="524">
        <f t="shared" si="298"/>
        <v>3049602.151132517</v>
      </c>
      <c r="G381" s="524">
        <f t="shared" si="298"/>
        <v>3885745.5194981014</v>
      </c>
      <c r="H381" s="524">
        <f t="shared" si="298"/>
        <v>4408332.2122349422</v>
      </c>
      <c r="I381" s="524">
        <f t="shared" si="298"/>
        <v>4322096.8309391066</v>
      </c>
      <c r="J381" s="524">
        <f t="shared" si="298"/>
        <v>3735488.6291957218</v>
      </c>
      <c r="K381" s="524">
        <f t="shared" si="298"/>
        <v>3631964.8851493355</v>
      </c>
      <c r="L381" s="524">
        <f t="shared" si="298"/>
        <v>3438231.7265651841</v>
      </c>
      <c r="M381" s="524">
        <f t="shared" si="298"/>
        <v>2555356.3159048147</v>
      </c>
      <c r="N381" s="524">
        <f t="shared" si="298"/>
        <v>3337346.1930579585</v>
      </c>
      <c r="O381" s="524">
        <f t="shared" si="298"/>
        <v>3377172.2725307751</v>
      </c>
      <c r="P381" s="511">
        <f t="shared" si="278"/>
        <v>1.2848712503910065E-4</v>
      </c>
      <c r="Q381" s="530">
        <v>2650808</v>
      </c>
      <c r="R381" s="480"/>
      <c r="T381" s="512"/>
      <c r="U381" s="513"/>
    </row>
    <row r="382" spans="1:21" s="479" customFormat="1" x14ac:dyDescent="0.15">
      <c r="A382" s="579"/>
      <c r="B382" s="525" t="s">
        <v>294</v>
      </c>
      <c r="C382" s="526">
        <f>'FG1'!I39</f>
        <v>30412303.184776291</v>
      </c>
      <c r="D382" s="526">
        <f t="shared" ref="D382:O382" si="299">$C382*D$19%</f>
        <v>2300225.3847170151</v>
      </c>
      <c r="E382" s="526">
        <f t="shared" si="299"/>
        <v>3295647.2483120565</v>
      </c>
      <c r="F382" s="526">
        <f t="shared" si="299"/>
        <v>2130292.3992202138</v>
      </c>
      <c r="G382" s="526">
        <f t="shared" si="299"/>
        <v>2616848.3713576598</v>
      </c>
      <c r="H382" s="526">
        <f t="shared" si="299"/>
        <v>3195743.6501673106</v>
      </c>
      <c r="I382" s="526">
        <f t="shared" si="299"/>
        <v>3132956.668919859</v>
      </c>
      <c r="J382" s="526">
        <f t="shared" si="299"/>
        <v>2428679.2704005931</v>
      </c>
      <c r="K382" s="526">
        <f t="shared" si="299"/>
        <v>2578613.1273302976</v>
      </c>
      <c r="L382" s="526">
        <f t="shared" si="299"/>
        <v>2423256.7592365569</v>
      </c>
      <c r="M382" s="526">
        <f t="shared" si="299"/>
        <v>1606433.0003322395</v>
      </c>
      <c r="N382" s="526">
        <f t="shared" si="299"/>
        <v>2344507.0831303364</v>
      </c>
      <c r="O382" s="526">
        <f t="shared" si="299"/>
        <v>2359100.2216217415</v>
      </c>
      <c r="P382" s="511">
        <f t="shared" si="278"/>
        <v>3.0413269996643066E-5</v>
      </c>
      <c r="Q382" s="530">
        <v>1817794</v>
      </c>
      <c r="R382" s="480"/>
      <c r="U382" s="513"/>
    </row>
    <row r="383" spans="1:21" s="479" customFormat="1" x14ac:dyDescent="0.15">
      <c r="A383" s="579"/>
      <c r="B383" s="525" t="s">
        <v>296</v>
      </c>
      <c r="C383" s="526">
        <f>FFM!J39</f>
        <v>8174702.2718993425</v>
      </c>
      <c r="D383" s="526">
        <f t="shared" ref="D383:O383" si="300">$C383*D$20%</f>
        <v>618196.65387567994</v>
      </c>
      <c r="E383" s="526">
        <f t="shared" si="300"/>
        <v>886285.34830104618</v>
      </c>
      <c r="F383" s="526">
        <f t="shared" si="300"/>
        <v>572430.01851436787</v>
      </c>
      <c r="G383" s="526">
        <f t="shared" si="300"/>
        <v>703470.09256858018</v>
      </c>
      <c r="H383" s="526">
        <f t="shared" si="300"/>
        <v>859379.1450884603</v>
      </c>
      <c r="I383" s="526">
        <f t="shared" si="300"/>
        <v>842469.24696368608</v>
      </c>
      <c r="J383" s="526">
        <f t="shared" si="300"/>
        <v>652734.83833400137</v>
      </c>
      <c r="K383" s="526">
        <f t="shared" si="300"/>
        <v>693115.27767253446</v>
      </c>
      <c r="L383" s="526">
        <f t="shared" si="300"/>
        <v>651274.43499956338</v>
      </c>
      <c r="M383" s="526">
        <f t="shared" si="300"/>
        <v>431286.08263190702</v>
      </c>
      <c r="N383" s="526">
        <f t="shared" si="300"/>
        <v>630065.44139610953</v>
      </c>
      <c r="O383" s="526">
        <f t="shared" si="300"/>
        <v>633995.69145530998</v>
      </c>
      <c r="P383" s="511">
        <f t="shared" si="278"/>
        <v>9.8096206784248352E-5</v>
      </c>
      <c r="Q383" s="530">
        <v>556551</v>
      </c>
      <c r="R383" s="480"/>
      <c r="U383" s="513"/>
    </row>
    <row r="384" spans="1:21" s="479" customFormat="1" ht="18" x14ac:dyDescent="0.15">
      <c r="A384" s="579"/>
      <c r="B384" s="527" t="s">
        <v>297</v>
      </c>
      <c r="C384" s="515">
        <f>IEPS!I38</f>
        <v>735491.15885115985</v>
      </c>
      <c r="D384" s="515">
        <f t="shared" ref="D384:O384" si="301">$C384*D$21%</f>
        <v>51660.767290361684</v>
      </c>
      <c r="E384" s="515">
        <f t="shared" si="301"/>
        <v>118081.3607868586</v>
      </c>
      <c r="F384" s="515">
        <f t="shared" si="301"/>
        <v>49046.25207122237</v>
      </c>
      <c r="G384" s="515">
        <f t="shared" si="301"/>
        <v>47666.088982171117</v>
      </c>
      <c r="H384" s="515">
        <f t="shared" si="301"/>
        <v>52625.984473201781</v>
      </c>
      <c r="I384" s="515">
        <f t="shared" si="301"/>
        <v>54574.194358372035</v>
      </c>
      <c r="J384" s="515">
        <f t="shared" si="301"/>
        <v>56201.331661393197</v>
      </c>
      <c r="K384" s="515">
        <f t="shared" si="301"/>
        <v>62254.621913551957</v>
      </c>
      <c r="L384" s="515">
        <f t="shared" si="301"/>
        <v>62385.073657716304</v>
      </c>
      <c r="M384" s="515">
        <f t="shared" si="301"/>
        <v>61691.710119592433</v>
      </c>
      <c r="N384" s="515">
        <f t="shared" si="301"/>
        <v>59697.163116099677</v>
      </c>
      <c r="O384" s="515">
        <f t="shared" si="301"/>
        <v>59606.610419883189</v>
      </c>
      <c r="P384" s="511">
        <f t="shared" si="278"/>
        <v>7.3558476287871599E-7</v>
      </c>
      <c r="Q384" s="530">
        <v>46946</v>
      </c>
      <c r="R384" s="480"/>
      <c r="U384" s="513"/>
    </row>
    <row r="385" spans="1:21" s="479" customFormat="1" x14ac:dyDescent="0.15">
      <c r="A385" s="579"/>
      <c r="B385" s="528" t="s">
        <v>236</v>
      </c>
      <c r="C385" s="517">
        <f>ISR!C29</f>
        <v>1069988.72</v>
      </c>
      <c r="D385" s="517">
        <f>ISR!D29</f>
        <v>89165.726666666626</v>
      </c>
      <c r="E385" s="517">
        <f>ISR!E29</f>
        <v>89165.726666666626</v>
      </c>
      <c r="F385" s="517">
        <f>ISR!F29</f>
        <v>89165.726666666626</v>
      </c>
      <c r="G385" s="517">
        <f>ISR!G29</f>
        <v>89165.726666666626</v>
      </c>
      <c r="H385" s="517">
        <f>ISR!H29</f>
        <v>89165.726666666626</v>
      </c>
      <c r="I385" s="517">
        <f>ISR!I29</f>
        <v>89165.726666666626</v>
      </c>
      <c r="J385" s="517">
        <f>ISR!J29</f>
        <v>89165.726666666626</v>
      </c>
      <c r="K385" s="517">
        <f>ISR!K29</f>
        <v>89165.726666666626</v>
      </c>
      <c r="L385" s="517">
        <f>ISR!L29</f>
        <v>89165.726666666626</v>
      </c>
      <c r="M385" s="517">
        <f>ISR!M29</f>
        <v>89165.726666666626</v>
      </c>
      <c r="N385" s="517">
        <f>ISR!N29</f>
        <v>89165.726666666626</v>
      </c>
      <c r="O385" s="517">
        <f>ISR!O29</f>
        <v>89165.726666666626</v>
      </c>
      <c r="P385" s="511">
        <f t="shared" si="278"/>
        <v>8.149072527885437E-10</v>
      </c>
      <c r="Q385" s="530">
        <v>0</v>
      </c>
      <c r="R385" s="480"/>
      <c r="U385" s="513"/>
    </row>
    <row r="386" spans="1:21" s="479" customFormat="1" ht="18" x14ac:dyDescent="0.15">
      <c r="A386" s="579"/>
      <c r="B386" s="528" t="s">
        <v>298</v>
      </c>
      <c r="C386" s="517">
        <f>FOFIR!I38</f>
        <v>1422436.281373013</v>
      </c>
      <c r="D386" s="517">
        <f t="shared" ref="D386:O386" si="302">$C386*D$23%</f>
        <v>194469.08114884084</v>
      </c>
      <c r="E386" s="517">
        <f t="shared" si="302"/>
        <v>49476.98169377201</v>
      </c>
      <c r="F386" s="517">
        <f t="shared" si="302"/>
        <v>49476.98169377201</v>
      </c>
      <c r="G386" s="517">
        <f t="shared" si="302"/>
        <v>279215.15325741796</v>
      </c>
      <c r="H386" s="517">
        <f t="shared" si="302"/>
        <v>49476.98169377201</v>
      </c>
      <c r="I386" s="517">
        <f t="shared" si="302"/>
        <v>49476.98169377201</v>
      </c>
      <c r="J386" s="517">
        <f t="shared" si="302"/>
        <v>347298.66022233863</v>
      </c>
      <c r="K386" s="517">
        <f t="shared" si="302"/>
        <v>49476.98169377201</v>
      </c>
      <c r="L386" s="517">
        <f t="shared" si="302"/>
        <v>49476.98169377201</v>
      </c>
      <c r="M386" s="517">
        <f t="shared" si="302"/>
        <v>205637.53319992922</v>
      </c>
      <c r="N386" s="517">
        <f t="shared" si="302"/>
        <v>49476.98169377201</v>
      </c>
      <c r="O386" s="517">
        <f t="shared" si="302"/>
        <v>49476.98169377201</v>
      </c>
      <c r="P386" s="511">
        <f t="shared" si="278"/>
        <v>-5.6893768487498164E-6</v>
      </c>
      <c r="Q386" s="530">
        <v>55297</v>
      </c>
      <c r="R386" s="480"/>
      <c r="U386" s="513"/>
    </row>
    <row r="387" spans="1:21" s="479" customFormat="1" ht="27" x14ac:dyDescent="0.15">
      <c r="A387" s="579"/>
      <c r="B387" s="528" t="s">
        <v>407</v>
      </c>
      <c r="C387" s="517">
        <f>FCISAN!I38</f>
        <v>90298.031474440475</v>
      </c>
      <c r="D387" s="517">
        <f t="shared" ref="D387:O387" si="303">$C387*D$24%</f>
        <v>7524.835956173275</v>
      </c>
      <c r="E387" s="517">
        <f t="shared" si="303"/>
        <v>7524.835956173275</v>
      </c>
      <c r="F387" s="517">
        <f t="shared" si="303"/>
        <v>7524.835956173275</v>
      </c>
      <c r="G387" s="517">
        <f t="shared" si="303"/>
        <v>7524.835956173275</v>
      </c>
      <c r="H387" s="517">
        <f t="shared" si="303"/>
        <v>7524.835956173275</v>
      </c>
      <c r="I387" s="517">
        <f t="shared" si="303"/>
        <v>7524.835956173275</v>
      </c>
      <c r="J387" s="517">
        <f t="shared" si="303"/>
        <v>7524.835956173275</v>
      </c>
      <c r="K387" s="517">
        <f t="shared" si="303"/>
        <v>7524.835956173275</v>
      </c>
      <c r="L387" s="517">
        <f t="shared" si="303"/>
        <v>7524.835956173275</v>
      </c>
      <c r="M387" s="517">
        <f t="shared" si="303"/>
        <v>7524.835956173275</v>
      </c>
      <c r="N387" s="517">
        <f t="shared" si="303"/>
        <v>7524.835956173275</v>
      </c>
      <c r="O387" s="517">
        <f t="shared" si="303"/>
        <v>7524.835956173275</v>
      </c>
      <c r="P387" s="511">
        <f t="shared" si="278"/>
        <v>3.6116944102104753E-7</v>
      </c>
      <c r="Q387" s="530">
        <v>6580</v>
      </c>
      <c r="R387" s="480"/>
      <c r="U387" s="513"/>
    </row>
    <row r="388" spans="1:21" s="479" customFormat="1" ht="27" x14ac:dyDescent="0.15">
      <c r="A388" s="579"/>
      <c r="B388" s="528" t="s">
        <v>242</v>
      </c>
      <c r="C388" s="517">
        <f>ISAN!I38</f>
        <v>451049.25695611007</v>
      </c>
      <c r="D388" s="517">
        <f t="shared" ref="D388:O388" si="304">$C388*D$25%</f>
        <v>43406.09716835717</v>
      </c>
      <c r="E388" s="517">
        <f t="shared" si="304"/>
        <v>48480.077838687735</v>
      </c>
      <c r="F388" s="517">
        <f t="shared" si="304"/>
        <v>37624.820820927882</v>
      </c>
      <c r="G388" s="517">
        <f t="shared" si="304"/>
        <v>34919.714749305618</v>
      </c>
      <c r="H388" s="517">
        <f t="shared" si="304"/>
        <v>37336.895375247695</v>
      </c>
      <c r="I388" s="517">
        <f t="shared" si="304"/>
        <v>32428.229704913429</v>
      </c>
      <c r="J388" s="517">
        <f t="shared" si="304"/>
        <v>35131.014866951118</v>
      </c>
      <c r="K388" s="517">
        <f t="shared" si="304"/>
        <v>36229.310916105249</v>
      </c>
      <c r="L388" s="517">
        <f t="shared" si="304"/>
        <v>35600.054290727261</v>
      </c>
      <c r="M388" s="517">
        <f t="shared" si="304"/>
        <v>36473.119037756122</v>
      </c>
      <c r="N388" s="517">
        <f t="shared" si="304"/>
        <v>35314.450709051882</v>
      </c>
      <c r="O388" s="517">
        <f t="shared" si="304"/>
        <v>38105.471472666308</v>
      </c>
      <c r="P388" s="511">
        <f t="shared" si="278"/>
        <v>5.4125339374877512E-6</v>
      </c>
      <c r="Q388" s="530">
        <v>28257</v>
      </c>
      <c r="R388" s="480"/>
      <c r="U388" s="513"/>
    </row>
    <row r="389" spans="1:21" s="479" customFormat="1" ht="18" x14ac:dyDescent="0.15">
      <c r="A389" s="579"/>
      <c r="B389" s="528" t="s">
        <v>403</v>
      </c>
      <c r="C389" s="517">
        <f>LOT!I38</f>
        <v>21833.939136590598</v>
      </c>
      <c r="D389" s="517">
        <f t="shared" ref="D389:O389" si="305">$C389*D$26%</f>
        <v>1650.8726302754046</v>
      </c>
      <c r="E389" s="517">
        <f t="shared" si="305"/>
        <v>1627.4726095400681</v>
      </c>
      <c r="F389" s="517">
        <f t="shared" si="305"/>
        <v>1599.6058073221616</v>
      </c>
      <c r="G389" s="517">
        <f t="shared" si="305"/>
        <v>1759.9235749406655</v>
      </c>
      <c r="H389" s="517">
        <f t="shared" si="305"/>
        <v>1439.9378241078732</v>
      </c>
      <c r="I389" s="517">
        <f t="shared" si="305"/>
        <v>1954.0690412954443</v>
      </c>
      <c r="J389" s="517">
        <f t="shared" si="305"/>
        <v>4484.58634871699</v>
      </c>
      <c r="K389" s="517">
        <f t="shared" si="305"/>
        <v>1632.550266190113</v>
      </c>
      <c r="L389" s="517">
        <f t="shared" si="305"/>
        <v>1980.8969666325638</v>
      </c>
      <c r="M389" s="517">
        <f t="shared" si="305"/>
        <v>1226.4466804773451</v>
      </c>
      <c r="N389" s="517">
        <f t="shared" si="305"/>
        <v>1238.788693414981</v>
      </c>
      <c r="O389" s="517">
        <f t="shared" si="305"/>
        <v>1238.788693414981</v>
      </c>
      <c r="P389" s="511">
        <f t="shared" si="278"/>
        <v>2.6200586944469251E-7</v>
      </c>
      <c r="Q389" s="530">
        <v>1383</v>
      </c>
      <c r="R389" s="480"/>
      <c r="U389" s="513"/>
    </row>
    <row r="390" spans="1:21" s="479" customFormat="1" ht="45" x14ac:dyDescent="0.15">
      <c r="A390" s="579"/>
      <c r="B390" s="518" t="s">
        <v>301</v>
      </c>
      <c r="C390" s="517">
        <f>'ENAJENAC DE INMUE'!I38</f>
        <v>85853.640350823378</v>
      </c>
      <c r="D390" s="517">
        <f t="shared" ref="D390:O390" si="306">$C390*D$27%</f>
        <v>3707.6510711577439</v>
      </c>
      <c r="E390" s="517">
        <f t="shared" si="306"/>
        <v>3762.261056725712</v>
      </c>
      <c r="F390" s="517">
        <f t="shared" si="306"/>
        <v>3711.5407460567494</v>
      </c>
      <c r="G390" s="517">
        <f t="shared" si="306"/>
        <v>3689.7995742015382</v>
      </c>
      <c r="H390" s="517">
        <f t="shared" si="306"/>
        <v>5118.4566718915285</v>
      </c>
      <c r="I390" s="517">
        <f t="shared" si="306"/>
        <v>3684.1504046664545</v>
      </c>
      <c r="J390" s="517">
        <f t="shared" si="306"/>
        <v>4234.116704280299</v>
      </c>
      <c r="K390" s="517">
        <f t="shared" si="306"/>
        <v>4229.7583694688583</v>
      </c>
      <c r="L390" s="517">
        <f t="shared" si="306"/>
        <v>4224.4000922428895</v>
      </c>
      <c r="M390" s="517">
        <f t="shared" si="306"/>
        <v>3689.1955686007</v>
      </c>
      <c r="N390" s="517">
        <f t="shared" si="306"/>
        <v>15338.318472632833</v>
      </c>
      <c r="O390" s="517">
        <f t="shared" si="306"/>
        <v>30463.991618726363</v>
      </c>
      <c r="P390" s="511">
        <f t="shared" si="278"/>
        <v>1.7171623767353594E-7</v>
      </c>
      <c r="Q390" s="530">
        <v>20141</v>
      </c>
      <c r="R390" s="480"/>
      <c r="U390" s="513"/>
    </row>
    <row r="391" spans="1:21" s="479" customFormat="1" ht="27" x14ac:dyDescent="0.15">
      <c r="A391" s="579"/>
      <c r="B391" s="518" t="s">
        <v>248</v>
      </c>
      <c r="C391" s="517">
        <f>'IMP BEBIDAS AL'!I38</f>
        <v>33556.139537029652</v>
      </c>
      <c r="D391" s="517">
        <f t="shared" ref="D391:O391" si="307">$C391*D$28%</f>
        <v>7630.3505491075457</v>
      </c>
      <c r="E391" s="517">
        <f t="shared" si="307"/>
        <v>2624.5634918353358</v>
      </c>
      <c r="F391" s="517">
        <f t="shared" si="307"/>
        <v>2820.4952108446978</v>
      </c>
      <c r="G391" s="517">
        <f t="shared" si="307"/>
        <v>2800.2478147767733</v>
      </c>
      <c r="H391" s="517">
        <f t="shared" si="307"/>
        <v>1783.2113024531825</v>
      </c>
      <c r="I391" s="517">
        <f t="shared" si="307"/>
        <v>2918.2281650710688</v>
      </c>
      <c r="J391" s="517">
        <f t="shared" si="307"/>
        <v>2901.8018904293422</v>
      </c>
      <c r="K391" s="517">
        <f t="shared" si="307"/>
        <v>2653.9095569023393</v>
      </c>
      <c r="L391" s="517">
        <f t="shared" si="307"/>
        <v>1924.6898902989308</v>
      </c>
      <c r="M391" s="517">
        <f t="shared" si="307"/>
        <v>1789.1697446127853</v>
      </c>
      <c r="N391" s="517">
        <f t="shared" si="307"/>
        <v>1801.816685582734</v>
      </c>
      <c r="O391" s="517">
        <f t="shared" si="307"/>
        <v>1907.655235114918</v>
      </c>
      <c r="P391" s="511">
        <f t="shared" si="278"/>
        <v>3.1832314562052488E-12</v>
      </c>
      <c r="Q391" s="530">
        <v>860</v>
      </c>
      <c r="R391" s="480"/>
      <c r="U391" s="513"/>
    </row>
    <row r="392" spans="1:21" s="479" customFormat="1" ht="18" x14ac:dyDescent="0.15">
      <c r="A392" s="579"/>
      <c r="B392" s="518" t="s">
        <v>253</v>
      </c>
      <c r="C392" s="517">
        <f>'FOND GASO Y D'!Q39</f>
        <v>0</v>
      </c>
      <c r="D392" s="517">
        <f t="shared" ref="D392:O392" si="308">$C392*D$29%</f>
        <v>0</v>
      </c>
      <c r="E392" s="517">
        <f t="shared" si="308"/>
        <v>0</v>
      </c>
      <c r="F392" s="517">
        <f t="shared" si="308"/>
        <v>0</v>
      </c>
      <c r="G392" s="517">
        <f t="shared" si="308"/>
        <v>0</v>
      </c>
      <c r="H392" s="517">
        <f t="shared" si="308"/>
        <v>0</v>
      </c>
      <c r="I392" s="517">
        <f t="shared" si="308"/>
        <v>0</v>
      </c>
      <c r="J392" s="517">
        <f t="shared" si="308"/>
        <v>0</v>
      </c>
      <c r="K392" s="517">
        <f t="shared" si="308"/>
        <v>0</v>
      </c>
      <c r="L392" s="517">
        <f t="shared" si="308"/>
        <v>0</v>
      </c>
      <c r="M392" s="517">
        <f t="shared" si="308"/>
        <v>0</v>
      </c>
      <c r="N392" s="517">
        <f t="shared" si="308"/>
        <v>0</v>
      </c>
      <c r="O392" s="517">
        <f t="shared" si="308"/>
        <v>0</v>
      </c>
      <c r="P392" s="511">
        <f t="shared" si="278"/>
        <v>0</v>
      </c>
      <c r="Q392" s="530">
        <v>39269</v>
      </c>
      <c r="R392" s="480"/>
      <c r="U392" s="513"/>
    </row>
    <row r="393" spans="1:21" s="479" customFormat="1" ht="18" x14ac:dyDescent="0.15">
      <c r="A393" s="579"/>
      <c r="B393" s="528" t="s">
        <v>408</v>
      </c>
      <c r="C393" s="519">
        <f>'FOND GASO Y D'!H39</f>
        <v>1271857.1434451246</v>
      </c>
      <c r="D393" s="517">
        <f t="shared" ref="D393:O393" si="309">$C393*D$30%</f>
        <v>98938.788006576724</v>
      </c>
      <c r="E393" s="517">
        <f t="shared" si="309"/>
        <v>108780.94566940804</v>
      </c>
      <c r="F393" s="517">
        <f t="shared" si="309"/>
        <v>105909.47442494943</v>
      </c>
      <c r="G393" s="517">
        <f t="shared" si="309"/>
        <v>98685.564996207933</v>
      </c>
      <c r="H393" s="517">
        <f t="shared" si="309"/>
        <v>108737.38701565747</v>
      </c>
      <c r="I393" s="517">
        <f t="shared" si="309"/>
        <v>104944.49906462987</v>
      </c>
      <c r="J393" s="517">
        <f t="shared" si="309"/>
        <v>107132.44614417737</v>
      </c>
      <c r="K393" s="517">
        <f t="shared" si="309"/>
        <v>107068.7848076728</v>
      </c>
      <c r="L393" s="517">
        <f t="shared" si="309"/>
        <v>111417.87311483396</v>
      </c>
      <c r="M393" s="517">
        <f t="shared" si="309"/>
        <v>110439.49596685967</v>
      </c>
      <c r="N393" s="517">
        <f t="shared" si="309"/>
        <v>103215.58653811819</v>
      </c>
      <c r="O393" s="517">
        <f t="shared" si="309"/>
        <v>106586.29769730504</v>
      </c>
      <c r="P393" s="511">
        <f t="shared" si="278"/>
        <v>-1.2717791832983494E-6</v>
      </c>
      <c r="Q393" s="530">
        <v>77730</v>
      </c>
      <c r="R393" s="480"/>
      <c r="U393" s="513"/>
    </row>
    <row r="394" spans="1:21" s="479" customFormat="1" x14ac:dyDescent="0.15">
      <c r="A394" s="579"/>
      <c r="B394" s="534"/>
      <c r="C394" s="521"/>
      <c r="D394" s="522"/>
      <c r="E394" s="522"/>
      <c r="F394" s="522"/>
      <c r="G394" s="522"/>
      <c r="H394" s="522"/>
      <c r="I394" s="522"/>
      <c r="J394" s="522"/>
      <c r="K394" s="522"/>
      <c r="L394" s="522"/>
      <c r="M394" s="522"/>
      <c r="N394" s="522"/>
      <c r="O394" s="522"/>
      <c r="P394" s="511">
        <f t="shared" si="278"/>
        <v>0</v>
      </c>
      <c r="Q394" s="530">
        <v>0</v>
      </c>
      <c r="R394" s="480"/>
      <c r="U394" s="513"/>
    </row>
    <row r="395" spans="1:21" s="479" customFormat="1" x14ac:dyDescent="0.15">
      <c r="A395" s="591"/>
      <c r="B395" s="532"/>
      <c r="C395" s="521"/>
      <c r="D395" s="521"/>
      <c r="E395" s="521"/>
      <c r="F395" s="521"/>
      <c r="G395" s="521"/>
      <c r="H395" s="521"/>
      <c r="I395" s="521"/>
      <c r="J395" s="521"/>
      <c r="K395" s="521"/>
      <c r="L395" s="521"/>
      <c r="M395" s="521"/>
      <c r="N395" s="521"/>
      <c r="O395" s="521"/>
      <c r="P395" s="511">
        <f t="shared" si="278"/>
        <v>0</v>
      </c>
      <c r="Q395" s="530">
        <v>0</v>
      </c>
      <c r="R395" s="480"/>
      <c r="U395" s="513"/>
    </row>
    <row r="396" spans="1:21" s="479" customFormat="1" x14ac:dyDescent="0.15">
      <c r="A396" s="576">
        <v>25</v>
      </c>
      <c r="B396" s="533" t="s">
        <v>97</v>
      </c>
      <c r="C396" s="524">
        <f t="shared" ref="C396:O396" si="310">SUM(C397:C408)</f>
        <v>72634296.417394802</v>
      </c>
      <c r="D396" s="524">
        <f t="shared" si="310"/>
        <v>5659037.1753124846</v>
      </c>
      <c r="E396" s="524">
        <f t="shared" si="310"/>
        <v>7578241.1502074189</v>
      </c>
      <c r="F396" s="524">
        <f t="shared" si="310"/>
        <v>5087334.0117380815</v>
      </c>
      <c r="G396" s="524">
        <f t="shared" si="310"/>
        <v>6438516.140149978</v>
      </c>
      <c r="H396" s="524">
        <f t="shared" si="310"/>
        <v>7259812.2651111493</v>
      </c>
      <c r="I396" s="524">
        <f t="shared" si="310"/>
        <v>7125065.7018532399</v>
      </c>
      <c r="J396" s="524">
        <f t="shared" si="310"/>
        <v>6163232.0737382788</v>
      </c>
      <c r="K396" s="524">
        <f t="shared" si="310"/>
        <v>6012507.877709575</v>
      </c>
      <c r="L396" s="524">
        <f t="shared" si="310"/>
        <v>5660850.3068262544</v>
      </c>
      <c r="M396" s="524">
        <f t="shared" si="310"/>
        <v>4268453.6689016744</v>
      </c>
      <c r="N396" s="524">
        <f t="shared" si="310"/>
        <v>5518851.8007840235</v>
      </c>
      <c r="O396" s="524">
        <f t="shared" si="310"/>
        <v>5862394.2448554225</v>
      </c>
      <c r="P396" s="511">
        <f t="shared" si="278"/>
        <v>2.0721927285194397E-4</v>
      </c>
      <c r="Q396" s="530">
        <v>4259014</v>
      </c>
      <c r="R396" s="480"/>
      <c r="T396" s="512"/>
      <c r="U396" s="513"/>
    </row>
    <row r="397" spans="1:21" s="479" customFormat="1" x14ac:dyDescent="0.15">
      <c r="A397" s="579"/>
      <c r="B397" s="525" t="s">
        <v>294</v>
      </c>
      <c r="C397" s="526">
        <f>'FG1'!I40</f>
        <v>49018675.151797973</v>
      </c>
      <c r="D397" s="526">
        <f t="shared" ref="D397:O397" si="311">$C397*D$19%</f>
        <v>3707512.7202403066</v>
      </c>
      <c r="E397" s="526">
        <f t="shared" si="311"/>
        <v>5311937.7673701793</v>
      </c>
      <c r="F397" s="526">
        <f t="shared" si="311"/>
        <v>3433614.0364401052</v>
      </c>
      <c r="G397" s="526">
        <f t="shared" si="311"/>
        <v>4217846.9502205933</v>
      </c>
      <c r="H397" s="526">
        <f t="shared" si="311"/>
        <v>5150912.7376577156</v>
      </c>
      <c r="I397" s="526">
        <f t="shared" si="311"/>
        <v>5049712.423468045</v>
      </c>
      <c r="J397" s="526">
        <f t="shared" si="311"/>
        <v>3914555.2206406528</v>
      </c>
      <c r="K397" s="526">
        <f t="shared" si="311"/>
        <v>4156219.2268962646</v>
      </c>
      <c r="L397" s="526">
        <f t="shared" si="311"/>
        <v>3905815.1948806192</v>
      </c>
      <c r="M397" s="526">
        <f t="shared" si="311"/>
        <v>2589255.3062483044</v>
      </c>
      <c r="N397" s="526">
        <f t="shared" si="311"/>
        <v>3778886.1435717903</v>
      </c>
      <c r="O397" s="526">
        <f t="shared" si="311"/>
        <v>3802407.4241143796</v>
      </c>
      <c r="P397" s="511">
        <f t="shared" si="278"/>
        <v>4.9016904085874557E-5</v>
      </c>
      <c r="Q397" s="530">
        <v>2928114</v>
      </c>
      <c r="R397" s="480"/>
      <c r="U397" s="513"/>
    </row>
    <row r="398" spans="1:21" s="479" customFormat="1" x14ac:dyDescent="0.15">
      <c r="A398" s="579"/>
      <c r="B398" s="525" t="s">
        <v>296</v>
      </c>
      <c r="C398" s="526">
        <f>FFM!J40</f>
        <v>13176018.688695915</v>
      </c>
      <c r="D398" s="526">
        <f t="shared" ref="D398:O398" si="312">$C398*D$20%</f>
        <v>996411.9051473065</v>
      </c>
      <c r="E398" s="526">
        <f t="shared" si="312"/>
        <v>1428518.3636441729</v>
      </c>
      <c r="F398" s="526">
        <f t="shared" si="312"/>
        <v>922645.05434562336</v>
      </c>
      <c r="G398" s="526">
        <f t="shared" si="312"/>
        <v>1133855.9837811289</v>
      </c>
      <c r="H398" s="526">
        <f t="shared" si="312"/>
        <v>1385150.8348242503</v>
      </c>
      <c r="I398" s="526">
        <f t="shared" si="312"/>
        <v>1357895.3915915515</v>
      </c>
      <c r="J398" s="526">
        <f t="shared" si="312"/>
        <v>1052080.6926774408</v>
      </c>
      <c r="K398" s="526">
        <f t="shared" si="312"/>
        <v>1117166.0506128857</v>
      </c>
      <c r="L398" s="526">
        <f t="shared" si="312"/>
        <v>1049726.8085863057</v>
      </c>
      <c r="M398" s="526">
        <f t="shared" si="312"/>
        <v>695148.67892701027</v>
      </c>
      <c r="N398" s="526">
        <f t="shared" si="312"/>
        <v>1015542.0656081848</v>
      </c>
      <c r="O398" s="526">
        <f t="shared" si="312"/>
        <v>1021876.8587919422</v>
      </c>
      <c r="P398" s="511">
        <f t="shared" si="278"/>
        <v>1.581115648150444E-4</v>
      </c>
      <c r="Q398" s="530">
        <v>896492</v>
      </c>
      <c r="R398" s="480"/>
      <c r="U398" s="513"/>
    </row>
    <row r="399" spans="1:21" s="479" customFormat="1" ht="18" x14ac:dyDescent="0.15">
      <c r="A399" s="579"/>
      <c r="B399" s="528" t="s">
        <v>297</v>
      </c>
      <c r="C399" s="517">
        <f>IEPS!I39</f>
        <v>1185467.6698998469</v>
      </c>
      <c r="D399" s="517">
        <f t="shared" ref="D399:O399" si="313">$C399*D$21%</f>
        <v>83267.036847327719</v>
      </c>
      <c r="E399" s="517">
        <f t="shared" si="313"/>
        <v>190324.02218029689</v>
      </c>
      <c r="F399" s="517">
        <f t="shared" si="313"/>
        <v>79052.950481433014</v>
      </c>
      <c r="G399" s="517">
        <f t="shared" si="313"/>
        <v>76828.397947293764</v>
      </c>
      <c r="H399" s="517">
        <f t="shared" si="313"/>
        <v>84822.777865990734</v>
      </c>
      <c r="I399" s="517">
        <f t="shared" si="313"/>
        <v>87962.910558620424</v>
      </c>
      <c r="J399" s="517">
        <f t="shared" si="313"/>
        <v>90585.537144958449</v>
      </c>
      <c r="K399" s="517">
        <f t="shared" si="313"/>
        <v>100342.25522932403</v>
      </c>
      <c r="L399" s="517">
        <f t="shared" si="313"/>
        <v>100552.51788622726</v>
      </c>
      <c r="M399" s="517">
        <f t="shared" si="313"/>
        <v>99434.951688399509</v>
      </c>
      <c r="N399" s="517">
        <f t="shared" si="313"/>
        <v>96220.132638188763</v>
      </c>
      <c r="O399" s="517">
        <f t="shared" si="313"/>
        <v>96074.179430600809</v>
      </c>
      <c r="P399" s="511">
        <f t="shared" si="278"/>
        <v>1.1854135664179921E-6</v>
      </c>
      <c r="Q399" s="530">
        <v>75623</v>
      </c>
      <c r="R399" s="480"/>
      <c r="U399" s="513"/>
    </row>
    <row r="400" spans="1:21" s="479" customFormat="1" x14ac:dyDescent="0.15">
      <c r="A400" s="579"/>
      <c r="B400" s="528" t="s">
        <v>236</v>
      </c>
      <c r="C400" s="517">
        <f>ISR!C30</f>
        <v>3931194.82</v>
      </c>
      <c r="D400" s="517">
        <f>ISR!D30</f>
        <v>305233.22282251413</v>
      </c>
      <c r="E400" s="517">
        <f>ISR!E30</f>
        <v>299451.83409491566</v>
      </c>
      <c r="F400" s="517">
        <f>ISR!F30</f>
        <v>325677.68832297862</v>
      </c>
      <c r="G400" s="517">
        <f>ISR!G30</f>
        <v>328479.2877063863</v>
      </c>
      <c r="H400" s="517">
        <f>ISR!H30</f>
        <v>308415.92212204752</v>
      </c>
      <c r="I400" s="517">
        <f>ISR!I30</f>
        <v>312306.23126584548</v>
      </c>
      <c r="J400" s="517">
        <f>ISR!J30</f>
        <v>296176.43481578404</v>
      </c>
      <c r="K400" s="517">
        <f>ISR!K30</f>
        <v>312306.23126584548</v>
      </c>
      <c r="L400" s="517">
        <f>ISR!L30</f>
        <v>273318.67984645045</v>
      </c>
      <c r="M400" s="517">
        <f>ISR!M30</f>
        <v>303851.99312650319</v>
      </c>
      <c r="N400" s="517">
        <f>ISR!N30</f>
        <v>293154.41548088769</v>
      </c>
      <c r="O400" s="517">
        <f>ISR!O30</f>
        <v>572822.87912984192</v>
      </c>
      <c r="P400" s="511">
        <f t="shared" si="278"/>
        <v>0</v>
      </c>
      <c r="Q400" s="530">
        <v>0</v>
      </c>
      <c r="R400" s="480"/>
      <c r="U400" s="513"/>
    </row>
    <row r="401" spans="1:21" s="479" customFormat="1" ht="18" x14ac:dyDescent="0.15">
      <c r="A401" s="579"/>
      <c r="B401" s="528" t="s">
        <v>298</v>
      </c>
      <c r="C401" s="517">
        <f>FOFIR!I39</f>
        <v>2292688.6391050597</v>
      </c>
      <c r="D401" s="517">
        <f t="shared" ref="D401:O401" si="314">$C401*D$23%</f>
        <v>313446.06352193281</v>
      </c>
      <c r="E401" s="517">
        <f t="shared" si="314"/>
        <v>79747.20225571451</v>
      </c>
      <c r="F401" s="517">
        <f t="shared" si="314"/>
        <v>79747.20225571451</v>
      </c>
      <c r="G401" s="517">
        <f t="shared" si="314"/>
        <v>450040.13052967779</v>
      </c>
      <c r="H401" s="517">
        <f t="shared" si="314"/>
        <v>79747.20225571451</v>
      </c>
      <c r="I401" s="517">
        <f t="shared" si="314"/>
        <v>79747.20225571451</v>
      </c>
      <c r="J401" s="517">
        <f t="shared" si="314"/>
        <v>559777.40661928453</v>
      </c>
      <c r="K401" s="517">
        <f t="shared" si="314"/>
        <v>79747.20225571451</v>
      </c>
      <c r="L401" s="517">
        <f t="shared" si="314"/>
        <v>79747.20225571451</v>
      </c>
      <c r="M401" s="517">
        <f t="shared" si="314"/>
        <v>331447.42039761925</v>
      </c>
      <c r="N401" s="517">
        <f t="shared" si="314"/>
        <v>79747.20225571451</v>
      </c>
      <c r="O401" s="517">
        <f t="shared" si="314"/>
        <v>79747.20225571451</v>
      </c>
      <c r="P401" s="511">
        <f t="shared" si="278"/>
        <v>-9.1704423539340496E-6</v>
      </c>
      <c r="Q401" s="530">
        <v>89075</v>
      </c>
      <c r="R401" s="480"/>
      <c r="U401" s="513"/>
    </row>
    <row r="402" spans="1:21" s="479" customFormat="1" ht="27" x14ac:dyDescent="0.15">
      <c r="A402" s="579"/>
      <c r="B402" s="528" t="s">
        <v>407</v>
      </c>
      <c r="C402" s="517">
        <f>FCISAN!I39</f>
        <v>145542.73791102172</v>
      </c>
      <c r="D402" s="517">
        <f t="shared" ref="D402:O402" si="315">$C402*D$24%</f>
        <v>12128.56149253663</v>
      </c>
      <c r="E402" s="517">
        <f t="shared" si="315"/>
        <v>12128.56149253663</v>
      </c>
      <c r="F402" s="517">
        <f t="shared" si="315"/>
        <v>12128.56149253663</v>
      </c>
      <c r="G402" s="517">
        <f t="shared" si="315"/>
        <v>12128.56149253663</v>
      </c>
      <c r="H402" s="517">
        <f t="shared" si="315"/>
        <v>12128.56149253663</v>
      </c>
      <c r="I402" s="517">
        <f t="shared" si="315"/>
        <v>12128.56149253663</v>
      </c>
      <c r="J402" s="517">
        <f t="shared" si="315"/>
        <v>12128.56149253663</v>
      </c>
      <c r="K402" s="517">
        <f t="shared" si="315"/>
        <v>12128.56149253663</v>
      </c>
      <c r="L402" s="517">
        <f t="shared" si="315"/>
        <v>12128.56149253663</v>
      </c>
      <c r="M402" s="517">
        <f t="shared" si="315"/>
        <v>12128.56149253663</v>
      </c>
      <c r="N402" s="517">
        <f t="shared" si="315"/>
        <v>12128.56149253663</v>
      </c>
      <c r="O402" s="517">
        <f t="shared" si="315"/>
        <v>12128.56149253663</v>
      </c>
      <c r="P402" s="511">
        <f t="shared" si="278"/>
        <v>5.8218211052007973E-7</v>
      </c>
      <c r="Q402" s="530">
        <v>10591</v>
      </c>
      <c r="R402" s="480"/>
      <c r="U402" s="513"/>
    </row>
    <row r="403" spans="1:21" s="479" customFormat="1" ht="27" x14ac:dyDescent="0.15">
      <c r="A403" s="579"/>
      <c r="B403" s="528" t="s">
        <v>242</v>
      </c>
      <c r="C403" s="517">
        <f>ISAN!I39</f>
        <v>727003.04445403186</v>
      </c>
      <c r="D403" s="517">
        <f t="shared" ref="D403:O403" si="316">$C403*D$25%</f>
        <v>69962.125649469424</v>
      </c>
      <c r="E403" s="517">
        <f t="shared" si="316"/>
        <v>78140.388528616953</v>
      </c>
      <c r="F403" s="517">
        <f t="shared" si="316"/>
        <v>60643.840693686514</v>
      </c>
      <c r="G403" s="517">
        <f t="shared" si="316"/>
        <v>56283.739619776905</v>
      </c>
      <c r="H403" s="517">
        <f t="shared" si="316"/>
        <v>60179.76127806375</v>
      </c>
      <c r="I403" s="517">
        <f t="shared" si="316"/>
        <v>52267.953794724395</v>
      </c>
      <c r="J403" s="517">
        <f t="shared" si="316"/>
        <v>56624.314017035525</v>
      </c>
      <c r="K403" s="517">
        <f t="shared" si="316"/>
        <v>58394.552098870081</v>
      </c>
      <c r="L403" s="517">
        <f t="shared" si="316"/>
        <v>57380.313686241054</v>
      </c>
      <c r="M403" s="517">
        <f t="shared" si="316"/>
        <v>58787.523030468466</v>
      </c>
      <c r="N403" s="517">
        <f t="shared" si="316"/>
        <v>56919.976660555221</v>
      </c>
      <c r="O403" s="517">
        <f t="shared" si="316"/>
        <v>61418.555387799533</v>
      </c>
      <c r="P403" s="511">
        <f t="shared" si="278"/>
        <v>8.7240332504734397E-6</v>
      </c>
      <c r="Q403" s="530">
        <v>45518</v>
      </c>
      <c r="R403" s="480"/>
      <c r="U403" s="513"/>
    </row>
    <row r="404" spans="1:21" s="479" customFormat="1" ht="18" x14ac:dyDescent="0.15">
      <c r="A404" s="579"/>
      <c r="B404" s="528" t="s">
        <v>403</v>
      </c>
      <c r="C404" s="517">
        <f>LOT!I39</f>
        <v>35192.03275457336</v>
      </c>
      <c r="D404" s="517">
        <f t="shared" ref="D404:O404" si="317">$C404*D$26%</f>
        <v>2660.8832842680872</v>
      </c>
      <c r="E404" s="517">
        <f t="shared" si="317"/>
        <v>2623.1670347620329</v>
      </c>
      <c r="F404" s="517">
        <f t="shared" si="317"/>
        <v>2578.251208520936</v>
      </c>
      <c r="G404" s="517">
        <f t="shared" si="317"/>
        <v>2836.6520446630243</v>
      </c>
      <c r="H404" s="517">
        <f t="shared" si="317"/>
        <v>2320.8976975496985</v>
      </c>
      <c r="I404" s="517">
        <f t="shared" si="317"/>
        <v>3149.576504531065</v>
      </c>
      <c r="J404" s="517">
        <f t="shared" si="317"/>
        <v>7228.274691408018</v>
      </c>
      <c r="K404" s="517">
        <f t="shared" si="317"/>
        <v>2631.3512226003782</v>
      </c>
      <c r="L404" s="517">
        <f t="shared" si="317"/>
        <v>3192.8178647498876</v>
      </c>
      <c r="M404" s="517">
        <f t="shared" si="317"/>
        <v>1976.7917956116542</v>
      </c>
      <c r="N404" s="517">
        <f t="shared" si="317"/>
        <v>1996.684702743137</v>
      </c>
      <c r="O404" s="517">
        <f t="shared" si="317"/>
        <v>1996.684702743137</v>
      </c>
      <c r="P404" s="511">
        <f t="shared" si="278"/>
        <v>4.2230703911627643E-7</v>
      </c>
      <c r="Q404" s="530">
        <v>2223</v>
      </c>
      <c r="R404" s="480"/>
      <c r="U404" s="513"/>
    </row>
    <row r="405" spans="1:21" s="479" customFormat="1" ht="42.75" customHeight="1" x14ac:dyDescent="0.15">
      <c r="A405" s="579"/>
      <c r="B405" s="518" t="s">
        <v>301</v>
      </c>
      <c r="C405" s="517">
        <f>'ENAJENAC DE INMUE'!I39</f>
        <v>138379.25004847877</v>
      </c>
      <c r="D405" s="517">
        <f t="shared" ref="D405:O405" si="318">$C405*D$27%</f>
        <v>5976.0072207972144</v>
      </c>
      <c r="E405" s="517">
        <f t="shared" si="318"/>
        <v>6064.0278197744274</v>
      </c>
      <c r="F405" s="517">
        <f t="shared" si="318"/>
        <v>5982.2766147711609</v>
      </c>
      <c r="G405" s="517">
        <f t="shared" si="318"/>
        <v>5947.2341047016344</v>
      </c>
      <c r="H405" s="517">
        <f t="shared" si="318"/>
        <v>8249.949481090227</v>
      </c>
      <c r="I405" s="517">
        <f t="shared" si="318"/>
        <v>5938.128750048445</v>
      </c>
      <c r="J405" s="517">
        <f t="shared" si="318"/>
        <v>6824.5666900299948</v>
      </c>
      <c r="K405" s="517">
        <f t="shared" si="318"/>
        <v>6817.5419080847823</v>
      </c>
      <c r="L405" s="517">
        <f t="shared" si="318"/>
        <v>6808.9054148498817</v>
      </c>
      <c r="M405" s="517">
        <f t="shared" si="318"/>
        <v>5946.2605659940436</v>
      </c>
      <c r="N405" s="517">
        <f t="shared" si="318"/>
        <v>24722.364696179175</v>
      </c>
      <c r="O405" s="517">
        <f t="shared" si="318"/>
        <v>49101.986781881031</v>
      </c>
      <c r="P405" s="511">
        <f t="shared" si="278"/>
        <v>2.767410478554666E-7</v>
      </c>
      <c r="Q405" s="530">
        <v>32443</v>
      </c>
      <c r="R405" s="480"/>
      <c r="U405" s="513"/>
    </row>
    <row r="406" spans="1:21" s="479" customFormat="1" ht="27" x14ac:dyDescent="0.15">
      <c r="A406" s="579"/>
      <c r="B406" s="518" t="s">
        <v>248</v>
      </c>
      <c r="C406" s="517">
        <f>'IMP BEBIDAS AL'!I39</f>
        <v>54085.923493536953</v>
      </c>
      <c r="D406" s="517">
        <f t="shared" ref="D406:O406" si="319">$C406*D$28%</f>
        <v>12298.630346690637</v>
      </c>
      <c r="E406" s="517">
        <f t="shared" si="319"/>
        <v>4230.2822130862305</v>
      </c>
      <c r="F406" s="517">
        <f t="shared" si="319"/>
        <v>4546.0857623176144</v>
      </c>
      <c r="G406" s="517">
        <f t="shared" si="319"/>
        <v>4513.4509261957583</v>
      </c>
      <c r="H406" s="517">
        <f t="shared" si="319"/>
        <v>2874.1872994914406</v>
      </c>
      <c r="I406" s="517">
        <f t="shared" si="319"/>
        <v>4703.6121392493742</v>
      </c>
      <c r="J406" s="517">
        <f t="shared" si="319"/>
        <v>4677.1362023325</v>
      </c>
      <c r="K406" s="517">
        <f t="shared" si="319"/>
        <v>4277.5823212616306</v>
      </c>
      <c r="L406" s="517">
        <f t="shared" si="319"/>
        <v>3102.2230683186235</v>
      </c>
      <c r="M406" s="517">
        <f t="shared" si="319"/>
        <v>2883.7911410307602</v>
      </c>
      <c r="N406" s="517">
        <f t="shared" si="319"/>
        <v>2904.1755324168166</v>
      </c>
      <c r="O406" s="517">
        <f t="shared" si="319"/>
        <v>3074.7665411455682</v>
      </c>
      <c r="P406" s="511">
        <f t="shared" si="278"/>
        <v>0</v>
      </c>
      <c r="Q406" s="530">
        <v>1389</v>
      </c>
      <c r="R406" s="480"/>
      <c r="U406" s="513"/>
    </row>
    <row r="407" spans="1:21" s="479" customFormat="1" ht="18" x14ac:dyDescent="0.15">
      <c r="A407" s="579"/>
      <c r="B407" s="518" t="s">
        <v>253</v>
      </c>
      <c r="C407" s="517">
        <f>'FOND GASO Y D'!Q40</f>
        <v>0</v>
      </c>
      <c r="D407" s="517">
        <f t="shared" ref="D407:O407" si="320">$C407*D$29%</f>
        <v>0</v>
      </c>
      <c r="E407" s="517">
        <f t="shared" si="320"/>
        <v>0</v>
      </c>
      <c r="F407" s="517">
        <f t="shared" si="320"/>
        <v>0</v>
      </c>
      <c r="G407" s="517">
        <f t="shared" si="320"/>
        <v>0</v>
      </c>
      <c r="H407" s="517">
        <f t="shared" si="320"/>
        <v>0</v>
      </c>
      <c r="I407" s="517">
        <f t="shared" si="320"/>
        <v>0</v>
      </c>
      <c r="J407" s="517">
        <f t="shared" si="320"/>
        <v>0</v>
      </c>
      <c r="K407" s="517">
        <f t="shared" si="320"/>
        <v>0</v>
      </c>
      <c r="L407" s="517">
        <f t="shared" si="320"/>
        <v>0</v>
      </c>
      <c r="M407" s="517">
        <f t="shared" si="320"/>
        <v>0</v>
      </c>
      <c r="N407" s="517">
        <f t="shared" si="320"/>
        <v>0</v>
      </c>
      <c r="O407" s="517">
        <f t="shared" si="320"/>
        <v>0</v>
      </c>
      <c r="P407" s="511">
        <f t="shared" si="278"/>
        <v>0</v>
      </c>
      <c r="Q407" s="530">
        <v>59591</v>
      </c>
      <c r="R407" s="480"/>
      <c r="U407" s="513"/>
    </row>
    <row r="408" spans="1:21" s="479" customFormat="1" ht="18" x14ac:dyDescent="0.15">
      <c r="A408" s="579"/>
      <c r="B408" s="528" t="s">
        <v>408</v>
      </c>
      <c r="C408" s="519">
        <f>'FOND GASO Y D'!H40</f>
        <v>1930048.4592343671</v>
      </c>
      <c r="D408" s="517">
        <f t="shared" ref="D408:O408" si="321">$C408*D$30%</f>
        <v>150140.01873933576</v>
      </c>
      <c r="E408" s="517">
        <f t="shared" si="321"/>
        <v>165075.53357336391</v>
      </c>
      <c r="F408" s="517">
        <f t="shared" si="321"/>
        <v>160718.06412039444</v>
      </c>
      <c r="G408" s="517">
        <f t="shared" si="321"/>
        <v>149755.75177702497</v>
      </c>
      <c r="H408" s="517">
        <f t="shared" si="321"/>
        <v>165009.43313669859</v>
      </c>
      <c r="I408" s="517">
        <f t="shared" si="321"/>
        <v>159253.71003237242</v>
      </c>
      <c r="J408" s="517">
        <f t="shared" si="321"/>
        <v>162573.92874681737</v>
      </c>
      <c r="K408" s="517">
        <f t="shared" si="321"/>
        <v>162477.32240618649</v>
      </c>
      <c r="L408" s="517">
        <f t="shared" si="321"/>
        <v>169077.08184424226</v>
      </c>
      <c r="M408" s="517">
        <f t="shared" si="321"/>
        <v>167592.3904881966</v>
      </c>
      <c r="N408" s="517">
        <f t="shared" si="321"/>
        <v>156630.07814482716</v>
      </c>
      <c r="O408" s="517">
        <f t="shared" si="321"/>
        <v>161745.14622683721</v>
      </c>
      <c r="P408" s="511">
        <f t="shared" si="278"/>
        <v>-1.9299623090773821E-6</v>
      </c>
      <c r="Q408" s="530">
        <v>117955</v>
      </c>
      <c r="R408" s="480"/>
      <c r="U408" s="513"/>
    </row>
    <row r="409" spans="1:21" s="479" customFormat="1" x14ac:dyDescent="0.15">
      <c r="A409" s="579"/>
      <c r="B409" s="534"/>
      <c r="C409" s="521"/>
      <c r="D409" s="522"/>
      <c r="E409" s="522"/>
      <c r="F409" s="522"/>
      <c r="G409" s="522"/>
      <c r="H409" s="522"/>
      <c r="I409" s="522"/>
      <c r="J409" s="522"/>
      <c r="K409" s="522"/>
      <c r="L409" s="522"/>
      <c r="M409" s="522"/>
      <c r="N409" s="522"/>
      <c r="O409" s="522"/>
      <c r="P409" s="511">
        <f t="shared" si="278"/>
        <v>0</v>
      </c>
      <c r="Q409" s="530">
        <v>0</v>
      </c>
      <c r="R409" s="480"/>
      <c r="U409" s="513"/>
    </row>
    <row r="410" spans="1:21" s="479" customFormat="1" x14ac:dyDescent="0.15">
      <c r="A410" s="591"/>
      <c r="B410" s="532"/>
      <c r="C410" s="521"/>
      <c r="D410" s="521"/>
      <c r="E410" s="521"/>
      <c r="F410" s="521"/>
      <c r="G410" s="521"/>
      <c r="H410" s="521"/>
      <c r="I410" s="521"/>
      <c r="J410" s="521"/>
      <c r="K410" s="521"/>
      <c r="L410" s="521"/>
      <c r="M410" s="521"/>
      <c r="N410" s="521"/>
      <c r="O410" s="521"/>
      <c r="P410" s="511">
        <f t="shared" si="278"/>
        <v>0</v>
      </c>
      <c r="Q410" s="530">
        <v>0</v>
      </c>
      <c r="R410" s="480"/>
      <c r="U410" s="513"/>
    </row>
    <row r="411" spans="1:21" s="479" customFormat="1" x14ac:dyDescent="0.15">
      <c r="A411" s="576">
        <v>26</v>
      </c>
      <c r="B411" s="533" t="s">
        <v>90</v>
      </c>
      <c r="C411" s="524">
        <f t="shared" ref="C411:O411" si="322">SUM(C412:C423)</f>
        <v>44439551.583355509</v>
      </c>
      <c r="D411" s="524">
        <f t="shared" si="322"/>
        <v>3470488.8306225231</v>
      </c>
      <c r="E411" s="524">
        <f t="shared" si="322"/>
        <v>4695512.242633272</v>
      </c>
      <c r="F411" s="524">
        <f t="shared" si="322"/>
        <v>3083988.4937302</v>
      </c>
      <c r="G411" s="524">
        <f t="shared" si="322"/>
        <v>3951508.9302198021</v>
      </c>
      <c r="H411" s="524">
        <f t="shared" si="322"/>
        <v>4486268.1085909978</v>
      </c>
      <c r="I411" s="524">
        <f t="shared" si="322"/>
        <v>4397939.4955029106</v>
      </c>
      <c r="J411" s="524">
        <f t="shared" si="322"/>
        <v>3793555.378579868</v>
      </c>
      <c r="K411" s="524">
        <f t="shared" si="322"/>
        <v>3689464.3643968557</v>
      </c>
      <c r="L411" s="524">
        <f t="shared" si="322"/>
        <v>3488371.9838236808</v>
      </c>
      <c r="M411" s="524">
        <f t="shared" si="322"/>
        <v>2574518.6525202189</v>
      </c>
      <c r="N411" s="524">
        <f t="shared" si="322"/>
        <v>3384756.6791867265</v>
      </c>
      <c r="O411" s="524">
        <f t="shared" si="322"/>
        <v>3423178.4234153582</v>
      </c>
      <c r="P411" s="511">
        <f t="shared" si="278"/>
        <v>1.3309018686413765E-4</v>
      </c>
      <c r="Q411" s="530">
        <v>2748953</v>
      </c>
      <c r="R411" s="480"/>
      <c r="T411" s="512"/>
      <c r="U411" s="513"/>
    </row>
    <row r="412" spans="1:21" s="479" customFormat="1" x14ac:dyDescent="0.15">
      <c r="A412" s="579"/>
      <c r="B412" s="525" t="s">
        <v>294</v>
      </c>
      <c r="C412" s="526">
        <f>'FG1'!I41</f>
        <v>31366354.375326112</v>
      </c>
      <c r="D412" s="526">
        <f t="shared" ref="D412:O412" si="323">$C412*D$19%</f>
        <v>2372384.7589508193</v>
      </c>
      <c r="E412" s="526">
        <f t="shared" si="323"/>
        <v>3399033.5706757726</v>
      </c>
      <c r="F412" s="526">
        <f t="shared" si="323"/>
        <v>2197120.8793700715</v>
      </c>
      <c r="G412" s="526">
        <f t="shared" si="323"/>
        <v>2698940.3881645906</v>
      </c>
      <c r="H412" s="526">
        <f t="shared" si="323"/>
        <v>3295995.9400254614</v>
      </c>
      <c r="I412" s="526">
        <f t="shared" si="323"/>
        <v>3231239.2955845902</v>
      </c>
      <c r="J412" s="526">
        <f t="shared" si="323"/>
        <v>2504868.3158441898</v>
      </c>
      <c r="K412" s="526">
        <f t="shared" si="323"/>
        <v>2659505.6828579023</v>
      </c>
      <c r="L412" s="526">
        <f t="shared" si="323"/>
        <v>2499275.6974311103</v>
      </c>
      <c r="M412" s="526">
        <f t="shared" si="323"/>
        <v>1656827.7141818861</v>
      </c>
      <c r="N412" s="526">
        <f t="shared" si="323"/>
        <v>2418055.5993450722</v>
      </c>
      <c r="O412" s="526">
        <f t="shared" si="323"/>
        <v>2433106.5328632793</v>
      </c>
      <c r="P412" s="511">
        <f t="shared" si="278"/>
        <v>3.1371135264635086E-5</v>
      </c>
      <c r="Q412" s="530">
        <v>1922591</v>
      </c>
      <c r="R412" s="480"/>
      <c r="U412" s="513"/>
    </row>
    <row r="413" spans="1:21" s="479" customFormat="1" x14ac:dyDescent="0.15">
      <c r="A413" s="579"/>
      <c r="B413" s="525" t="s">
        <v>296</v>
      </c>
      <c r="C413" s="526">
        <f>FFM!J41</f>
        <v>8431147.3161142077</v>
      </c>
      <c r="D413" s="526">
        <f t="shared" ref="D413:O413" si="324">$C413*D$20%</f>
        <v>637589.83334126021</v>
      </c>
      <c r="E413" s="526">
        <f t="shared" si="324"/>
        <v>914088.62208061107</v>
      </c>
      <c r="F413" s="526">
        <f t="shared" si="324"/>
        <v>590387.4726852004</v>
      </c>
      <c r="G413" s="526">
        <f t="shared" si="324"/>
        <v>725538.34814440925</v>
      </c>
      <c r="H413" s="526">
        <f t="shared" si="324"/>
        <v>886338.35602108529</v>
      </c>
      <c r="I413" s="526">
        <f t="shared" si="324"/>
        <v>868897.98480652249</v>
      </c>
      <c r="J413" s="526">
        <f t="shared" si="324"/>
        <v>673211.50022449659</v>
      </c>
      <c r="K413" s="526">
        <f t="shared" si="324"/>
        <v>714858.69683530147</v>
      </c>
      <c r="L413" s="526">
        <f t="shared" si="324"/>
        <v>671705.28320960701</v>
      </c>
      <c r="M413" s="526">
        <f t="shared" si="324"/>
        <v>444815.77152467426</v>
      </c>
      <c r="N413" s="526">
        <f t="shared" si="324"/>
        <v>649830.95145419531</v>
      </c>
      <c r="O413" s="526">
        <f t="shared" si="324"/>
        <v>653884.49568567076</v>
      </c>
      <c r="P413" s="511">
        <f t="shared" si="278"/>
        <v>1.0117387864738703E-4</v>
      </c>
      <c r="Q413" s="530">
        <v>588635</v>
      </c>
      <c r="R413" s="480"/>
      <c r="U413" s="513"/>
    </row>
    <row r="414" spans="1:21" s="479" customFormat="1" ht="18" x14ac:dyDescent="0.15">
      <c r="A414" s="579"/>
      <c r="B414" s="528" t="s">
        <v>297</v>
      </c>
      <c r="C414" s="517">
        <f>IEPS!I40</f>
        <v>758563.93342786701</v>
      </c>
      <c r="D414" s="517">
        <f t="shared" ref="D414:O414" si="325">$C414*D$21%</f>
        <v>53281.394844895556</v>
      </c>
      <c r="E414" s="517">
        <f t="shared" si="325"/>
        <v>121785.64001082866</v>
      </c>
      <c r="F414" s="517">
        <f t="shared" si="325"/>
        <v>50584.860801256989</v>
      </c>
      <c r="G414" s="517">
        <f t="shared" si="325"/>
        <v>49161.401213737263</v>
      </c>
      <c r="H414" s="517">
        <f t="shared" si="325"/>
        <v>54276.891437908336</v>
      </c>
      <c r="I414" s="517">
        <f t="shared" si="325"/>
        <v>56286.217771546661</v>
      </c>
      <c r="J414" s="517">
        <f t="shared" si="325"/>
        <v>57964.39929412934</v>
      </c>
      <c r="K414" s="517">
        <f t="shared" si="325"/>
        <v>64207.58469289136</v>
      </c>
      <c r="L414" s="517">
        <f t="shared" si="325"/>
        <v>64342.128782218555</v>
      </c>
      <c r="M414" s="517">
        <f t="shared" si="325"/>
        <v>63627.014036860826</v>
      </c>
      <c r="N414" s="517">
        <f t="shared" si="325"/>
        <v>61569.896963231375</v>
      </c>
      <c r="O414" s="517">
        <f t="shared" si="325"/>
        <v>61476.5035776035</v>
      </c>
      <c r="P414" s="511">
        <f t="shared" si="278"/>
        <v>7.5860589276999235E-7</v>
      </c>
      <c r="Q414" s="530">
        <v>49654</v>
      </c>
      <c r="R414" s="480"/>
      <c r="U414" s="513"/>
    </row>
    <row r="415" spans="1:21" s="479" customFormat="1" x14ac:dyDescent="0.15">
      <c r="A415" s="579"/>
      <c r="B415" s="528" t="s">
        <v>236</v>
      </c>
      <c r="C415" s="517">
        <f>ISR!C31</f>
        <v>961641.99</v>
      </c>
      <c r="D415" s="517">
        <f>ISR!D31</f>
        <v>82334.309562596478</v>
      </c>
      <c r="E415" s="517">
        <f>ISR!E31</f>
        <v>79334.085005295463</v>
      </c>
      <c r="F415" s="517">
        <f>ISR!F31</f>
        <v>77394.76022073171</v>
      </c>
      <c r="G415" s="517">
        <f>ISR!G31</f>
        <v>79355.303000750195</v>
      </c>
      <c r="H415" s="517">
        <f>ISR!H31</f>
        <v>79567.482955297615</v>
      </c>
      <c r="I415" s="517">
        <f>ISR!I31</f>
        <v>78506.583182560367</v>
      </c>
      <c r="J415" s="517">
        <f>ISR!J31</f>
        <v>80097.932841666276</v>
      </c>
      <c r="K415" s="517">
        <f>ISR!K31</f>
        <v>82750.182273509505</v>
      </c>
      <c r="L415" s="517">
        <f>ISR!L31</f>
        <v>83386.722137151926</v>
      </c>
      <c r="M415" s="517">
        <f>ISR!M31</f>
        <v>79673.572932571362</v>
      </c>
      <c r="N415" s="517">
        <f>ISR!N31</f>
        <v>80204.022818940037</v>
      </c>
      <c r="O415" s="517">
        <f>ISR!O31</f>
        <v>79037.033068929042</v>
      </c>
      <c r="P415" s="511">
        <f t="shared" si="278"/>
        <v>0</v>
      </c>
      <c r="Q415" s="530">
        <v>0</v>
      </c>
      <c r="R415" s="480"/>
      <c r="U415" s="513"/>
    </row>
    <row r="416" spans="1:21" s="479" customFormat="1" ht="18" x14ac:dyDescent="0.15">
      <c r="A416" s="579"/>
      <c r="B416" s="528" t="s">
        <v>298</v>
      </c>
      <c r="C416" s="517">
        <f>FOFIR!I40</f>
        <v>1467058.9138477708</v>
      </c>
      <c r="D416" s="517">
        <f t="shared" ref="D416:O416" si="326">$C416*D$23%</f>
        <v>200569.68646202391</v>
      </c>
      <c r="E416" s="517">
        <f t="shared" si="326"/>
        <v>51029.102656231167</v>
      </c>
      <c r="F416" s="517">
        <f t="shared" si="326"/>
        <v>51029.102656231167</v>
      </c>
      <c r="G416" s="517">
        <f t="shared" si="326"/>
        <v>287974.29089215439</v>
      </c>
      <c r="H416" s="517">
        <f t="shared" si="326"/>
        <v>51029.102656231167</v>
      </c>
      <c r="I416" s="517">
        <f t="shared" si="326"/>
        <v>51029.102656231167</v>
      </c>
      <c r="J416" s="517">
        <f t="shared" si="326"/>
        <v>358193.61606466171</v>
      </c>
      <c r="K416" s="517">
        <f t="shared" si="326"/>
        <v>51029.102656231167</v>
      </c>
      <c r="L416" s="517">
        <f t="shared" si="326"/>
        <v>51029.102656231167</v>
      </c>
      <c r="M416" s="517">
        <f t="shared" si="326"/>
        <v>212088.49918494964</v>
      </c>
      <c r="N416" s="517">
        <f t="shared" si="326"/>
        <v>51029.102656231167</v>
      </c>
      <c r="O416" s="517">
        <f t="shared" si="326"/>
        <v>51029.102656231167</v>
      </c>
      <c r="P416" s="511">
        <f t="shared" si="278"/>
        <v>-5.8684527175500989E-6</v>
      </c>
      <c r="Q416" s="530">
        <v>58485</v>
      </c>
      <c r="R416" s="480"/>
      <c r="U416" s="513"/>
    </row>
    <row r="417" spans="1:21" s="479" customFormat="1" ht="27" x14ac:dyDescent="0.15">
      <c r="A417" s="579"/>
      <c r="B417" s="528" t="s">
        <v>407</v>
      </c>
      <c r="C417" s="517">
        <f>FCISAN!I40</f>
        <v>93130.731908507543</v>
      </c>
      <c r="D417" s="517">
        <f t="shared" ref="D417:O417" si="327">$C417*D$24%</f>
        <v>7760.8943256779194</v>
      </c>
      <c r="E417" s="517">
        <f t="shared" si="327"/>
        <v>7760.8943256779194</v>
      </c>
      <c r="F417" s="517">
        <f t="shared" si="327"/>
        <v>7760.8943256779194</v>
      </c>
      <c r="G417" s="517">
        <f t="shared" si="327"/>
        <v>7760.8943256779194</v>
      </c>
      <c r="H417" s="517">
        <f t="shared" si="327"/>
        <v>7760.8943256779194</v>
      </c>
      <c r="I417" s="517">
        <f t="shared" si="327"/>
        <v>7760.8943256779194</v>
      </c>
      <c r="J417" s="517">
        <f t="shared" si="327"/>
        <v>7760.8943256779194</v>
      </c>
      <c r="K417" s="517">
        <f t="shared" si="327"/>
        <v>7760.8943256779194</v>
      </c>
      <c r="L417" s="517">
        <f t="shared" si="327"/>
        <v>7760.8943256779194</v>
      </c>
      <c r="M417" s="517">
        <f t="shared" si="327"/>
        <v>7760.8943256779194</v>
      </c>
      <c r="N417" s="517">
        <f t="shared" si="327"/>
        <v>7760.8943256779194</v>
      </c>
      <c r="O417" s="517">
        <f t="shared" si="327"/>
        <v>7760.8943256779194</v>
      </c>
      <c r="P417" s="511">
        <f t="shared" si="278"/>
        <v>3.7252721085678786E-7</v>
      </c>
      <c r="Q417" s="530">
        <v>6962</v>
      </c>
      <c r="R417" s="480"/>
      <c r="U417" s="513"/>
    </row>
    <row r="418" spans="1:21" s="479" customFormat="1" ht="27" x14ac:dyDescent="0.15">
      <c r="A418" s="579"/>
      <c r="B418" s="528" t="s">
        <v>242</v>
      </c>
      <c r="C418" s="517">
        <f>ISAN!I40</f>
        <v>465198.92783046194</v>
      </c>
      <c r="D418" s="517">
        <f t="shared" ref="D418:O418" si="328">$C418*D$25%</f>
        <v>44767.771041887478</v>
      </c>
      <c r="E418" s="517">
        <f t="shared" si="328"/>
        <v>50000.925362103873</v>
      </c>
      <c r="F418" s="517">
        <f t="shared" si="328"/>
        <v>38805.132778241212</v>
      </c>
      <c r="G418" s="517">
        <f t="shared" si="328"/>
        <v>36015.165995724601</v>
      </c>
      <c r="H418" s="517">
        <f t="shared" si="328"/>
        <v>38508.17494811544</v>
      </c>
      <c r="I418" s="517">
        <f t="shared" si="328"/>
        <v>33445.521653156356</v>
      </c>
      <c r="J418" s="517">
        <f t="shared" si="328"/>
        <v>36233.094717839092</v>
      </c>
      <c r="K418" s="517">
        <f t="shared" si="328"/>
        <v>37365.844936639813</v>
      </c>
      <c r="L418" s="517">
        <f t="shared" si="328"/>
        <v>36716.848174220715</v>
      </c>
      <c r="M418" s="517">
        <f t="shared" si="328"/>
        <v>37617.301457272944</v>
      </c>
      <c r="N418" s="517">
        <f t="shared" si="328"/>
        <v>36422.285046289748</v>
      </c>
      <c r="O418" s="517">
        <f t="shared" si="328"/>
        <v>39300.861713388287</v>
      </c>
      <c r="P418" s="511">
        <f t="shared" si="278"/>
        <v>5.5824129958637059E-6</v>
      </c>
      <c r="Q418" s="530">
        <v>29888</v>
      </c>
      <c r="R418" s="480"/>
      <c r="U418" s="513"/>
    </row>
    <row r="419" spans="1:21" s="479" customFormat="1" ht="18" x14ac:dyDescent="0.15">
      <c r="A419" s="579"/>
      <c r="B419" s="528" t="s">
        <v>403</v>
      </c>
      <c r="C419" s="517">
        <f>LOT!I40</f>
        <v>22518.882184182072</v>
      </c>
      <c r="D419" s="517">
        <f t="shared" ref="D419:O419" si="329">$C419*D$26%</f>
        <v>1702.6614405075998</v>
      </c>
      <c r="E419" s="517">
        <f t="shared" si="329"/>
        <v>1678.5273478571637</v>
      </c>
      <c r="F419" s="517">
        <f t="shared" si="329"/>
        <v>1649.7863482569912</v>
      </c>
      <c r="G419" s="517">
        <f t="shared" si="329"/>
        <v>1815.1333751240772</v>
      </c>
      <c r="H419" s="517">
        <f t="shared" si="329"/>
        <v>1485.1094898992203</v>
      </c>
      <c r="I419" s="517">
        <f t="shared" si="329"/>
        <v>2015.3692948125038</v>
      </c>
      <c r="J419" s="517">
        <f t="shared" si="329"/>
        <v>4625.2703646273221</v>
      </c>
      <c r="K419" s="517">
        <f t="shared" si="329"/>
        <v>1683.7642934746618</v>
      </c>
      <c r="L419" s="517">
        <f t="shared" si="329"/>
        <v>2043.0388273752371</v>
      </c>
      <c r="M419" s="517">
        <f t="shared" si="329"/>
        <v>1264.9210080725338</v>
      </c>
      <c r="N419" s="517">
        <f t="shared" si="329"/>
        <v>1277.6501969522676</v>
      </c>
      <c r="O419" s="517">
        <f t="shared" si="329"/>
        <v>1277.6501969522676</v>
      </c>
      <c r="P419" s="511">
        <f t="shared" si="278"/>
        <v>2.7022269932786003E-7</v>
      </c>
      <c r="Q419" s="530">
        <v>1460</v>
      </c>
      <c r="R419" s="480"/>
      <c r="U419" s="513"/>
    </row>
    <row r="420" spans="1:21" s="479" customFormat="1" ht="39.75" customHeight="1" x14ac:dyDescent="0.15">
      <c r="A420" s="579"/>
      <c r="B420" s="518" t="s">
        <v>301</v>
      </c>
      <c r="C420" s="517">
        <f>'ENAJENAC DE INMUE'!I40</f>
        <v>88546.917715976713</v>
      </c>
      <c r="D420" s="517">
        <f t="shared" ref="D420:O420" si="330">$C420*D$27%</f>
        <v>3823.9621869943121</v>
      </c>
      <c r="E420" s="517">
        <f t="shared" si="330"/>
        <v>3880.2853187659884</v>
      </c>
      <c r="F420" s="517">
        <f t="shared" si="330"/>
        <v>3827.9738831998166</v>
      </c>
      <c r="G420" s="517">
        <f t="shared" si="330"/>
        <v>3805.5506784592171</v>
      </c>
      <c r="H420" s="517">
        <f t="shared" si="330"/>
        <v>5279.0255591581854</v>
      </c>
      <c r="I420" s="517">
        <f t="shared" si="330"/>
        <v>3799.724291273506</v>
      </c>
      <c r="J420" s="517">
        <f t="shared" si="330"/>
        <v>4366.9433454623977</v>
      </c>
      <c r="K420" s="517">
        <f t="shared" si="330"/>
        <v>4362.4482872173385</v>
      </c>
      <c r="L420" s="517">
        <f t="shared" si="330"/>
        <v>4356.9219177973755</v>
      </c>
      <c r="M420" s="517">
        <f t="shared" si="330"/>
        <v>3804.9277248602916</v>
      </c>
      <c r="N420" s="517">
        <f t="shared" si="330"/>
        <v>15819.490217861678</v>
      </c>
      <c r="O420" s="517">
        <f t="shared" si="330"/>
        <v>31419.664304749513</v>
      </c>
      <c r="P420" s="511">
        <f t="shared" ref="P420:P483" si="331">C420-D420-E420-F420-G420-H420-I420-J420-K420-L420-M420-N420-O420</f>
        <v>1.7711499822326005E-7</v>
      </c>
      <c r="Q420" s="530">
        <v>21300</v>
      </c>
      <c r="R420" s="480"/>
      <c r="U420" s="513"/>
    </row>
    <row r="421" spans="1:21" s="479" customFormat="1" ht="27" x14ac:dyDescent="0.15">
      <c r="A421" s="579"/>
      <c r="B421" s="518" t="s">
        <v>248</v>
      </c>
      <c r="C421" s="517">
        <f>'IMP BEBIDAS AL'!I40</f>
        <v>34608.814656077673</v>
      </c>
      <c r="D421" s="517">
        <f t="shared" ref="D421:O421" si="332">$C421*D$28%</f>
        <v>7869.718971204974</v>
      </c>
      <c r="E421" s="517">
        <f t="shared" si="332"/>
        <v>2706.8975363450759</v>
      </c>
      <c r="F421" s="517">
        <f t="shared" si="332"/>
        <v>2908.9757444464221</v>
      </c>
      <c r="G421" s="517">
        <f t="shared" si="332"/>
        <v>2888.093176086325</v>
      </c>
      <c r="H421" s="517">
        <f t="shared" si="332"/>
        <v>1839.1516518496387</v>
      </c>
      <c r="I421" s="517">
        <f t="shared" si="332"/>
        <v>3009.7746368481799</v>
      </c>
      <c r="J421" s="517">
        <f t="shared" si="332"/>
        <v>2992.8330606594764</v>
      </c>
      <c r="K421" s="517">
        <f t="shared" si="332"/>
        <v>2737.1642041084629</v>
      </c>
      <c r="L421" s="517">
        <f t="shared" si="332"/>
        <v>1985.068503195243</v>
      </c>
      <c r="M421" s="517">
        <f t="shared" si="332"/>
        <v>1845.2970137174152</v>
      </c>
      <c r="N421" s="517">
        <f t="shared" si="332"/>
        <v>1858.3406963946884</v>
      </c>
      <c r="O421" s="517">
        <f t="shared" si="332"/>
        <v>1967.4994612217731</v>
      </c>
      <c r="P421" s="511">
        <f t="shared" si="331"/>
        <v>-4.5474735088646412E-12</v>
      </c>
      <c r="Q421" s="530">
        <v>912</v>
      </c>
      <c r="R421" s="480"/>
      <c r="U421" s="513"/>
    </row>
    <row r="422" spans="1:21" s="479" customFormat="1" x14ac:dyDescent="0.15">
      <c r="A422" s="579"/>
      <c r="B422" s="535" t="s">
        <v>253</v>
      </c>
      <c r="C422" s="517">
        <f>'FOND GASO Y D'!Q41</f>
        <v>0</v>
      </c>
      <c r="D422" s="517">
        <f t="shared" ref="D422:O422" si="333">$C422*D$29%</f>
        <v>0</v>
      </c>
      <c r="E422" s="517">
        <f t="shared" si="333"/>
        <v>0</v>
      </c>
      <c r="F422" s="517">
        <f t="shared" si="333"/>
        <v>0</v>
      </c>
      <c r="G422" s="517">
        <f t="shared" si="333"/>
        <v>0</v>
      </c>
      <c r="H422" s="517">
        <f t="shared" si="333"/>
        <v>0</v>
      </c>
      <c r="I422" s="517">
        <f t="shared" si="333"/>
        <v>0</v>
      </c>
      <c r="J422" s="517">
        <f t="shared" si="333"/>
        <v>0</v>
      </c>
      <c r="K422" s="517">
        <f t="shared" si="333"/>
        <v>0</v>
      </c>
      <c r="L422" s="517">
        <f t="shared" si="333"/>
        <v>0</v>
      </c>
      <c r="M422" s="517">
        <f t="shared" si="333"/>
        <v>0</v>
      </c>
      <c r="N422" s="517">
        <f t="shared" si="333"/>
        <v>0</v>
      </c>
      <c r="O422" s="517">
        <f t="shared" si="333"/>
        <v>0</v>
      </c>
      <c r="P422" s="511">
        <f t="shared" si="331"/>
        <v>0</v>
      </c>
      <c r="Q422" s="530">
        <v>23181</v>
      </c>
      <c r="R422" s="480"/>
      <c r="U422" s="513"/>
    </row>
    <row r="423" spans="1:21" s="479" customFormat="1" ht="18" x14ac:dyDescent="0.15">
      <c r="A423" s="579"/>
      <c r="B423" s="528" t="s">
        <v>408</v>
      </c>
      <c r="C423" s="519">
        <f>'FOND GASO Y D'!H41</f>
        <v>750780.78034432908</v>
      </c>
      <c r="D423" s="517">
        <f t="shared" ref="D423:O423" si="334">$C423*D$30%</f>
        <v>58403.83949465528</v>
      </c>
      <c r="E423" s="517">
        <f t="shared" si="334"/>
        <v>64213.692313783031</v>
      </c>
      <c r="F423" s="517">
        <f t="shared" si="334"/>
        <v>62518.654916885345</v>
      </c>
      <c r="G423" s="517">
        <f t="shared" si="334"/>
        <v>58254.3612530889</v>
      </c>
      <c r="H423" s="517">
        <f t="shared" si="334"/>
        <v>64187.97952031235</v>
      </c>
      <c r="I423" s="517">
        <f t="shared" si="334"/>
        <v>61949.027299689813</v>
      </c>
      <c r="J423" s="517">
        <f t="shared" si="334"/>
        <v>63240.578496458038</v>
      </c>
      <c r="K423" s="517">
        <f t="shared" si="334"/>
        <v>63202.999033902044</v>
      </c>
      <c r="L423" s="517">
        <f t="shared" si="334"/>
        <v>65770.277859094829</v>
      </c>
      <c r="M423" s="517">
        <f t="shared" si="334"/>
        <v>65192.739129676287</v>
      </c>
      <c r="N423" s="517">
        <f t="shared" si="334"/>
        <v>60928.44546587985</v>
      </c>
      <c r="O423" s="517">
        <f t="shared" si="334"/>
        <v>62918.185561654078</v>
      </c>
      <c r="P423" s="511">
        <f t="shared" si="331"/>
        <v>-7.5069692684337497E-7</v>
      </c>
      <c r="Q423" s="530">
        <v>45885</v>
      </c>
      <c r="R423" s="480"/>
      <c r="U423" s="513"/>
    </row>
    <row r="424" spans="1:21" s="479" customFormat="1" x14ac:dyDescent="0.15">
      <c r="A424" s="579"/>
      <c r="B424" s="534"/>
      <c r="C424" s="521"/>
      <c r="D424" s="522"/>
      <c r="E424" s="522"/>
      <c r="F424" s="522"/>
      <c r="G424" s="522"/>
      <c r="H424" s="522"/>
      <c r="I424" s="522"/>
      <c r="J424" s="522"/>
      <c r="K424" s="522"/>
      <c r="L424" s="522"/>
      <c r="M424" s="522"/>
      <c r="N424" s="522"/>
      <c r="O424" s="522"/>
      <c r="P424" s="511">
        <f t="shared" si="331"/>
        <v>0</v>
      </c>
      <c r="Q424" s="530">
        <v>0</v>
      </c>
      <c r="R424" s="480"/>
      <c r="U424" s="513"/>
    </row>
    <row r="425" spans="1:21" s="479" customFormat="1" x14ac:dyDescent="0.15">
      <c r="A425" s="591"/>
      <c r="B425" s="532"/>
      <c r="C425" s="521"/>
      <c r="D425" s="521"/>
      <c r="E425" s="521"/>
      <c r="F425" s="521"/>
      <c r="G425" s="521"/>
      <c r="H425" s="521"/>
      <c r="I425" s="521"/>
      <c r="J425" s="521"/>
      <c r="K425" s="521"/>
      <c r="L425" s="521"/>
      <c r="M425" s="521"/>
      <c r="N425" s="521"/>
      <c r="O425" s="521"/>
      <c r="P425" s="511">
        <f t="shared" si="331"/>
        <v>0</v>
      </c>
      <c r="Q425" s="530">
        <v>0</v>
      </c>
      <c r="R425" s="480"/>
      <c r="U425" s="513"/>
    </row>
    <row r="426" spans="1:21" s="479" customFormat="1" x14ac:dyDescent="0.15">
      <c r="A426" s="576">
        <v>27</v>
      </c>
      <c r="B426" s="533" t="s">
        <v>71</v>
      </c>
      <c r="C426" s="524">
        <f t="shared" ref="C426:O426" si="335">SUM(C427:C438)</f>
        <v>20239390.419320654</v>
      </c>
      <c r="D426" s="524">
        <f t="shared" si="335"/>
        <v>1578366.1851502121</v>
      </c>
      <c r="E426" s="524">
        <f t="shared" si="335"/>
        <v>2118361.0268103196</v>
      </c>
      <c r="F426" s="524">
        <f t="shared" si="335"/>
        <v>1410092.067465554</v>
      </c>
      <c r="G426" s="524">
        <f t="shared" si="335"/>
        <v>1793830.3659768684</v>
      </c>
      <c r="H426" s="524">
        <f t="shared" si="335"/>
        <v>2031276.8012165416</v>
      </c>
      <c r="I426" s="524">
        <f t="shared" si="335"/>
        <v>1986909.710478968</v>
      </c>
      <c r="J426" s="524">
        <f t="shared" si="335"/>
        <v>1729589.3481621088</v>
      </c>
      <c r="K426" s="524">
        <f t="shared" si="335"/>
        <v>1683742.261292153</v>
      </c>
      <c r="L426" s="524">
        <f t="shared" si="335"/>
        <v>1594617.3558244952</v>
      </c>
      <c r="M426" s="524">
        <f t="shared" si="335"/>
        <v>1194369.1087455871</v>
      </c>
      <c r="N426" s="524">
        <f t="shared" si="335"/>
        <v>1548998.224253576</v>
      </c>
      <c r="O426" s="524">
        <f t="shared" si="335"/>
        <v>1569237.963885959</v>
      </c>
      <c r="P426" s="511">
        <f t="shared" si="331"/>
        <v>5.8309640735387802E-5</v>
      </c>
      <c r="Q426" s="530">
        <v>1229285</v>
      </c>
      <c r="R426" s="480"/>
      <c r="T426" s="512"/>
      <c r="U426" s="513"/>
    </row>
    <row r="427" spans="1:21" s="479" customFormat="1" x14ac:dyDescent="0.15">
      <c r="A427" s="579"/>
      <c r="B427" s="528" t="s">
        <v>294</v>
      </c>
      <c r="C427" s="517">
        <f>'FG1'!I42</f>
        <v>13844618.150281157</v>
      </c>
      <c r="D427" s="517">
        <f t="shared" ref="D427:O427" si="336">$C427*D$19%</f>
        <v>1047133.5208486249</v>
      </c>
      <c r="E427" s="517">
        <f t="shared" si="336"/>
        <v>1500280.2462440622</v>
      </c>
      <c r="F427" s="517">
        <f t="shared" si="336"/>
        <v>969774.78609425854</v>
      </c>
      <c r="G427" s="517">
        <f t="shared" si="336"/>
        <v>1191270.0671998919</v>
      </c>
      <c r="H427" s="517">
        <f t="shared" si="336"/>
        <v>1454801.0479160149</v>
      </c>
      <c r="I427" s="517">
        <f t="shared" si="336"/>
        <v>1426218.4780626746</v>
      </c>
      <c r="J427" s="517">
        <f t="shared" si="336"/>
        <v>1105609.690391063</v>
      </c>
      <c r="K427" s="517">
        <f t="shared" si="336"/>
        <v>1173864.2051635492</v>
      </c>
      <c r="L427" s="517">
        <f t="shared" si="336"/>
        <v>1103141.1961101266</v>
      </c>
      <c r="M427" s="517">
        <f t="shared" si="336"/>
        <v>731297.83490858413</v>
      </c>
      <c r="N427" s="517">
        <f t="shared" si="336"/>
        <v>1067291.9153593448</v>
      </c>
      <c r="O427" s="517">
        <f t="shared" si="336"/>
        <v>1073935.1619691185</v>
      </c>
      <c r="P427" s="511">
        <f t="shared" si="331"/>
        <v>1.3845274224877357E-5</v>
      </c>
      <c r="Q427" s="530">
        <v>831986</v>
      </c>
      <c r="R427" s="480"/>
      <c r="U427" s="513"/>
    </row>
    <row r="428" spans="1:21" s="479" customFormat="1" x14ac:dyDescent="0.15">
      <c r="A428" s="579"/>
      <c r="B428" s="528" t="s">
        <v>296</v>
      </c>
      <c r="C428" s="517">
        <f>FFM!J42</f>
        <v>3721376.5349852033</v>
      </c>
      <c r="D428" s="517">
        <f t="shared" ref="D428:O428" si="337">$C428*D$20%</f>
        <v>281422.17847461835</v>
      </c>
      <c r="E428" s="517">
        <f t="shared" si="337"/>
        <v>403464.4184909726</v>
      </c>
      <c r="F428" s="517">
        <f t="shared" si="337"/>
        <v>260587.79487825537</v>
      </c>
      <c r="G428" s="517">
        <f t="shared" si="337"/>
        <v>320241.27711018582</v>
      </c>
      <c r="H428" s="517">
        <f t="shared" si="337"/>
        <v>391215.88515599695</v>
      </c>
      <c r="I428" s="517">
        <f t="shared" si="337"/>
        <v>383517.97812556708</v>
      </c>
      <c r="J428" s="517">
        <f t="shared" si="337"/>
        <v>297145.02499907347</v>
      </c>
      <c r="K428" s="517">
        <f t="shared" si="337"/>
        <v>315527.44608655066</v>
      </c>
      <c r="L428" s="517">
        <f t="shared" si="337"/>
        <v>296480.20437079523</v>
      </c>
      <c r="M428" s="517">
        <f t="shared" si="337"/>
        <v>196334.72319710077</v>
      </c>
      <c r="N428" s="517">
        <f t="shared" si="337"/>
        <v>286825.21651908394</v>
      </c>
      <c r="O428" s="517">
        <f t="shared" si="337"/>
        <v>288614.38753234642</v>
      </c>
      <c r="P428" s="511">
        <f t="shared" si="331"/>
        <v>4.4656684622168541E-5</v>
      </c>
      <c r="Q428" s="530">
        <v>254727</v>
      </c>
      <c r="R428" s="480"/>
      <c r="U428" s="513"/>
    </row>
    <row r="429" spans="1:21" s="479" customFormat="1" ht="18" x14ac:dyDescent="0.15">
      <c r="A429" s="579"/>
      <c r="B429" s="528" t="s">
        <v>297</v>
      </c>
      <c r="C429" s="517">
        <f>IEPS!I41</f>
        <v>334818.25382759125</v>
      </c>
      <c r="D429" s="517">
        <f t="shared" ref="D429:O429" si="338">$C429*D$21%</f>
        <v>23517.574191606021</v>
      </c>
      <c r="E429" s="517">
        <f t="shared" si="338"/>
        <v>53754.276380421587</v>
      </c>
      <c r="F429" s="517">
        <f t="shared" si="338"/>
        <v>22327.366247236921</v>
      </c>
      <c r="G429" s="517">
        <f t="shared" si="338"/>
        <v>21699.073452806537</v>
      </c>
      <c r="H429" s="517">
        <f t="shared" si="338"/>
        <v>23956.970814983117</v>
      </c>
      <c r="I429" s="517">
        <f t="shared" si="338"/>
        <v>24843.856026304009</v>
      </c>
      <c r="J429" s="517">
        <f t="shared" si="338"/>
        <v>25584.579098198243</v>
      </c>
      <c r="K429" s="517">
        <f t="shared" si="338"/>
        <v>28340.223469648161</v>
      </c>
      <c r="L429" s="517">
        <f t="shared" si="338"/>
        <v>28399.609125973515</v>
      </c>
      <c r="M429" s="517">
        <f t="shared" si="338"/>
        <v>28083.968664074589</v>
      </c>
      <c r="N429" s="517">
        <f t="shared" si="338"/>
        <v>27175.989367722988</v>
      </c>
      <c r="O429" s="517">
        <f t="shared" si="338"/>
        <v>27134.766988280735</v>
      </c>
      <c r="P429" s="511">
        <f t="shared" si="331"/>
        <v>3.3479591365903616E-7</v>
      </c>
      <c r="Q429" s="530">
        <v>21487</v>
      </c>
      <c r="R429" s="480"/>
      <c r="U429" s="513"/>
    </row>
    <row r="430" spans="1:21" s="479" customFormat="1" x14ac:dyDescent="0.15">
      <c r="A430" s="579"/>
      <c r="B430" s="528" t="s">
        <v>236</v>
      </c>
      <c r="C430" s="517">
        <f>ISR!C32</f>
        <v>623888.51</v>
      </c>
      <c r="D430" s="517">
        <f>ISR!D32</f>
        <v>49824.14249169916</v>
      </c>
      <c r="E430" s="517">
        <f>ISR!E32</f>
        <v>44499.481662854982</v>
      </c>
      <c r="F430" s="517">
        <f>ISR!F32</f>
        <v>47635.504259002329</v>
      </c>
      <c r="G430" s="517">
        <f>ISR!G32</f>
        <v>51743.311935687889</v>
      </c>
      <c r="H430" s="517">
        <f>ISR!H32</f>
        <v>49889.91833776181</v>
      </c>
      <c r="I430" s="517">
        <f>ISR!I32</f>
        <v>45308.948929722494</v>
      </c>
      <c r="J430" s="517">
        <f>ISR!J32</f>
        <v>54725.503924108045</v>
      </c>
      <c r="K430" s="517">
        <f>ISR!K32</f>
        <v>56014.498326787041</v>
      </c>
      <c r="L430" s="517">
        <f>ISR!L32</f>
        <v>54476.192249515865</v>
      </c>
      <c r="M430" s="517">
        <f>ISR!M32</f>
        <v>56276.540810294588</v>
      </c>
      <c r="N430" s="517">
        <f>ISR!N32</f>
        <v>55927.504465865473</v>
      </c>
      <c r="O430" s="517">
        <f>ISR!O32</f>
        <v>57566.962606700465</v>
      </c>
      <c r="P430" s="511">
        <f t="shared" si="331"/>
        <v>-2.1827872842550278E-10</v>
      </c>
      <c r="Q430" s="530">
        <v>0</v>
      </c>
      <c r="R430" s="480"/>
      <c r="U430" s="513"/>
    </row>
    <row r="431" spans="1:21" s="479" customFormat="1" ht="18" x14ac:dyDescent="0.15">
      <c r="A431" s="579"/>
      <c r="B431" s="528" t="s">
        <v>298</v>
      </c>
      <c r="C431" s="517">
        <f>FOFIR!I41</f>
        <v>647536.85503744311</v>
      </c>
      <c r="D431" s="517">
        <f t="shared" ref="D431:O431" si="339">$C431*D$23%</f>
        <v>88528.322047291411</v>
      </c>
      <c r="E431" s="517">
        <f t="shared" si="339"/>
        <v>22523.447652646548</v>
      </c>
      <c r="F431" s="517">
        <f t="shared" si="339"/>
        <v>22523.447652646548</v>
      </c>
      <c r="G431" s="517">
        <f t="shared" si="339"/>
        <v>127107.34715272172</v>
      </c>
      <c r="H431" s="517">
        <f t="shared" si="339"/>
        <v>22523.447652646548</v>
      </c>
      <c r="I431" s="517">
        <f t="shared" si="339"/>
        <v>22523.447652646548</v>
      </c>
      <c r="J431" s="517">
        <f t="shared" si="339"/>
        <v>158101.05882705402</v>
      </c>
      <c r="K431" s="517">
        <f t="shared" si="339"/>
        <v>22523.447652646548</v>
      </c>
      <c r="L431" s="517">
        <f t="shared" si="339"/>
        <v>22523.447652646548</v>
      </c>
      <c r="M431" s="517">
        <f t="shared" si="339"/>
        <v>93612.545791793716</v>
      </c>
      <c r="N431" s="517">
        <f t="shared" si="339"/>
        <v>22523.447652646548</v>
      </c>
      <c r="O431" s="517">
        <f t="shared" si="339"/>
        <v>22523.447652646548</v>
      </c>
      <c r="P431" s="511">
        <f t="shared" si="331"/>
        <v>-2.5902627385221422E-6</v>
      </c>
      <c r="Q431" s="530">
        <v>25311</v>
      </c>
      <c r="R431" s="480"/>
      <c r="U431" s="513"/>
    </row>
    <row r="432" spans="1:21" s="479" customFormat="1" ht="27" x14ac:dyDescent="0.15">
      <c r="A432" s="579"/>
      <c r="B432" s="528" t="s">
        <v>407</v>
      </c>
      <c r="C432" s="517">
        <f>FCISAN!I41</f>
        <v>41106.448199276485</v>
      </c>
      <c r="D432" s="517">
        <f t="shared" ref="D432:O432" si="340">$C432*D$24%</f>
        <v>3425.5373499260054</v>
      </c>
      <c r="E432" s="517">
        <f t="shared" si="340"/>
        <v>3425.5373499260054</v>
      </c>
      <c r="F432" s="517">
        <f t="shared" si="340"/>
        <v>3425.5373499260054</v>
      </c>
      <c r="G432" s="517">
        <f t="shared" si="340"/>
        <v>3425.5373499260054</v>
      </c>
      <c r="H432" s="517">
        <f t="shared" si="340"/>
        <v>3425.5373499260054</v>
      </c>
      <c r="I432" s="517">
        <f t="shared" si="340"/>
        <v>3425.5373499260054</v>
      </c>
      <c r="J432" s="517">
        <f t="shared" si="340"/>
        <v>3425.5373499260054</v>
      </c>
      <c r="K432" s="517">
        <f t="shared" si="340"/>
        <v>3425.5373499260054</v>
      </c>
      <c r="L432" s="517">
        <f t="shared" si="340"/>
        <v>3425.5373499260054</v>
      </c>
      <c r="M432" s="517">
        <f t="shared" si="340"/>
        <v>3425.5373499260054</v>
      </c>
      <c r="N432" s="517">
        <f t="shared" si="340"/>
        <v>3425.5373499260054</v>
      </c>
      <c r="O432" s="517">
        <f t="shared" si="340"/>
        <v>3425.5373499260054</v>
      </c>
      <c r="P432" s="511">
        <f t="shared" si="331"/>
        <v>1.6442299966001883E-7</v>
      </c>
      <c r="Q432" s="530">
        <v>3014</v>
      </c>
      <c r="R432" s="480"/>
      <c r="U432" s="513"/>
    </row>
    <row r="433" spans="1:21" s="479" customFormat="1" ht="27" x14ac:dyDescent="0.15">
      <c r="A433" s="579"/>
      <c r="B433" s="528" t="s">
        <v>242</v>
      </c>
      <c r="C433" s="517">
        <f>ISAN!I41</f>
        <v>205331.52953214338</v>
      </c>
      <c r="D433" s="517">
        <f t="shared" ref="D433:O433" si="341">$C433*D$25%</f>
        <v>19759.793825504232</v>
      </c>
      <c r="E433" s="517">
        <f t="shared" si="341"/>
        <v>22069.626279029111</v>
      </c>
      <c r="F433" s="517">
        <f t="shared" si="341"/>
        <v>17127.978570832012</v>
      </c>
      <c r="G433" s="517">
        <f t="shared" si="341"/>
        <v>15896.530877111649</v>
      </c>
      <c r="H433" s="517">
        <f t="shared" si="341"/>
        <v>16996.906029993112</v>
      </c>
      <c r="I433" s="517">
        <f t="shared" si="341"/>
        <v>14762.330061830649</v>
      </c>
      <c r="J433" s="517">
        <f t="shared" si="341"/>
        <v>15992.721205944614</v>
      </c>
      <c r="K433" s="517">
        <f t="shared" si="341"/>
        <v>16492.699432654943</v>
      </c>
      <c r="L433" s="517">
        <f t="shared" si="341"/>
        <v>16206.242414126544</v>
      </c>
      <c r="M433" s="517">
        <f t="shared" si="341"/>
        <v>16603.688407271089</v>
      </c>
      <c r="N433" s="517">
        <f t="shared" si="341"/>
        <v>16076.226857375563</v>
      </c>
      <c r="O433" s="517">
        <f t="shared" si="341"/>
        <v>17346.785568005889</v>
      </c>
      <c r="P433" s="511">
        <f t="shared" si="331"/>
        <v>2.4639339244458824E-6</v>
      </c>
      <c r="Q433" s="530">
        <v>12932</v>
      </c>
      <c r="R433" s="480"/>
      <c r="U433" s="513"/>
    </row>
    <row r="434" spans="1:21" s="479" customFormat="1" ht="18" x14ac:dyDescent="0.15">
      <c r="A434" s="579"/>
      <c r="B434" s="528" t="s">
        <v>403</v>
      </c>
      <c r="C434" s="517">
        <f>LOT!I41</f>
        <v>9939.4823281221325</v>
      </c>
      <c r="D434" s="517">
        <f t="shared" ref="D434:O434" si="342">$C434*D$26%</f>
        <v>751.52812472138953</v>
      </c>
      <c r="E434" s="517">
        <f t="shared" si="342"/>
        <v>740.87571376056621</v>
      </c>
      <c r="F434" s="517">
        <f t="shared" si="342"/>
        <v>728.18988613901831</v>
      </c>
      <c r="G434" s="517">
        <f t="shared" si="342"/>
        <v>801.17147723714811</v>
      </c>
      <c r="H434" s="517">
        <f t="shared" si="342"/>
        <v>655.50409693730228</v>
      </c>
      <c r="I434" s="517">
        <f t="shared" si="342"/>
        <v>889.55247985176288</v>
      </c>
      <c r="J434" s="517">
        <f t="shared" si="342"/>
        <v>2041.5219847942953</v>
      </c>
      <c r="K434" s="517">
        <f t="shared" si="342"/>
        <v>743.18721963340306</v>
      </c>
      <c r="L434" s="517">
        <f t="shared" si="342"/>
        <v>901.76537868418677</v>
      </c>
      <c r="M434" s="517">
        <f t="shared" si="342"/>
        <v>558.31634551730951</v>
      </c>
      <c r="N434" s="517">
        <f t="shared" si="342"/>
        <v>563.93481036323851</v>
      </c>
      <c r="O434" s="517">
        <f t="shared" si="342"/>
        <v>563.93481036323851</v>
      </c>
      <c r="P434" s="511">
        <f t="shared" si="331"/>
        <v>1.1927386367460713E-7</v>
      </c>
      <c r="Q434" s="530">
        <v>634</v>
      </c>
      <c r="R434" s="480"/>
      <c r="U434" s="513"/>
    </row>
    <row r="435" spans="1:21" s="479" customFormat="1" ht="45" x14ac:dyDescent="0.15">
      <c r="A435" s="579"/>
      <c r="B435" s="518" t="s">
        <v>301</v>
      </c>
      <c r="C435" s="517">
        <f>'ENAJENAC DE INMUE'!I41</f>
        <v>39083.2243203373</v>
      </c>
      <c r="D435" s="517">
        <f t="shared" ref="D435:O435" si="343">$C435*D$27%</f>
        <v>1687.8370902324498</v>
      </c>
      <c r="E435" s="517">
        <f t="shared" si="343"/>
        <v>1712.6972395209571</v>
      </c>
      <c r="F435" s="517">
        <f t="shared" si="343"/>
        <v>1689.6077901816871</v>
      </c>
      <c r="G435" s="517">
        <f t="shared" si="343"/>
        <v>1679.7105383804583</v>
      </c>
      <c r="H435" s="517">
        <f t="shared" si="343"/>
        <v>2330.0793008195969</v>
      </c>
      <c r="I435" s="517">
        <f t="shared" si="343"/>
        <v>1677.1388622201803</v>
      </c>
      <c r="J435" s="517">
        <f t="shared" si="343"/>
        <v>1927.5004796029843</v>
      </c>
      <c r="K435" s="517">
        <f t="shared" si="343"/>
        <v>1925.51643121083</v>
      </c>
      <c r="L435" s="517">
        <f t="shared" si="343"/>
        <v>1923.077178199107</v>
      </c>
      <c r="M435" s="517">
        <f t="shared" si="343"/>
        <v>1679.4355764068969</v>
      </c>
      <c r="N435" s="517">
        <f t="shared" si="343"/>
        <v>6982.4755142946387</v>
      </c>
      <c r="O435" s="517">
        <f t="shared" si="343"/>
        <v>13868.148319189346</v>
      </c>
      <c r="P435" s="511">
        <f t="shared" si="331"/>
        <v>7.8154698712751269E-8</v>
      </c>
      <c r="Q435" s="530">
        <v>9219</v>
      </c>
      <c r="R435" s="480"/>
      <c r="U435" s="513"/>
    </row>
    <row r="436" spans="1:21" s="479" customFormat="1" ht="27" x14ac:dyDescent="0.15">
      <c r="A436" s="579"/>
      <c r="B436" s="518" t="s">
        <v>248</v>
      </c>
      <c r="C436" s="517">
        <f>'IMP BEBIDAS AL'!I41</f>
        <v>15275.78939566412</v>
      </c>
      <c r="D436" s="517">
        <f t="shared" ref="D436:O436" si="344">$C436*D$28%</f>
        <v>3473.5708460930623</v>
      </c>
      <c r="E436" s="517">
        <f t="shared" si="344"/>
        <v>1194.7822279312863</v>
      </c>
      <c r="F436" s="517">
        <f t="shared" si="344"/>
        <v>1283.9763878320291</v>
      </c>
      <c r="G436" s="517">
        <f t="shared" si="344"/>
        <v>1274.75914882863</v>
      </c>
      <c r="H436" s="517">
        <f t="shared" si="344"/>
        <v>811.77276886046639</v>
      </c>
      <c r="I436" s="517">
        <f t="shared" si="344"/>
        <v>1328.4674421182542</v>
      </c>
      <c r="J436" s="517">
        <f t="shared" si="344"/>
        <v>1320.9896954094752</v>
      </c>
      <c r="K436" s="517">
        <f t="shared" si="344"/>
        <v>1208.1414616137045</v>
      </c>
      <c r="L436" s="517">
        <f t="shared" si="344"/>
        <v>876.1781844340519</v>
      </c>
      <c r="M436" s="517">
        <f t="shared" si="344"/>
        <v>814.48523545561488</v>
      </c>
      <c r="N436" s="517">
        <f t="shared" si="344"/>
        <v>820.24251294407998</v>
      </c>
      <c r="O436" s="517">
        <f t="shared" si="344"/>
        <v>868.42348414346623</v>
      </c>
      <c r="P436" s="511">
        <f t="shared" si="331"/>
        <v>0</v>
      </c>
      <c r="Q436" s="530">
        <v>394</v>
      </c>
      <c r="R436" s="480"/>
      <c r="U436" s="513"/>
    </row>
    <row r="437" spans="1:21" s="479" customFormat="1" ht="18" x14ac:dyDescent="0.15">
      <c r="A437" s="579"/>
      <c r="B437" s="518" t="s">
        <v>253</v>
      </c>
      <c r="C437" s="517">
        <f>'FOND GASO Y D'!Q42</f>
        <v>0</v>
      </c>
      <c r="D437" s="517">
        <f t="shared" ref="D437:O437" si="345">$C437*D$29%</f>
        <v>0</v>
      </c>
      <c r="E437" s="517">
        <f t="shared" si="345"/>
        <v>0</v>
      </c>
      <c r="F437" s="517">
        <f t="shared" si="345"/>
        <v>0</v>
      </c>
      <c r="G437" s="517">
        <f t="shared" si="345"/>
        <v>0</v>
      </c>
      <c r="H437" s="517">
        <f t="shared" si="345"/>
        <v>0</v>
      </c>
      <c r="I437" s="517">
        <f t="shared" si="345"/>
        <v>0</v>
      </c>
      <c r="J437" s="517">
        <f t="shared" si="345"/>
        <v>0</v>
      </c>
      <c r="K437" s="517">
        <f t="shared" si="345"/>
        <v>0</v>
      </c>
      <c r="L437" s="517">
        <f t="shared" si="345"/>
        <v>0</v>
      </c>
      <c r="M437" s="517">
        <f t="shared" si="345"/>
        <v>0</v>
      </c>
      <c r="N437" s="517">
        <f t="shared" si="345"/>
        <v>0</v>
      </c>
      <c r="O437" s="517">
        <f t="shared" si="345"/>
        <v>0</v>
      </c>
      <c r="P437" s="511">
        <f t="shared" si="331"/>
        <v>0</v>
      </c>
      <c r="Q437" s="530">
        <v>23354</v>
      </c>
      <c r="R437" s="480"/>
      <c r="U437" s="513"/>
    </row>
    <row r="438" spans="1:21" s="479" customFormat="1" ht="18" x14ac:dyDescent="0.15">
      <c r="A438" s="579"/>
      <c r="B438" s="528" t="s">
        <v>408</v>
      </c>
      <c r="C438" s="519">
        <f>'FOND GASO Y D'!H42</f>
        <v>756415.64141371741</v>
      </c>
      <c r="D438" s="517">
        <f t="shared" ref="D438:O438" si="346">$C438*D$30%</f>
        <v>58842.179859895194</v>
      </c>
      <c r="E438" s="517">
        <f t="shared" si="346"/>
        <v>64695.637569193896</v>
      </c>
      <c r="F438" s="517">
        <f t="shared" si="346"/>
        <v>62987.878349243474</v>
      </c>
      <c r="G438" s="517">
        <f t="shared" si="346"/>
        <v>58691.579734090192</v>
      </c>
      <c r="H438" s="517">
        <f t="shared" si="346"/>
        <v>64669.73179260124</v>
      </c>
      <c r="I438" s="517">
        <f t="shared" si="346"/>
        <v>62413.975486106363</v>
      </c>
      <c r="J438" s="517">
        <f t="shared" si="346"/>
        <v>63715.220206934238</v>
      </c>
      <c r="K438" s="517">
        <f t="shared" si="346"/>
        <v>63677.358697932585</v>
      </c>
      <c r="L438" s="517">
        <f t="shared" si="346"/>
        <v>66263.905810067547</v>
      </c>
      <c r="M438" s="517">
        <f t="shared" si="346"/>
        <v>65682.032459162059</v>
      </c>
      <c r="N438" s="517">
        <f t="shared" si="346"/>
        <v>61385.733844008791</v>
      </c>
      <c r="O438" s="517">
        <f t="shared" si="346"/>
        <v>63390.407605238244</v>
      </c>
      <c r="P438" s="511">
        <f t="shared" si="331"/>
        <v>-7.5627758633345366E-7</v>
      </c>
      <c r="Q438" s="530">
        <v>46227</v>
      </c>
      <c r="R438" s="480"/>
      <c r="U438" s="513"/>
    </row>
    <row r="439" spans="1:21" s="479" customFormat="1" x14ac:dyDescent="0.15">
      <c r="A439" s="579"/>
      <c r="B439" s="534"/>
      <c r="C439" s="521"/>
      <c r="D439" s="522"/>
      <c r="E439" s="522"/>
      <c r="F439" s="522"/>
      <c r="G439" s="522"/>
      <c r="H439" s="522"/>
      <c r="I439" s="522"/>
      <c r="J439" s="522"/>
      <c r="K439" s="522"/>
      <c r="L439" s="522"/>
      <c r="M439" s="522"/>
      <c r="N439" s="522"/>
      <c r="O439" s="522"/>
      <c r="P439" s="511">
        <f t="shared" si="331"/>
        <v>0</v>
      </c>
      <c r="Q439" s="530">
        <v>0</v>
      </c>
      <c r="R439" s="480"/>
      <c r="U439" s="513"/>
    </row>
    <row r="440" spans="1:21" s="479" customFormat="1" x14ac:dyDescent="0.15">
      <c r="A440" s="591"/>
      <c r="B440" s="532"/>
      <c r="C440" s="521"/>
      <c r="D440" s="521"/>
      <c r="E440" s="521"/>
      <c r="F440" s="521"/>
      <c r="G440" s="521"/>
      <c r="H440" s="521"/>
      <c r="I440" s="521"/>
      <c r="J440" s="521"/>
      <c r="K440" s="521"/>
      <c r="L440" s="521"/>
      <c r="M440" s="521"/>
      <c r="N440" s="521"/>
      <c r="O440" s="521"/>
      <c r="P440" s="511">
        <f t="shared" si="331"/>
        <v>0</v>
      </c>
      <c r="Q440" s="530">
        <v>0</v>
      </c>
      <c r="R440" s="480"/>
      <c r="U440" s="513"/>
    </row>
    <row r="441" spans="1:21" s="479" customFormat="1" x14ac:dyDescent="0.15">
      <c r="A441" s="576">
        <v>28</v>
      </c>
      <c r="B441" s="533" t="s">
        <v>72</v>
      </c>
      <c r="C441" s="524">
        <f t="shared" ref="C441:O441" si="347">SUM(C442:C453)</f>
        <v>21590886.338028856</v>
      </c>
      <c r="D441" s="524">
        <f t="shared" si="347"/>
        <v>1687849.1420425351</v>
      </c>
      <c r="E441" s="524">
        <f t="shared" si="347"/>
        <v>2261067.8209924158</v>
      </c>
      <c r="F441" s="524">
        <f t="shared" si="347"/>
        <v>1513035.388457116</v>
      </c>
      <c r="G441" s="524">
        <f t="shared" si="347"/>
        <v>1912414.6069253418</v>
      </c>
      <c r="H441" s="524">
        <f t="shared" si="347"/>
        <v>2163824.356034012</v>
      </c>
      <c r="I441" s="524">
        <f t="shared" si="347"/>
        <v>2122074.0308986139</v>
      </c>
      <c r="J441" s="524">
        <f t="shared" si="347"/>
        <v>1841528.1757279725</v>
      </c>
      <c r="K441" s="524">
        <f t="shared" si="347"/>
        <v>1791962.307053013</v>
      </c>
      <c r="L441" s="524">
        <f t="shared" si="347"/>
        <v>1699757.1708742708</v>
      </c>
      <c r="M441" s="524">
        <f t="shared" si="347"/>
        <v>1276993.7276149674</v>
      </c>
      <c r="N441" s="524">
        <f t="shared" si="347"/>
        <v>1650449.0475421711</v>
      </c>
      <c r="O441" s="524">
        <f t="shared" si="347"/>
        <v>1669930.5638050742</v>
      </c>
      <c r="P441" s="511">
        <f t="shared" si="331"/>
        <v>6.1352504417300224E-5</v>
      </c>
      <c r="Q441" s="530">
        <v>1287997</v>
      </c>
      <c r="R441" s="480"/>
      <c r="T441" s="512"/>
      <c r="U441" s="513"/>
    </row>
    <row r="442" spans="1:21" s="479" customFormat="1" x14ac:dyDescent="0.15">
      <c r="A442" s="579"/>
      <c r="B442" s="528" t="s">
        <v>294</v>
      </c>
      <c r="C442" s="517">
        <f>'FG1'!I43</f>
        <v>14558719.013480889</v>
      </c>
      <c r="D442" s="517">
        <f t="shared" ref="D442:O442" si="348">$C442*D$19%</f>
        <v>1101144.3243974531</v>
      </c>
      <c r="E442" s="517">
        <f t="shared" si="348"/>
        <v>1577664.2092580679</v>
      </c>
      <c r="F442" s="517">
        <f t="shared" si="348"/>
        <v>1019795.4514778814</v>
      </c>
      <c r="G442" s="517">
        <f t="shared" si="348"/>
        <v>1252715.3865331789</v>
      </c>
      <c r="H442" s="517">
        <f t="shared" si="348"/>
        <v>1529839.208797296</v>
      </c>
      <c r="I442" s="517">
        <f t="shared" si="348"/>
        <v>1499782.3593659145</v>
      </c>
      <c r="J442" s="517">
        <f t="shared" si="348"/>
        <v>1162636.6755848881</v>
      </c>
      <c r="K442" s="517">
        <f t="shared" si="348"/>
        <v>1234411.7358420701</v>
      </c>
      <c r="L442" s="517">
        <f t="shared" si="348"/>
        <v>1160040.8571785996</v>
      </c>
      <c r="M442" s="517">
        <f t="shared" si="348"/>
        <v>769017.93736974942</v>
      </c>
      <c r="N442" s="517">
        <f t="shared" si="348"/>
        <v>1122342.482285145</v>
      </c>
      <c r="O442" s="517">
        <f t="shared" si="348"/>
        <v>1129328.3853760867</v>
      </c>
      <c r="P442" s="511">
        <f t="shared" si="331"/>
        <v>1.4557037502527237E-5</v>
      </c>
      <c r="Q442" s="530">
        <v>873490</v>
      </c>
      <c r="R442" s="480"/>
      <c r="U442" s="513"/>
    </row>
    <row r="443" spans="1:21" s="479" customFormat="1" x14ac:dyDescent="0.15">
      <c r="A443" s="579"/>
      <c r="B443" s="528" t="s">
        <v>296</v>
      </c>
      <c r="C443" s="517">
        <f>FFM!J43</f>
        <v>3913323.9160597892</v>
      </c>
      <c r="D443" s="517">
        <f t="shared" ref="D443:O443" si="349">$C443*D$20%</f>
        <v>295937.84213473828</v>
      </c>
      <c r="E443" s="517">
        <f t="shared" si="349"/>
        <v>424274.98086166027</v>
      </c>
      <c r="F443" s="517">
        <f t="shared" si="349"/>
        <v>274028.82786608802</v>
      </c>
      <c r="G443" s="517">
        <f t="shared" si="349"/>
        <v>336759.21714538452</v>
      </c>
      <c r="H443" s="517">
        <f t="shared" si="349"/>
        <v>411394.67219474743</v>
      </c>
      <c r="I443" s="517">
        <f t="shared" si="349"/>
        <v>403299.70964457764</v>
      </c>
      <c r="J443" s="517">
        <f t="shared" si="349"/>
        <v>312471.66792587994</v>
      </c>
      <c r="K443" s="517">
        <f t="shared" si="349"/>
        <v>331802.24826367217</v>
      </c>
      <c r="L443" s="517">
        <f t="shared" si="349"/>
        <v>311772.55606765422</v>
      </c>
      <c r="M443" s="517">
        <f t="shared" si="349"/>
        <v>206461.60382242754</v>
      </c>
      <c r="N443" s="517">
        <f t="shared" si="349"/>
        <v>301619.56710935774</v>
      </c>
      <c r="O443" s="517">
        <f t="shared" si="349"/>
        <v>303501.02297664172</v>
      </c>
      <c r="P443" s="511">
        <f t="shared" si="331"/>
        <v>4.6959496103227139E-5</v>
      </c>
      <c r="Q443" s="530">
        <v>267433</v>
      </c>
      <c r="R443" s="480"/>
      <c r="U443" s="513"/>
    </row>
    <row r="444" spans="1:21" s="479" customFormat="1" ht="18" x14ac:dyDescent="0.15">
      <c r="A444" s="579"/>
      <c r="B444" s="528" t="s">
        <v>297</v>
      </c>
      <c r="C444" s="517">
        <f>IEPS!I42</f>
        <v>352088.06954067061</v>
      </c>
      <c r="D444" s="517">
        <f t="shared" ref="D444:O444" si="350">$C444*D$21%</f>
        <v>24730.602954717735</v>
      </c>
      <c r="E444" s="517">
        <f t="shared" si="350"/>
        <v>56526.904324887961</v>
      </c>
      <c r="F444" s="517">
        <f t="shared" si="350"/>
        <v>23479.004474962589</v>
      </c>
      <c r="G444" s="517">
        <f t="shared" si="350"/>
        <v>22818.304544273571</v>
      </c>
      <c r="H444" s="517">
        <f t="shared" si="350"/>
        <v>25192.663511807896</v>
      </c>
      <c r="I444" s="517">
        <f t="shared" si="350"/>
        <v>26125.293971433122</v>
      </c>
      <c r="J444" s="517">
        <f t="shared" si="350"/>
        <v>26904.223296420791</v>
      </c>
      <c r="K444" s="517">
        <f t="shared" si="350"/>
        <v>29802.002900707299</v>
      </c>
      <c r="L444" s="517">
        <f t="shared" si="350"/>
        <v>29864.451649707604</v>
      </c>
      <c r="M444" s="517">
        <f t="shared" si="350"/>
        <v>29532.53055631302</v>
      </c>
      <c r="N444" s="517">
        <f t="shared" si="350"/>
        <v>28577.717985669995</v>
      </c>
      <c r="O444" s="517">
        <f t="shared" si="350"/>
        <v>28534.369369416923</v>
      </c>
      <c r="P444" s="511">
        <f t="shared" si="331"/>
        <v>3.5207995097152889E-7</v>
      </c>
      <c r="Q444" s="530">
        <v>22560</v>
      </c>
      <c r="R444" s="480"/>
      <c r="U444" s="513"/>
    </row>
    <row r="445" spans="1:21" s="479" customFormat="1" x14ac:dyDescent="0.15">
      <c r="A445" s="579"/>
      <c r="B445" s="528" t="s">
        <v>236</v>
      </c>
      <c r="C445" s="517">
        <f>ISR!C33</f>
        <v>993115.7</v>
      </c>
      <c r="D445" s="517">
        <f>ISR!D33</f>
        <v>82759.641666666634</v>
      </c>
      <c r="E445" s="517">
        <f>ISR!E33</f>
        <v>82759.641666666634</v>
      </c>
      <c r="F445" s="517">
        <f>ISR!F33</f>
        <v>82759.641666666634</v>
      </c>
      <c r="G445" s="517">
        <f>ISR!G33</f>
        <v>82759.641666666634</v>
      </c>
      <c r="H445" s="517">
        <f>ISR!H33</f>
        <v>82759.641666666634</v>
      </c>
      <c r="I445" s="517">
        <f>ISR!I33</f>
        <v>82759.641666666634</v>
      </c>
      <c r="J445" s="517">
        <f>ISR!J33</f>
        <v>82759.641666666634</v>
      </c>
      <c r="K445" s="517">
        <f>ISR!K33</f>
        <v>82759.641666666634</v>
      </c>
      <c r="L445" s="517">
        <f>ISR!L33</f>
        <v>82759.641666666634</v>
      </c>
      <c r="M445" s="517">
        <f>ISR!M33</f>
        <v>82759.641666666634</v>
      </c>
      <c r="N445" s="517">
        <f>ISR!N33</f>
        <v>82759.641666666634</v>
      </c>
      <c r="O445" s="517">
        <f>ISR!O33</f>
        <v>82759.641666666634</v>
      </c>
      <c r="P445" s="511">
        <f t="shared" si="331"/>
        <v>5.8207660913467407E-10</v>
      </c>
      <c r="Q445" s="530">
        <v>0</v>
      </c>
      <c r="R445" s="480"/>
      <c r="U445" s="513"/>
    </row>
    <row r="446" spans="1:21" s="479" customFormat="1" ht="18" x14ac:dyDescent="0.15">
      <c r="A446" s="579"/>
      <c r="B446" s="528" t="s">
        <v>298</v>
      </c>
      <c r="C446" s="517">
        <f>FOFIR!I42</f>
        <v>680936.59363019606</v>
      </c>
      <c r="D446" s="517">
        <f t="shared" ref="D446:O446" si="351">$C446*D$23%</f>
        <v>93094.583861475883</v>
      </c>
      <c r="E446" s="517">
        <f t="shared" si="351"/>
        <v>23685.199694949144</v>
      </c>
      <c r="F446" s="517">
        <f t="shared" si="351"/>
        <v>23685.199694949144</v>
      </c>
      <c r="G446" s="517">
        <f t="shared" si="351"/>
        <v>133663.50242804381</v>
      </c>
      <c r="H446" s="517">
        <f t="shared" si="351"/>
        <v>23685.199694949144</v>
      </c>
      <c r="I446" s="517">
        <f t="shared" si="351"/>
        <v>23685.199694949144</v>
      </c>
      <c r="J446" s="517">
        <f t="shared" si="351"/>
        <v>166255.85958469697</v>
      </c>
      <c r="K446" s="517">
        <f t="shared" si="351"/>
        <v>23685.199694949144</v>
      </c>
      <c r="L446" s="517">
        <f t="shared" si="351"/>
        <v>23685.199694949144</v>
      </c>
      <c r="M446" s="517">
        <f t="shared" si="351"/>
        <v>98441.050199110017</v>
      </c>
      <c r="N446" s="517">
        <f t="shared" si="351"/>
        <v>23685.199694949144</v>
      </c>
      <c r="O446" s="517">
        <f t="shared" si="351"/>
        <v>23685.199694949144</v>
      </c>
      <c r="P446" s="511">
        <f t="shared" si="331"/>
        <v>-2.723812940530479E-6</v>
      </c>
      <c r="Q446" s="530">
        <v>26570</v>
      </c>
      <c r="R446" s="480"/>
      <c r="U446" s="513"/>
    </row>
    <row r="447" spans="1:21" s="479" customFormat="1" ht="27" x14ac:dyDescent="0.15">
      <c r="A447" s="579"/>
      <c r="B447" s="528" t="s">
        <v>407</v>
      </c>
      <c r="C447" s="517">
        <f>FCISAN!I42</f>
        <v>43226.705314607767</v>
      </c>
      <c r="D447" s="517">
        <f t="shared" ref="D447:O447" si="352">$C447*D$24%</f>
        <v>3602.2254428695724</v>
      </c>
      <c r="E447" s="517">
        <f t="shared" si="352"/>
        <v>3602.2254428695724</v>
      </c>
      <c r="F447" s="517">
        <f t="shared" si="352"/>
        <v>3602.2254428695724</v>
      </c>
      <c r="G447" s="517">
        <f t="shared" si="352"/>
        <v>3602.2254428695724</v>
      </c>
      <c r="H447" s="517">
        <f t="shared" si="352"/>
        <v>3602.2254428695724</v>
      </c>
      <c r="I447" s="517">
        <f t="shared" si="352"/>
        <v>3602.2254428695724</v>
      </c>
      <c r="J447" s="517">
        <f t="shared" si="352"/>
        <v>3602.2254428695724</v>
      </c>
      <c r="K447" s="517">
        <f t="shared" si="352"/>
        <v>3602.2254428695724</v>
      </c>
      <c r="L447" s="517">
        <f t="shared" si="352"/>
        <v>3602.2254428695724</v>
      </c>
      <c r="M447" s="517">
        <f t="shared" si="352"/>
        <v>3602.2254428695724</v>
      </c>
      <c r="N447" s="517">
        <f t="shared" si="352"/>
        <v>3602.2254428695724</v>
      </c>
      <c r="O447" s="517">
        <f t="shared" si="352"/>
        <v>3602.2254428695724</v>
      </c>
      <c r="P447" s="511">
        <f t="shared" si="331"/>
        <v>1.7288584786001593E-7</v>
      </c>
      <c r="Q447" s="530">
        <v>3156</v>
      </c>
      <c r="R447" s="480"/>
      <c r="U447" s="513"/>
    </row>
    <row r="448" spans="1:21" s="479" customFormat="1" ht="27" x14ac:dyDescent="0.15">
      <c r="A448" s="579"/>
      <c r="B448" s="528" t="s">
        <v>242</v>
      </c>
      <c r="C448" s="517">
        <f>ISAN!I42</f>
        <v>215922.4624773071</v>
      </c>
      <c r="D448" s="517">
        <f t="shared" ref="D448:O448" si="353">$C448*D$25%</f>
        <v>20778.997509872712</v>
      </c>
      <c r="E448" s="517">
        <f t="shared" si="353"/>
        <v>23207.970363732526</v>
      </c>
      <c r="F448" s="517">
        <f t="shared" si="353"/>
        <v>18011.43408759173</v>
      </c>
      <c r="G448" s="517">
        <f t="shared" si="353"/>
        <v>16716.468725740291</v>
      </c>
      <c r="H448" s="517">
        <f t="shared" si="353"/>
        <v>17873.600868087746</v>
      </c>
      <c r="I448" s="517">
        <f t="shared" si="353"/>
        <v>15523.766204421443</v>
      </c>
      <c r="J448" s="517">
        <f t="shared" si="353"/>
        <v>16817.62052018433</v>
      </c>
      <c r="K448" s="517">
        <f t="shared" si="353"/>
        <v>17343.387459837071</v>
      </c>
      <c r="L448" s="517">
        <f t="shared" si="353"/>
        <v>17042.155082249992</v>
      </c>
      <c r="M448" s="517">
        <f t="shared" si="353"/>
        <v>17460.101209359877</v>
      </c>
      <c r="N448" s="517">
        <f t="shared" si="353"/>
        <v>16905.433365726494</v>
      </c>
      <c r="O448" s="517">
        <f t="shared" si="353"/>
        <v>18241.527077911818</v>
      </c>
      <c r="P448" s="511">
        <f t="shared" si="331"/>
        <v>2.5910667318385094E-6</v>
      </c>
      <c r="Q448" s="530">
        <v>13577</v>
      </c>
      <c r="R448" s="480"/>
      <c r="U448" s="513"/>
    </row>
    <row r="449" spans="1:21" s="479" customFormat="1" ht="18" x14ac:dyDescent="0.15">
      <c r="A449" s="579"/>
      <c r="B449" s="528" t="s">
        <v>403</v>
      </c>
      <c r="C449" s="517">
        <f>LOT!I42</f>
        <v>10452.157566487323</v>
      </c>
      <c r="D449" s="517">
        <f t="shared" ref="D449:O449" si="354">$C449*D$26%</f>
        <v>790.29169889562684</v>
      </c>
      <c r="E449" s="517">
        <f t="shared" si="354"/>
        <v>779.08984007140202</v>
      </c>
      <c r="F449" s="517">
        <f t="shared" si="354"/>
        <v>765.74968162204664</v>
      </c>
      <c r="G449" s="517">
        <f t="shared" si="354"/>
        <v>842.4956392512828</v>
      </c>
      <c r="H449" s="517">
        <f t="shared" si="354"/>
        <v>689.3147832540194</v>
      </c>
      <c r="I449" s="517">
        <f t="shared" si="354"/>
        <v>935.43530499206486</v>
      </c>
      <c r="J449" s="517">
        <f t="shared" si="354"/>
        <v>2146.8230191571115</v>
      </c>
      <c r="K449" s="517">
        <f t="shared" si="354"/>
        <v>781.52057265899305</v>
      </c>
      <c r="L449" s="517">
        <f t="shared" si="354"/>
        <v>948.27814114047226</v>
      </c>
      <c r="M449" s="517">
        <f t="shared" si="354"/>
        <v>587.11411949306421</v>
      </c>
      <c r="N449" s="517">
        <f t="shared" si="354"/>
        <v>593.02238291290712</v>
      </c>
      <c r="O449" s="517">
        <f t="shared" si="354"/>
        <v>593.02238291290712</v>
      </c>
      <c r="P449" s="511">
        <f t="shared" si="331"/>
        <v>1.2542545846372377E-7</v>
      </c>
      <c r="Q449" s="530">
        <v>663</v>
      </c>
      <c r="R449" s="480"/>
      <c r="U449" s="513"/>
    </row>
    <row r="450" spans="1:21" s="479" customFormat="1" ht="45" x14ac:dyDescent="0.15">
      <c r="A450" s="579"/>
      <c r="B450" s="518" t="s">
        <v>301</v>
      </c>
      <c r="C450" s="517">
        <f>'ENAJENAC DE INMUE'!I42</f>
        <v>41099.124211604045</v>
      </c>
      <c r="D450" s="517">
        <f t="shared" ref="D450:O450" si="355">$C450*D$27%</f>
        <v>1774.8951737413136</v>
      </c>
      <c r="E450" s="517">
        <f t="shared" si="355"/>
        <v>1801.0376013760701</v>
      </c>
      <c r="F450" s="517">
        <f t="shared" si="355"/>
        <v>1776.7572058131482</v>
      </c>
      <c r="G450" s="517">
        <f t="shared" si="355"/>
        <v>1766.34945701028</v>
      </c>
      <c r="H450" s="517">
        <f t="shared" si="355"/>
        <v>2450.2640268970945</v>
      </c>
      <c r="I450" s="517">
        <f t="shared" si="355"/>
        <v>1763.6451346371566</v>
      </c>
      <c r="J450" s="517">
        <f t="shared" si="355"/>
        <v>2026.9203221267323</v>
      </c>
      <c r="K450" s="517">
        <f t="shared" si="355"/>
        <v>2024.8339371692725</v>
      </c>
      <c r="L450" s="517">
        <f t="shared" si="355"/>
        <v>2022.2688682872722</v>
      </c>
      <c r="M450" s="517">
        <f t="shared" si="355"/>
        <v>1766.0603125883088</v>
      </c>
      <c r="N450" s="517">
        <f t="shared" si="355"/>
        <v>7342.6293110916631</v>
      </c>
      <c r="O450" s="517">
        <f t="shared" si="355"/>
        <v>14583.462860783535</v>
      </c>
      <c r="P450" s="511">
        <f t="shared" si="331"/>
        <v>8.22019501356408E-8</v>
      </c>
      <c r="Q450" s="530">
        <v>9678</v>
      </c>
      <c r="R450" s="480"/>
      <c r="U450" s="513"/>
    </row>
    <row r="451" spans="1:21" s="479" customFormat="1" ht="27" x14ac:dyDescent="0.15">
      <c r="A451" s="579"/>
      <c r="B451" s="518" t="s">
        <v>248</v>
      </c>
      <c r="C451" s="517">
        <f>'IMP BEBIDAS AL'!I42</f>
        <v>16063.709602280976</v>
      </c>
      <c r="D451" s="517">
        <f t="shared" ref="D451:O451" si="356">$C451*D$28%</f>
        <v>3652.7364910140882</v>
      </c>
      <c r="E451" s="517">
        <f t="shared" si="356"/>
        <v>1256.4087033631206</v>
      </c>
      <c r="F451" s="517">
        <f t="shared" si="356"/>
        <v>1350.2034687761359</v>
      </c>
      <c r="G451" s="517">
        <f t="shared" si="356"/>
        <v>1340.5108076081674</v>
      </c>
      <c r="H451" s="517">
        <f t="shared" si="356"/>
        <v>853.64374201934118</v>
      </c>
      <c r="I451" s="517">
        <f t="shared" si="356"/>
        <v>1396.9893570495169</v>
      </c>
      <c r="J451" s="517">
        <f t="shared" si="356"/>
        <v>1389.1259106181767</v>
      </c>
      <c r="K451" s="517">
        <f t="shared" si="356"/>
        <v>1270.4570019370906</v>
      </c>
      <c r="L451" s="517">
        <f t="shared" si="356"/>
        <v>921.37116780343581</v>
      </c>
      <c r="M451" s="517">
        <f t="shared" si="356"/>
        <v>856.49611675178687</v>
      </c>
      <c r="N451" s="517">
        <f t="shared" si="356"/>
        <v>862.55035272473776</v>
      </c>
      <c r="O451" s="517">
        <f t="shared" si="356"/>
        <v>913.21648261537939</v>
      </c>
      <c r="P451" s="511">
        <f t="shared" si="331"/>
        <v>0</v>
      </c>
      <c r="Q451" s="530">
        <v>414</v>
      </c>
      <c r="R451" s="480"/>
      <c r="U451" s="513"/>
    </row>
    <row r="452" spans="1:21" s="479" customFormat="1" ht="18" x14ac:dyDescent="0.15">
      <c r="A452" s="579"/>
      <c r="B452" s="518" t="s">
        <v>253</v>
      </c>
      <c r="C452" s="517">
        <f>'FOND GASO Y D'!Q43</f>
        <v>0</v>
      </c>
      <c r="D452" s="517">
        <f t="shared" ref="D452:O452" si="357">$C452*D$29%</f>
        <v>0</v>
      </c>
      <c r="E452" s="517">
        <f t="shared" si="357"/>
        <v>0</v>
      </c>
      <c r="F452" s="517">
        <f t="shared" si="357"/>
        <v>0</v>
      </c>
      <c r="G452" s="517">
        <f t="shared" si="357"/>
        <v>0</v>
      </c>
      <c r="H452" s="517">
        <f t="shared" si="357"/>
        <v>0</v>
      </c>
      <c r="I452" s="517">
        <f t="shared" si="357"/>
        <v>0</v>
      </c>
      <c r="J452" s="517">
        <f t="shared" si="357"/>
        <v>0</v>
      </c>
      <c r="K452" s="517">
        <f t="shared" si="357"/>
        <v>0</v>
      </c>
      <c r="L452" s="517">
        <f t="shared" si="357"/>
        <v>0</v>
      </c>
      <c r="M452" s="517">
        <f t="shared" si="357"/>
        <v>0</v>
      </c>
      <c r="N452" s="517">
        <f t="shared" si="357"/>
        <v>0</v>
      </c>
      <c r="O452" s="517">
        <f t="shared" si="357"/>
        <v>0</v>
      </c>
      <c r="P452" s="511">
        <f t="shared" si="331"/>
        <v>0</v>
      </c>
      <c r="Q452" s="530">
        <v>23647</v>
      </c>
      <c r="R452" s="480"/>
      <c r="U452" s="513"/>
    </row>
    <row r="453" spans="1:21" s="479" customFormat="1" ht="18" x14ac:dyDescent="0.15">
      <c r="A453" s="579"/>
      <c r="B453" s="528" t="s">
        <v>408</v>
      </c>
      <c r="C453" s="519">
        <f>'FOND GASO Y D'!H43</f>
        <v>765938.8861450227</v>
      </c>
      <c r="D453" s="517">
        <f t="shared" ref="D453:O453" si="358">$C453*D$30%</f>
        <v>59583.000711090113</v>
      </c>
      <c r="E453" s="517">
        <f t="shared" si="358"/>
        <v>65510.153234771307</v>
      </c>
      <c r="F453" s="517">
        <f t="shared" si="358"/>
        <v>63780.893389895507</v>
      </c>
      <c r="G453" s="517">
        <f t="shared" si="358"/>
        <v>59430.504535314591</v>
      </c>
      <c r="H453" s="517">
        <f t="shared" si="358"/>
        <v>65483.921305416945</v>
      </c>
      <c r="I453" s="517">
        <f t="shared" si="358"/>
        <v>63199.765111102744</v>
      </c>
      <c r="J453" s="517">
        <f t="shared" si="358"/>
        <v>64517.392454464178</v>
      </c>
      <c r="K453" s="517">
        <f t="shared" si="358"/>
        <v>64479.054270475419</v>
      </c>
      <c r="L453" s="517">
        <f t="shared" si="358"/>
        <v>67098.165914343059</v>
      </c>
      <c r="M453" s="517">
        <f t="shared" si="358"/>
        <v>66508.966799638001</v>
      </c>
      <c r="N453" s="517">
        <f t="shared" si="358"/>
        <v>62158.577945057099</v>
      </c>
      <c r="O453" s="517">
        <f t="shared" si="358"/>
        <v>64188.490474219667</v>
      </c>
      <c r="P453" s="511">
        <f t="shared" si="331"/>
        <v>-7.6601281762123108E-7</v>
      </c>
      <c r="Q453" s="530">
        <v>46809</v>
      </c>
      <c r="R453" s="480"/>
      <c r="U453" s="513"/>
    </row>
    <row r="454" spans="1:21" s="479" customFormat="1" x14ac:dyDescent="0.15">
      <c r="A454" s="579"/>
      <c r="B454" s="534"/>
      <c r="C454" s="521"/>
      <c r="D454" s="522"/>
      <c r="E454" s="522"/>
      <c r="F454" s="522"/>
      <c r="G454" s="522"/>
      <c r="H454" s="522"/>
      <c r="I454" s="522"/>
      <c r="J454" s="522"/>
      <c r="K454" s="522"/>
      <c r="L454" s="522"/>
      <c r="M454" s="522"/>
      <c r="N454" s="522"/>
      <c r="O454" s="522"/>
      <c r="P454" s="511">
        <f t="shared" si="331"/>
        <v>0</v>
      </c>
      <c r="Q454" s="530">
        <v>0</v>
      </c>
      <c r="R454" s="480"/>
      <c r="U454" s="513"/>
    </row>
    <row r="455" spans="1:21" s="479" customFormat="1" x14ac:dyDescent="0.15">
      <c r="A455" s="591"/>
      <c r="B455" s="532"/>
      <c r="C455" s="521"/>
      <c r="D455" s="521"/>
      <c r="E455" s="521"/>
      <c r="F455" s="521"/>
      <c r="G455" s="521"/>
      <c r="H455" s="521"/>
      <c r="I455" s="521"/>
      <c r="J455" s="521"/>
      <c r="K455" s="521"/>
      <c r="L455" s="521"/>
      <c r="M455" s="521"/>
      <c r="N455" s="521"/>
      <c r="O455" s="521"/>
      <c r="P455" s="511">
        <f t="shared" si="331"/>
        <v>0</v>
      </c>
      <c r="Q455" s="530">
        <v>0</v>
      </c>
      <c r="R455" s="480"/>
      <c r="U455" s="513"/>
    </row>
    <row r="456" spans="1:21" s="479" customFormat="1" x14ac:dyDescent="0.15">
      <c r="A456" s="576">
        <v>29</v>
      </c>
      <c r="B456" s="533" t="s">
        <v>61</v>
      </c>
      <c r="C456" s="524">
        <f t="shared" ref="C456:O456" si="359">SUM(C457:C468)</f>
        <v>47723158.550885811</v>
      </c>
      <c r="D456" s="524">
        <f t="shared" si="359"/>
        <v>3718648.4153905534</v>
      </c>
      <c r="E456" s="524">
        <f t="shared" si="359"/>
        <v>5060408.9384149639</v>
      </c>
      <c r="F456" s="524">
        <f t="shared" si="359"/>
        <v>3305608.2529633637</v>
      </c>
      <c r="G456" s="524">
        <f t="shared" si="359"/>
        <v>4245575.2806609059</v>
      </c>
      <c r="H456" s="524">
        <f t="shared" si="359"/>
        <v>4832956.110125063</v>
      </c>
      <c r="I456" s="524">
        <f t="shared" si="359"/>
        <v>4737275.4177529942</v>
      </c>
      <c r="J456" s="524">
        <f t="shared" si="359"/>
        <v>4072632.0409595179</v>
      </c>
      <c r="K456" s="524">
        <f t="shared" si="359"/>
        <v>3960114.6572534149</v>
      </c>
      <c r="L456" s="524">
        <f t="shared" si="359"/>
        <v>3740736.1045858543</v>
      </c>
      <c r="M456" s="524">
        <f t="shared" si="359"/>
        <v>2745914.1395252878</v>
      </c>
      <c r="N456" s="524">
        <f t="shared" si="359"/>
        <v>3629935.3135491256</v>
      </c>
      <c r="O456" s="524">
        <f t="shared" si="359"/>
        <v>3673353.879555373</v>
      </c>
      <c r="P456" s="511">
        <f t="shared" si="331"/>
        <v>1.4939578250050545E-4</v>
      </c>
      <c r="Q456" s="530">
        <v>2949866</v>
      </c>
      <c r="R456" s="480"/>
      <c r="T456" s="512"/>
      <c r="U456" s="513"/>
    </row>
    <row r="457" spans="1:21" s="479" customFormat="1" x14ac:dyDescent="0.15">
      <c r="A457" s="579"/>
      <c r="B457" s="528" t="s">
        <v>294</v>
      </c>
      <c r="C457" s="517">
        <f>'FG1'!I44</f>
        <v>33804298.990614332</v>
      </c>
      <c r="D457" s="517">
        <f t="shared" ref="D457:O457" si="360">$C457*D$19%</f>
        <v>2556777.9650999433</v>
      </c>
      <c r="E457" s="517">
        <f t="shared" si="360"/>
        <v>3663222.8829450835</v>
      </c>
      <c r="F457" s="517">
        <f t="shared" si="360"/>
        <v>2367891.7299733269</v>
      </c>
      <c r="G457" s="517">
        <f t="shared" si="360"/>
        <v>2908715.0756394514</v>
      </c>
      <c r="H457" s="517">
        <f t="shared" si="360"/>
        <v>3552176.6697923192</v>
      </c>
      <c r="I457" s="517">
        <f t="shared" si="360"/>
        <v>3482386.8260599505</v>
      </c>
      <c r="J457" s="517">
        <f t="shared" si="360"/>
        <v>2699558.7841576571</v>
      </c>
      <c r="K457" s="517">
        <f t="shared" si="360"/>
        <v>2866215.3144991291</v>
      </c>
      <c r="L457" s="517">
        <f t="shared" si="360"/>
        <v>2693531.4804195836</v>
      </c>
      <c r="M457" s="517">
        <f t="shared" si="360"/>
        <v>1785604.3694449356</v>
      </c>
      <c r="N457" s="517">
        <f t="shared" si="360"/>
        <v>2605998.5638780538</v>
      </c>
      <c r="O457" s="517">
        <f t="shared" si="360"/>
        <v>2622219.328671095</v>
      </c>
      <c r="P457" s="511">
        <f t="shared" si="331"/>
        <v>3.3801421523094177E-5</v>
      </c>
      <c r="Q457" s="530">
        <v>2050271</v>
      </c>
      <c r="R457" s="480"/>
      <c r="U457" s="513"/>
    </row>
    <row r="458" spans="1:21" s="479" customFormat="1" x14ac:dyDescent="0.15">
      <c r="A458" s="579"/>
      <c r="B458" s="528" t="s">
        <v>296</v>
      </c>
      <c r="C458" s="517">
        <f>FFM!J44</f>
        <v>9599049.518119663</v>
      </c>
      <c r="D458" s="517">
        <f t="shared" ref="D458:O458" si="361">$C458*D$20%</f>
        <v>725910.26499975286</v>
      </c>
      <c r="E458" s="517">
        <f t="shared" si="361"/>
        <v>1040710.3112207913</v>
      </c>
      <c r="F458" s="517">
        <f t="shared" si="361"/>
        <v>672169.32318941725</v>
      </c>
      <c r="G458" s="517">
        <f t="shared" si="361"/>
        <v>826041.6133189752</v>
      </c>
      <c r="H458" s="517">
        <f t="shared" si="361"/>
        <v>1009116.013545875</v>
      </c>
      <c r="I458" s="517">
        <f t="shared" si="361"/>
        <v>989259.76141005848</v>
      </c>
      <c r="J458" s="517">
        <f t="shared" si="361"/>
        <v>766466.3283099765</v>
      </c>
      <c r="K458" s="517">
        <f t="shared" si="361"/>
        <v>813882.59178741637</v>
      </c>
      <c r="L458" s="517">
        <f t="shared" si="361"/>
        <v>764751.46659912413</v>
      </c>
      <c r="M458" s="517">
        <f t="shared" si="361"/>
        <v>506432.69026330364</v>
      </c>
      <c r="N458" s="517">
        <f t="shared" si="361"/>
        <v>739847.05136080203</v>
      </c>
      <c r="O458" s="517">
        <f t="shared" si="361"/>
        <v>744462.10199898179</v>
      </c>
      <c r="P458" s="511">
        <f t="shared" si="331"/>
        <v>1.1518853716552258E-4</v>
      </c>
      <c r="Q458" s="530">
        <v>627726</v>
      </c>
      <c r="R458" s="480"/>
      <c r="U458" s="513"/>
    </row>
    <row r="459" spans="1:21" s="479" customFormat="1" ht="18" x14ac:dyDescent="0.15">
      <c r="A459" s="579"/>
      <c r="B459" s="528" t="s">
        <v>297</v>
      </c>
      <c r="C459" s="517">
        <f>IEPS!I43</f>
        <v>817523.18749747856</v>
      </c>
      <c r="D459" s="517">
        <f t="shared" ref="D459:O459" si="362">$C459*D$21%</f>
        <v>57422.682292675614</v>
      </c>
      <c r="E459" s="517">
        <f t="shared" si="362"/>
        <v>131251.4083857912</v>
      </c>
      <c r="F459" s="517">
        <f t="shared" si="362"/>
        <v>54516.560594285504</v>
      </c>
      <c r="G459" s="517">
        <f t="shared" si="362"/>
        <v>52982.462849874843</v>
      </c>
      <c r="H459" s="517">
        <f t="shared" si="362"/>
        <v>58495.553690851666</v>
      </c>
      <c r="I459" s="517">
        <f t="shared" si="362"/>
        <v>60661.054575629532</v>
      </c>
      <c r="J459" s="517">
        <f t="shared" si="362"/>
        <v>62469.672474639658</v>
      </c>
      <c r="K459" s="517">
        <f t="shared" si="362"/>
        <v>69198.108407876643</v>
      </c>
      <c r="L459" s="517">
        <f t="shared" si="362"/>
        <v>69343.109913904831</v>
      </c>
      <c r="M459" s="517">
        <f t="shared" si="362"/>
        <v>68572.412995308332</v>
      </c>
      <c r="N459" s="517">
        <f t="shared" si="362"/>
        <v>66355.406843316072</v>
      </c>
      <c r="O459" s="517">
        <f t="shared" si="362"/>
        <v>66254.754472507106</v>
      </c>
      <c r="P459" s="511">
        <f t="shared" si="331"/>
        <v>8.1755570136010647E-7</v>
      </c>
      <c r="Q459" s="530">
        <v>52952</v>
      </c>
      <c r="R459" s="480"/>
      <c r="U459" s="513"/>
    </row>
    <row r="460" spans="1:21" s="479" customFormat="1" x14ac:dyDescent="0.15">
      <c r="A460" s="579"/>
      <c r="B460" s="528" t="s">
        <v>236</v>
      </c>
      <c r="C460" s="517">
        <f>ISR!C34</f>
        <v>162280.62</v>
      </c>
      <c r="D460" s="517">
        <f>ISR!D34</f>
        <v>13523.384999999995</v>
      </c>
      <c r="E460" s="517">
        <f>ISR!E34</f>
        <v>13523.384999999995</v>
      </c>
      <c r="F460" s="517">
        <f>ISR!F34</f>
        <v>13523.384999999995</v>
      </c>
      <c r="G460" s="517">
        <f>ISR!G34</f>
        <v>13523.384999999995</v>
      </c>
      <c r="H460" s="517">
        <f>ISR!H34</f>
        <v>13523.384999999995</v>
      </c>
      <c r="I460" s="517">
        <f>ISR!I34</f>
        <v>13523.384999999995</v>
      </c>
      <c r="J460" s="517">
        <f>ISR!J34</f>
        <v>13523.384999999995</v>
      </c>
      <c r="K460" s="517">
        <f>ISR!K34</f>
        <v>13523.384999999995</v>
      </c>
      <c r="L460" s="517">
        <f>ISR!L34</f>
        <v>13523.384999999995</v>
      </c>
      <c r="M460" s="517">
        <f>ISR!M34</f>
        <v>13523.384999999995</v>
      </c>
      <c r="N460" s="517">
        <f>ISR!N34</f>
        <v>13523.384999999995</v>
      </c>
      <c r="O460" s="517">
        <f>ISR!O34</f>
        <v>13523.384999999995</v>
      </c>
      <c r="P460" s="511">
        <f t="shared" si="331"/>
        <v>2.9103830456733704E-11</v>
      </c>
      <c r="Q460" s="530">
        <v>0</v>
      </c>
      <c r="R460" s="480"/>
      <c r="U460" s="513"/>
    </row>
    <row r="461" spans="1:21" s="479" customFormat="1" ht="18" x14ac:dyDescent="0.15">
      <c r="A461" s="579"/>
      <c r="B461" s="528" t="s">
        <v>298</v>
      </c>
      <c r="C461" s="517">
        <f>FOFIR!I43</f>
        <v>1581085.8210403789</v>
      </c>
      <c r="D461" s="517">
        <f t="shared" ref="D461:O461" si="363">$C461*D$23%</f>
        <v>216158.93158911419</v>
      </c>
      <c r="E461" s="517">
        <f t="shared" si="363"/>
        <v>54995.331072677654</v>
      </c>
      <c r="F461" s="517">
        <f t="shared" si="363"/>
        <v>54995.331072677654</v>
      </c>
      <c r="G461" s="517">
        <f t="shared" si="363"/>
        <v>310357.04418956162</v>
      </c>
      <c r="H461" s="517">
        <f t="shared" si="363"/>
        <v>54995.331072677654</v>
      </c>
      <c r="I461" s="517">
        <f t="shared" si="363"/>
        <v>54995.331072677654</v>
      </c>
      <c r="J461" s="517">
        <f t="shared" si="363"/>
        <v>386034.15459413757</v>
      </c>
      <c r="K461" s="517">
        <f t="shared" si="363"/>
        <v>54995.331072677654</v>
      </c>
      <c r="L461" s="517">
        <f t="shared" si="363"/>
        <v>54995.331072677654</v>
      </c>
      <c r="M461" s="517">
        <f t="shared" si="363"/>
        <v>228573.04209246865</v>
      </c>
      <c r="N461" s="517">
        <f t="shared" si="363"/>
        <v>54995.331072677654</v>
      </c>
      <c r="O461" s="517">
        <f t="shared" si="363"/>
        <v>54995.331072677654</v>
      </c>
      <c r="P461" s="511">
        <f t="shared" si="331"/>
        <v>-6.3242623582482338E-6</v>
      </c>
      <c r="Q461" s="530">
        <v>62368</v>
      </c>
      <c r="R461" s="480"/>
      <c r="U461" s="513"/>
    </row>
    <row r="462" spans="1:21" s="479" customFormat="1" ht="27" x14ac:dyDescent="0.15">
      <c r="A462" s="579"/>
      <c r="B462" s="528" t="s">
        <v>407</v>
      </c>
      <c r="C462" s="517">
        <f>FCISAN!I43</f>
        <v>100369.30237345136</v>
      </c>
      <c r="D462" s="517">
        <f t="shared" ref="D462:O462" si="364">$C462*D$24%</f>
        <v>8364.1085310874914</v>
      </c>
      <c r="E462" s="517">
        <f t="shared" si="364"/>
        <v>8364.1085310874914</v>
      </c>
      <c r="F462" s="517">
        <f t="shared" si="364"/>
        <v>8364.1085310874914</v>
      </c>
      <c r="G462" s="517">
        <f t="shared" si="364"/>
        <v>8364.1085310874914</v>
      </c>
      <c r="H462" s="517">
        <f t="shared" si="364"/>
        <v>8364.1085310874914</v>
      </c>
      <c r="I462" s="517">
        <f t="shared" si="364"/>
        <v>8364.1085310874914</v>
      </c>
      <c r="J462" s="517">
        <f t="shared" si="364"/>
        <v>8364.1085310874914</v>
      </c>
      <c r="K462" s="517">
        <f t="shared" si="364"/>
        <v>8364.1085310874914</v>
      </c>
      <c r="L462" s="517">
        <f t="shared" si="364"/>
        <v>8364.1085310874914</v>
      </c>
      <c r="M462" s="517">
        <f t="shared" si="364"/>
        <v>8364.1085310874914</v>
      </c>
      <c r="N462" s="517">
        <f t="shared" si="364"/>
        <v>8364.1085310874914</v>
      </c>
      <c r="O462" s="517">
        <f t="shared" si="364"/>
        <v>8364.1085310874914</v>
      </c>
      <c r="P462" s="511">
        <f t="shared" si="331"/>
        <v>4.0145823732018471E-7</v>
      </c>
      <c r="Q462" s="530">
        <v>7424</v>
      </c>
      <c r="R462" s="480"/>
      <c r="U462" s="513"/>
    </row>
    <row r="463" spans="1:21" s="479" customFormat="1" ht="27" x14ac:dyDescent="0.15">
      <c r="A463" s="579"/>
      <c r="B463" s="528" t="s">
        <v>242</v>
      </c>
      <c r="C463" s="517">
        <f>ISAN!I43</f>
        <v>501356.43620938517</v>
      </c>
      <c r="D463" s="517">
        <f t="shared" ref="D463:O463" si="365">$C463*D$25%</f>
        <v>48247.338512306669</v>
      </c>
      <c r="E463" s="517">
        <f t="shared" si="365"/>
        <v>53887.23887139267</v>
      </c>
      <c r="F463" s="517">
        <f t="shared" si="365"/>
        <v>41821.255193050027</v>
      </c>
      <c r="G463" s="517">
        <f t="shared" si="365"/>
        <v>38814.438711876057</v>
      </c>
      <c r="H463" s="517">
        <f t="shared" si="365"/>
        <v>41501.216365551722</v>
      </c>
      <c r="I463" s="517">
        <f t="shared" si="365"/>
        <v>36045.069195218151</v>
      </c>
      <c r="J463" s="517">
        <f t="shared" si="365"/>
        <v>39049.305907242437</v>
      </c>
      <c r="K463" s="517">
        <f t="shared" si="365"/>
        <v>40270.098946172868</v>
      </c>
      <c r="L463" s="517">
        <f t="shared" si="365"/>
        <v>39570.659019612147</v>
      </c>
      <c r="M463" s="517">
        <f t="shared" si="365"/>
        <v>40541.099882555478</v>
      </c>
      <c r="N463" s="517">
        <f t="shared" si="365"/>
        <v>39253.201022133748</v>
      </c>
      <c r="O463" s="517">
        <f t="shared" si="365"/>
        <v>42355.514576256923</v>
      </c>
      <c r="P463" s="511">
        <f t="shared" si="331"/>
        <v>6.0162856243550777E-6</v>
      </c>
      <c r="Q463" s="530">
        <v>31872</v>
      </c>
      <c r="R463" s="480"/>
      <c r="U463" s="513"/>
    </row>
    <row r="464" spans="1:21" s="479" customFormat="1" ht="18" x14ac:dyDescent="0.15">
      <c r="A464" s="579"/>
      <c r="B464" s="528" t="s">
        <v>403</v>
      </c>
      <c r="C464" s="517">
        <f>LOT!I43</f>
        <v>24269.158512323756</v>
      </c>
      <c r="D464" s="517">
        <f t="shared" ref="D464:O464" si="366">$C464*D$26%</f>
        <v>1835.0005144361185</v>
      </c>
      <c r="E464" s="517">
        <f t="shared" si="366"/>
        <v>1808.9906034958692</v>
      </c>
      <c r="F464" s="517">
        <f t="shared" si="366"/>
        <v>1778.0157145384956</v>
      </c>
      <c r="G464" s="517">
        <f t="shared" si="366"/>
        <v>1956.2143112431534</v>
      </c>
      <c r="H464" s="517">
        <f t="shared" si="366"/>
        <v>1600.5393750777589</v>
      </c>
      <c r="I464" s="517">
        <f t="shared" si="366"/>
        <v>2172.0135340923607</v>
      </c>
      <c r="J464" s="517">
        <f t="shared" si="366"/>
        <v>4984.7687253474196</v>
      </c>
      <c r="K464" s="517">
        <f t="shared" si="366"/>
        <v>1814.6345898301802</v>
      </c>
      <c r="L464" s="517">
        <f t="shared" si="366"/>
        <v>2201.8336764171236</v>
      </c>
      <c r="M464" s="517">
        <f t="shared" si="366"/>
        <v>1363.2367805558424</v>
      </c>
      <c r="N464" s="517">
        <f t="shared" si="366"/>
        <v>1376.9553434991028</v>
      </c>
      <c r="O464" s="517">
        <f t="shared" si="366"/>
        <v>1376.9553434991028</v>
      </c>
      <c r="P464" s="511">
        <f t="shared" si="331"/>
        <v>2.9122975320206024E-7</v>
      </c>
      <c r="Q464" s="530">
        <v>1557</v>
      </c>
      <c r="R464" s="480"/>
      <c r="U464" s="513"/>
    </row>
    <row r="465" spans="1:21" s="479" customFormat="1" ht="45" x14ac:dyDescent="0.15">
      <c r="A465" s="579"/>
      <c r="B465" s="518" t="s">
        <v>301</v>
      </c>
      <c r="C465" s="517">
        <f>'ENAJENAC DE INMUE'!I43</f>
        <v>95429.21199420013</v>
      </c>
      <c r="D465" s="517">
        <f t="shared" ref="D465:O465" si="367">$C465*D$27%</f>
        <v>4121.1790044572317</v>
      </c>
      <c r="E465" s="517">
        <f t="shared" si="367"/>
        <v>4181.8798421674392</v>
      </c>
      <c r="F465" s="517">
        <f t="shared" si="367"/>
        <v>4125.5025090751951</v>
      </c>
      <c r="G465" s="517">
        <f t="shared" si="367"/>
        <v>4101.3364645196552</v>
      </c>
      <c r="H465" s="517">
        <f t="shared" si="367"/>
        <v>5689.3369323550205</v>
      </c>
      <c r="I465" s="517">
        <f t="shared" si="367"/>
        <v>4095.0572223704371</v>
      </c>
      <c r="J465" s="517">
        <f t="shared" si="367"/>
        <v>4706.3632820908506</v>
      </c>
      <c r="K465" s="517">
        <f t="shared" si="367"/>
        <v>4701.5188462001524</v>
      </c>
      <c r="L465" s="517">
        <f t="shared" si="367"/>
        <v>4695.5629406470362</v>
      </c>
      <c r="M465" s="517">
        <f t="shared" si="367"/>
        <v>4100.6650919570875</v>
      </c>
      <c r="N465" s="517">
        <f t="shared" si="367"/>
        <v>17049.057432838337</v>
      </c>
      <c r="O465" s="517">
        <f t="shared" si="367"/>
        <v>33861.752425330829</v>
      </c>
      <c r="P465" s="511">
        <f t="shared" si="331"/>
        <v>1.9084836822003126E-7</v>
      </c>
      <c r="Q465" s="530">
        <v>22716</v>
      </c>
      <c r="R465" s="480"/>
      <c r="U465" s="513"/>
    </row>
    <row r="466" spans="1:21" s="479" customFormat="1" ht="27" x14ac:dyDescent="0.15">
      <c r="A466" s="579"/>
      <c r="B466" s="518" t="s">
        <v>248</v>
      </c>
      <c r="C466" s="517">
        <f>'IMP BEBIDAS AL'!I43</f>
        <v>37298.778951025015</v>
      </c>
      <c r="D466" s="517">
        <f t="shared" ref="D466:O466" si="368">$C466*D$28%</f>
        <v>8481.3915538744168</v>
      </c>
      <c r="E466" s="517">
        <f t="shared" si="368"/>
        <v>2917.2906918231838</v>
      </c>
      <c r="F466" s="517">
        <f t="shared" si="368"/>
        <v>3135.0753946421733</v>
      </c>
      <c r="G466" s="517">
        <f t="shared" si="368"/>
        <v>3112.5697321705416</v>
      </c>
      <c r="H466" s="517">
        <f t="shared" si="368"/>
        <v>1982.0994044852571</v>
      </c>
      <c r="I466" s="517">
        <f t="shared" si="368"/>
        <v>3243.7088639927642</v>
      </c>
      <c r="J466" s="517">
        <f t="shared" si="368"/>
        <v>3225.4505066458328</v>
      </c>
      <c r="K466" s="517">
        <f t="shared" si="368"/>
        <v>2949.9098312450087</v>
      </c>
      <c r="L466" s="517">
        <f t="shared" si="368"/>
        <v>2139.3576185458624</v>
      </c>
      <c r="M466" s="517">
        <f t="shared" si="368"/>
        <v>1988.7224135700251</v>
      </c>
      <c r="N466" s="517">
        <f t="shared" si="368"/>
        <v>2002.7799142883134</v>
      </c>
      <c r="O466" s="517">
        <f t="shared" si="368"/>
        <v>2120.423025741637</v>
      </c>
      <c r="P466" s="511">
        <f t="shared" si="331"/>
        <v>0</v>
      </c>
      <c r="Q466" s="530">
        <v>973</v>
      </c>
      <c r="R466" s="480"/>
      <c r="U466" s="513"/>
    </row>
    <row r="467" spans="1:21" s="479" customFormat="1" ht="18" x14ac:dyDescent="0.15">
      <c r="A467" s="579"/>
      <c r="B467" s="518" t="s">
        <v>253</v>
      </c>
      <c r="C467" s="517">
        <f>'FOND GASO Y D'!Q44</f>
        <v>0</v>
      </c>
      <c r="D467" s="517">
        <f t="shared" ref="D467:O467" si="369">$C467*D$29%</f>
        <v>0</v>
      </c>
      <c r="E467" s="517">
        <f t="shared" si="369"/>
        <v>0</v>
      </c>
      <c r="F467" s="517">
        <f t="shared" si="369"/>
        <v>0</v>
      </c>
      <c r="G467" s="517">
        <f t="shared" si="369"/>
        <v>0</v>
      </c>
      <c r="H467" s="517">
        <f t="shared" si="369"/>
        <v>0</v>
      </c>
      <c r="I467" s="517">
        <f t="shared" si="369"/>
        <v>0</v>
      </c>
      <c r="J467" s="517">
        <f t="shared" si="369"/>
        <v>0</v>
      </c>
      <c r="K467" s="517">
        <f t="shared" si="369"/>
        <v>0</v>
      </c>
      <c r="L467" s="517">
        <f t="shared" si="369"/>
        <v>0</v>
      </c>
      <c r="M467" s="517">
        <f t="shared" si="369"/>
        <v>0</v>
      </c>
      <c r="N467" s="517">
        <f t="shared" si="369"/>
        <v>0</v>
      </c>
      <c r="O467" s="517">
        <f t="shared" si="369"/>
        <v>0</v>
      </c>
      <c r="P467" s="511">
        <f t="shared" si="331"/>
        <v>0</v>
      </c>
      <c r="Q467" s="530">
        <v>30881</v>
      </c>
      <c r="R467" s="480"/>
      <c r="U467" s="513"/>
    </row>
    <row r="468" spans="1:21" s="479" customFormat="1" ht="18" x14ac:dyDescent="0.15">
      <c r="A468" s="579"/>
      <c r="B468" s="528" t="s">
        <v>408</v>
      </c>
      <c r="C468" s="519">
        <f>'FOND GASO Y D'!H44</f>
        <v>1000197.525573566</v>
      </c>
      <c r="D468" s="517">
        <f t="shared" ref="D468:O468" si="370">$C468*D$30%</f>
        <v>77806.16829290567</v>
      </c>
      <c r="E468" s="517">
        <f t="shared" si="370"/>
        <v>85546.111250653063</v>
      </c>
      <c r="F468" s="517">
        <f t="shared" si="370"/>
        <v>83287.96579126321</v>
      </c>
      <c r="G468" s="517">
        <f t="shared" si="370"/>
        <v>77607.031912145874</v>
      </c>
      <c r="H468" s="517">
        <f t="shared" si="370"/>
        <v>85511.856414783178</v>
      </c>
      <c r="I468" s="517">
        <f t="shared" si="370"/>
        <v>82529.102287916685</v>
      </c>
      <c r="J468" s="517">
        <f t="shared" si="370"/>
        <v>84249.719470693657</v>
      </c>
      <c r="K468" s="517">
        <f t="shared" si="370"/>
        <v>84199.655741779803</v>
      </c>
      <c r="L468" s="517">
        <f t="shared" si="370"/>
        <v>87619.80979425511</v>
      </c>
      <c r="M468" s="517">
        <f t="shared" si="370"/>
        <v>86850.407029546084</v>
      </c>
      <c r="N468" s="517">
        <f t="shared" si="370"/>
        <v>81169.473150428777</v>
      </c>
      <c r="O468" s="517">
        <f t="shared" si="370"/>
        <v>83820.224438195044</v>
      </c>
      <c r="P468" s="511">
        <f t="shared" si="331"/>
        <v>-1.0001531336456537E-6</v>
      </c>
      <c r="Q468" s="530">
        <v>61126</v>
      </c>
      <c r="R468" s="480"/>
      <c r="U468" s="513"/>
    </row>
    <row r="469" spans="1:21" s="479" customFormat="1" x14ac:dyDescent="0.15">
      <c r="A469" s="579"/>
      <c r="B469" s="534"/>
      <c r="C469" s="521"/>
      <c r="D469" s="522"/>
      <c r="E469" s="522"/>
      <c r="F469" s="522"/>
      <c r="G469" s="522"/>
      <c r="H469" s="522"/>
      <c r="I469" s="522"/>
      <c r="J469" s="522"/>
      <c r="K469" s="522"/>
      <c r="L469" s="522"/>
      <c r="M469" s="522"/>
      <c r="N469" s="522"/>
      <c r="O469" s="522"/>
      <c r="P469" s="511">
        <f t="shared" si="331"/>
        <v>0</v>
      </c>
      <c r="Q469" s="530">
        <v>0</v>
      </c>
      <c r="R469" s="480"/>
      <c r="U469" s="513"/>
    </row>
    <row r="470" spans="1:21" s="479" customFormat="1" x14ac:dyDescent="0.15">
      <c r="A470" s="591"/>
      <c r="B470" s="532"/>
      <c r="C470" s="521"/>
      <c r="D470" s="521"/>
      <c r="E470" s="521"/>
      <c r="F470" s="521"/>
      <c r="G470" s="521"/>
      <c r="H470" s="521"/>
      <c r="I470" s="521"/>
      <c r="J470" s="521"/>
      <c r="K470" s="521"/>
      <c r="L470" s="521"/>
      <c r="M470" s="521"/>
      <c r="N470" s="521"/>
      <c r="O470" s="521"/>
      <c r="P470" s="511">
        <f t="shared" si="331"/>
        <v>0</v>
      </c>
      <c r="Q470" s="530">
        <v>0</v>
      </c>
      <c r="R470" s="480"/>
      <c r="U470" s="513"/>
    </row>
    <row r="471" spans="1:21" s="479" customFormat="1" x14ac:dyDescent="0.15">
      <c r="A471" s="576">
        <v>30</v>
      </c>
      <c r="B471" s="533" t="s">
        <v>104</v>
      </c>
      <c r="C471" s="524">
        <f t="shared" ref="C471:O471" si="371">SUM(C472:C483)</f>
        <v>33768421.68404419</v>
      </c>
      <c r="D471" s="524">
        <f t="shared" si="371"/>
        <v>2625841.6576658608</v>
      </c>
      <c r="E471" s="524">
        <f t="shared" si="371"/>
        <v>3542051.1690449654</v>
      </c>
      <c r="F471" s="524">
        <f t="shared" si="371"/>
        <v>2362623.4918222497</v>
      </c>
      <c r="G471" s="524">
        <f t="shared" si="371"/>
        <v>2994254.1283608577</v>
      </c>
      <c r="H471" s="524">
        <f t="shared" si="371"/>
        <v>3393550.5533344117</v>
      </c>
      <c r="I471" s="524">
        <f t="shared" si="371"/>
        <v>3328593.7323485888</v>
      </c>
      <c r="J471" s="524">
        <f t="shared" si="371"/>
        <v>2891247.6287547927</v>
      </c>
      <c r="K471" s="524">
        <f t="shared" si="371"/>
        <v>2802658.0769821466</v>
      </c>
      <c r="L471" s="524">
        <f t="shared" si="371"/>
        <v>2653186.329351299</v>
      </c>
      <c r="M471" s="524">
        <f t="shared" si="371"/>
        <v>1979880.9927148239</v>
      </c>
      <c r="N471" s="524">
        <f t="shared" si="371"/>
        <v>2581628.2343814201</v>
      </c>
      <c r="O471" s="524">
        <f t="shared" si="371"/>
        <v>2612905.6891848552</v>
      </c>
      <c r="P471" s="511">
        <f t="shared" si="331"/>
        <v>9.7922049462795258E-5</v>
      </c>
      <c r="Q471" s="530">
        <v>2030521</v>
      </c>
      <c r="R471" s="480"/>
      <c r="T471" s="512"/>
      <c r="U471" s="513"/>
    </row>
    <row r="472" spans="1:21" s="479" customFormat="1" x14ac:dyDescent="0.15">
      <c r="A472" s="579"/>
      <c r="B472" s="528" t="s">
        <v>294</v>
      </c>
      <c r="C472" s="517">
        <f>'FG1'!I45</f>
        <v>23179688.532170512</v>
      </c>
      <c r="D472" s="517">
        <f t="shared" ref="D472:O472" si="372">$C472*D$19%</f>
        <v>1753188.7554712573</v>
      </c>
      <c r="E472" s="517">
        <f t="shared" si="372"/>
        <v>2511880.6774890507</v>
      </c>
      <c r="F472" s="517">
        <f t="shared" si="372"/>
        <v>1623669.0130424933</v>
      </c>
      <c r="G472" s="517">
        <f t="shared" si="372"/>
        <v>1994512.8724861625</v>
      </c>
      <c r="H472" s="517">
        <f t="shared" si="372"/>
        <v>2435736.0239858744</v>
      </c>
      <c r="I472" s="517">
        <f t="shared" si="372"/>
        <v>2387880.9615018303</v>
      </c>
      <c r="J472" s="517">
        <f t="shared" si="372"/>
        <v>1851093.9040159704</v>
      </c>
      <c r="K472" s="517">
        <f t="shared" si="372"/>
        <v>1965370.6847958385</v>
      </c>
      <c r="L472" s="517">
        <f t="shared" si="372"/>
        <v>1846960.9674514192</v>
      </c>
      <c r="M472" s="517">
        <f t="shared" si="372"/>
        <v>1224393.1796044072</v>
      </c>
      <c r="N472" s="517">
        <f t="shared" si="372"/>
        <v>1786939.437577113</v>
      </c>
      <c r="O472" s="517">
        <f t="shared" si="372"/>
        <v>1798062.0547259166</v>
      </c>
      <c r="P472" s="511">
        <f t="shared" si="331"/>
        <v>2.3181550204753876E-5</v>
      </c>
      <c r="Q472" s="530">
        <v>1391792</v>
      </c>
      <c r="R472" s="480"/>
      <c r="U472" s="513"/>
    </row>
    <row r="473" spans="1:21" s="479" customFormat="1" x14ac:dyDescent="0.15">
      <c r="A473" s="579"/>
      <c r="B473" s="528" t="s">
        <v>296</v>
      </c>
      <c r="C473" s="517">
        <f>FFM!J45</f>
        <v>6230605.1388014015</v>
      </c>
      <c r="D473" s="517">
        <f t="shared" ref="D473:O473" si="373">$C473*D$20%</f>
        <v>471177.92432246153</v>
      </c>
      <c r="E473" s="517">
        <f t="shared" si="373"/>
        <v>675510.11179344915</v>
      </c>
      <c r="F473" s="517">
        <f t="shared" si="373"/>
        <v>436295.45105514006</v>
      </c>
      <c r="G473" s="517">
        <f t="shared" si="373"/>
        <v>536171.7439933772</v>
      </c>
      <c r="H473" s="517">
        <f t="shared" si="373"/>
        <v>655002.70706774516</v>
      </c>
      <c r="I473" s="517">
        <f t="shared" si="373"/>
        <v>642114.29906847177</v>
      </c>
      <c r="J473" s="517">
        <f t="shared" si="373"/>
        <v>497502.28237408382</v>
      </c>
      <c r="K473" s="517">
        <f t="shared" si="373"/>
        <v>528279.49779813446</v>
      </c>
      <c r="L473" s="517">
        <f t="shared" si="373"/>
        <v>496389.1902738919</v>
      </c>
      <c r="M473" s="517">
        <f t="shared" si="373"/>
        <v>328718.18365508952</v>
      </c>
      <c r="N473" s="517">
        <f t="shared" si="373"/>
        <v>480224.09212851524</v>
      </c>
      <c r="O473" s="517">
        <f t="shared" si="373"/>
        <v>483219.65519627451</v>
      </c>
      <c r="P473" s="511">
        <f t="shared" si="331"/>
        <v>7.4766227044165134E-5</v>
      </c>
      <c r="Q473" s="530">
        <v>426121</v>
      </c>
      <c r="R473" s="480"/>
      <c r="U473" s="513"/>
    </row>
    <row r="474" spans="1:21" s="479" customFormat="1" ht="18" x14ac:dyDescent="0.15">
      <c r="A474" s="579"/>
      <c r="B474" s="528" t="s">
        <v>297</v>
      </c>
      <c r="C474" s="517">
        <f>IEPS!I44</f>
        <v>560577.60166185303</v>
      </c>
      <c r="D474" s="517">
        <f t="shared" ref="D474:O474" si="374">$C474*D$21%</f>
        <v>39374.870355855113</v>
      </c>
      <c r="E474" s="517">
        <f t="shared" si="374"/>
        <v>89999.404118276696</v>
      </c>
      <c r="F474" s="517">
        <f t="shared" si="374"/>
        <v>37382.135768341017</v>
      </c>
      <c r="G474" s="517">
        <f t="shared" si="374"/>
        <v>36330.201282043359</v>
      </c>
      <c r="H474" s="517">
        <f t="shared" si="374"/>
        <v>40110.540835272535</v>
      </c>
      <c r="I474" s="517">
        <f t="shared" si="374"/>
        <v>41595.429962517192</v>
      </c>
      <c r="J474" s="517">
        <f t="shared" si="374"/>
        <v>42835.603574293702</v>
      </c>
      <c r="K474" s="517">
        <f t="shared" si="374"/>
        <v>47449.308159157299</v>
      </c>
      <c r="L474" s="517">
        <f t="shared" si="374"/>
        <v>47548.736038059993</v>
      </c>
      <c r="M474" s="517">
        <f t="shared" si="374"/>
        <v>47020.267320790321</v>
      </c>
      <c r="N474" s="517">
        <f t="shared" si="374"/>
        <v>45500.060908837957</v>
      </c>
      <c r="O474" s="517">
        <f t="shared" si="374"/>
        <v>45431.043337847244</v>
      </c>
      <c r="P474" s="511">
        <f t="shared" si="331"/>
        <v>5.6067801779136062E-7</v>
      </c>
      <c r="Q474" s="530">
        <v>35946</v>
      </c>
      <c r="R474" s="480"/>
      <c r="U474" s="513"/>
    </row>
    <row r="475" spans="1:21" s="479" customFormat="1" x14ac:dyDescent="0.15">
      <c r="A475" s="579"/>
      <c r="B475" s="528" t="s">
        <v>236</v>
      </c>
      <c r="C475" s="517">
        <f>ISR!C35</f>
        <v>1209153.05</v>
      </c>
      <c r="D475" s="517">
        <f>ISR!D35</f>
        <v>88615.952168703225</v>
      </c>
      <c r="E475" s="517">
        <f>ISR!E35</f>
        <v>93996.839158846298</v>
      </c>
      <c r="F475" s="517">
        <f>ISR!F35</f>
        <v>105018.53374492607</v>
      </c>
      <c r="G475" s="517">
        <f>ISR!G35</f>
        <v>99439.258374034471</v>
      </c>
      <c r="H475" s="517">
        <f>ISR!H35</f>
        <v>100314.50123027817</v>
      </c>
      <c r="I475" s="517">
        <f>ISR!I35</f>
        <v>101128.21186147678</v>
      </c>
      <c r="J475" s="517">
        <f>ISR!J35</f>
        <v>110858.79062204315</v>
      </c>
      <c r="K475" s="517">
        <f>ISR!K35</f>
        <v>101173.83058004467</v>
      </c>
      <c r="L475" s="517">
        <f>ISR!L35</f>
        <v>99311.950322217235</v>
      </c>
      <c r="M475" s="517">
        <f>ISR!M35</f>
        <v>98928.965266333544</v>
      </c>
      <c r="N475" s="517">
        <f>ISR!N35</f>
        <v>104741.07291865999</v>
      </c>
      <c r="O475" s="517">
        <f>ISR!O35</f>
        <v>105625.1437524362</v>
      </c>
      <c r="P475" s="511">
        <f t="shared" si="331"/>
        <v>2.0372681319713593E-10</v>
      </c>
      <c r="Q475" s="530">
        <v>0</v>
      </c>
      <c r="R475" s="480"/>
      <c r="U475" s="513"/>
    </row>
    <row r="476" spans="1:21" s="479" customFormat="1" ht="18" x14ac:dyDescent="0.15">
      <c r="A476" s="579"/>
      <c r="B476" s="528" t="s">
        <v>298</v>
      </c>
      <c r="C476" s="517">
        <f>FOFIR!I44</f>
        <v>1084154.3226357859</v>
      </c>
      <c r="D476" s="517">
        <f t="shared" ref="D476:O476" si="375">$C476*D$23%</f>
        <v>148220.69551193976</v>
      </c>
      <c r="E476" s="517">
        <f t="shared" si="375"/>
        <v>37710.429828531698</v>
      </c>
      <c r="F476" s="517">
        <f t="shared" si="375"/>
        <v>37710.429828531698</v>
      </c>
      <c r="G476" s="517">
        <f t="shared" si="375"/>
        <v>212812.56623829133</v>
      </c>
      <c r="H476" s="517">
        <f t="shared" si="375"/>
        <v>37710.429828531698</v>
      </c>
      <c r="I476" s="517">
        <f t="shared" si="375"/>
        <v>37710.429828531698</v>
      </c>
      <c r="J476" s="517">
        <f t="shared" si="375"/>
        <v>264704.54153645656</v>
      </c>
      <c r="K476" s="517">
        <f t="shared" si="375"/>
        <v>37710.429828531698</v>
      </c>
      <c r="L476" s="517">
        <f t="shared" si="375"/>
        <v>37710.429828531698</v>
      </c>
      <c r="M476" s="517">
        <f t="shared" si="375"/>
        <v>156733.08072518132</v>
      </c>
      <c r="N476" s="517">
        <f t="shared" si="375"/>
        <v>37710.429828531698</v>
      </c>
      <c r="O476" s="517">
        <f t="shared" si="375"/>
        <v>37710.429828531698</v>
      </c>
      <c r="P476" s="511">
        <f t="shared" si="331"/>
        <v>-4.3365434976294637E-6</v>
      </c>
      <c r="Q476" s="530">
        <v>42338</v>
      </c>
      <c r="R476" s="480"/>
      <c r="U476" s="513"/>
    </row>
    <row r="477" spans="1:21" s="479" customFormat="1" ht="27" x14ac:dyDescent="0.15">
      <c r="A477" s="579"/>
      <c r="B477" s="528" t="s">
        <v>407</v>
      </c>
      <c r="C477" s="517">
        <f>FCISAN!I44</f>
        <v>68823.470288610304</v>
      </c>
      <c r="D477" s="517">
        <f t="shared" ref="D477:O477" si="376">$C477*D$24%</f>
        <v>5735.2891906945852</v>
      </c>
      <c r="E477" s="517">
        <f t="shared" si="376"/>
        <v>5735.2891906945852</v>
      </c>
      <c r="F477" s="517">
        <f t="shared" si="376"/>
        <v>5735.2891906945852</v>
      </c>
      <c r="G477" s="517">
        <f t="shared" si="376"/>
        <v>5735.2891906945852</v>
      </c>
      <c r="H477" s="517">
        <f t="shared" si="376"/>
        <v>5735.2891906945852</v>
      </c>
      <c r="I477" s="517">
        <f t="shared" si="376"/>
        <v>5735.2891906945852</v>
      </c>
      <c r="J477" s="517">
        <f t="shared" si="376"/>
        <v>5735.2891906945852</v>
      </c>
      <c r="K477" s="517">
        <f t="shared" si="376"/>
        <v>5735.2891906945852</v>
      </c>
      <c r="L477" s="517">
        <f t="shared" si="376"/>
        <v>5735.2891906945852</v>
      </c>
      <c r="M477" s="517">
        <f t="shared" si="376"/>
        <v>5735.2891906945852</v>
      </c>
      <c r="N477" s="517">
        <f t="shared" si="376"/>
        <v>5735.2891906945852</v>
      </c>
      <c r="O477" s="517">
        <f t="shared" si="376"/>
        <v>5735.2891906945852</v>
      </c>
      <c r="P477" s="511">
        <f t="shared" si="331"/>
        <v>2.7526948542799801E-7</v>
      </c>
      <c r="Q477" s="530">
        <v>5035</v>
      </c>
      <c r="R477" s="480"/>
      <c r="U477" s="513"/>
    </row>
    <row r="478" spans="1:21" s="479" customFormat="1" ht="27" x14ac:dyDescent="0.15">
      <c r="A478" s="579"/>
      <c r="B478" s="528" t="s">
        <v>242</v>
      </c>
      <c r="C478" s="517">
        <f>ISAN!I44</f>
        <v>343781.30539429851</v>
      </c>
      <c r="D478" s="517">
        <f t="shared" ref="D478:O478" si="377">$C478*D$25%</f>
        <v>33083.315217747091</v>
      </c>
      <c r="E478" s="517">
        <f t="shared" si="377"/>
        <v>36950.608360325998</v>
      </c>
      <c r="F478" s="517">
        <f t="shared" si="377"/>
        <v>28676.934542215193</v>
      </c>
      <c r="G478" s="517">
        <f t="shared" si="377"/>
        <v>26615.153301717917</v>
      </c>
      <c r="H478" s="517">
        <f t="shared" si="377"/>
        <v>28457.483154044963</v>
      </c>
      <c r="I478" s="517">
        <f t="shared" si="377"/>
        <v>24716.190011739887</v>
      </c>
      <c r="J478" s="517">
        <f t="shared" si="377"/>
        <v>26776.202298371529</v>
      </c>
      <c r="K478" s="517">
        <f t="shared" si="377"/>
        <v>27613.303000045777</v>
      </c>
      <c r="L478" s="517">
        <f t="shared" si="377"/>
        <v>27133.695372354894</v>
      </c>
      <c r="M478" s="517">
        <f t="shared" si="377"/>
        <v>27799.128989190514</v>
      </c>
      <c r="N478" s="517">
        <f t="shared" si="377"/>
        <v>26916.013665491548</v>
      </c>
      <c r="O478" s="517">
        <f t="shared" si="377"/>
        <v>29043.277476927833</v>
      </c>
      <c r="P478" s="511">
        <f t="shared" si="331"/>
        <v>4.1253733797930181E-6</v>
      </c>
      <c r="Q478" s="530">
        <v>21634</v>
      </c>
      <c r="R478" s="480"/>
      <c r="U478" s="513"/>
    </row>
    <row r="479" spans="1:21" s="479" customFormat="1" ht="18" x14ac:dyDescent="0.15">
      <c r="A479" s="579"/>
      <c r="B479" s="528" t="s">
        <v>403</v>
      </c>
      <c r="C479" s="517">
        <f>LOT!I44</f>
        <v>16641.419939213356</v>
      </c>
      <c r="D479" s="517">
        <f t="shared" ref="D479:O479" si="378">$C479*D$26%</f>
        <v>1258.2642341677172</v>
      </c>
      <c r="E479" s="517">
        <f t="shared" si="378"/>
        <v>1240.429176132292</v>
      </c>
      <c r="F479" s="517">
        <f t="shared" si="378"/>
        <v>1219.1896208156786</v>
      </c>
      <c r="G479" s="517">
        <f t="shared" si="378"/>
        <v>1341.3808240597004</v>
      </c>
      <c r="H479" s="517">
        <f t="shared" si="378"/>
        <v>1097.4936710883428</v>
      </c>
      <c r="I479" s="517">
        <f t="shared" si="378"/>
        <v>1489.3548664298119</v>
      </c>
      <c r="J479" s="517">
        <f t="shared" si="378"/>
        <v>3418.0678170708002</v>
      </c>
      <c r="K479" s="517">
        <f t="shared" si="378"/>
        <v>1244.2992710378387</v>
      </c>
      <c r="L479" s="517">
        <f t="shared" si="378"/>
        <v>1509.8026092232631</v>
      </c>
      <c r="M479" s="517">
        <f t="shared" si="378"/>
        <v>934.77471541879299</v>
      </c>
      <c r="N479" s="517">
        <f t="shared" si="378"/>
        <v>944.18156678471075</v>
      </c>
      <c r="O479" s="517">
        <f t="shared" si="378"/>
        <v>944.18156678471075</v>
      </c>
      <c r="P479" s="511">
        <f t="shared" si="331"/>
        <v>1.9969502318417653E-7</v>
      </c>
      <c r="Q479" s="530">
        <v>1057</v>
      </c>
      <c r="R479" s="480"/>
      <c r="U479" s="513"/>
    </row>
    <row r="480" spans="1:21" s="479" customFormat="1" ht="45" x14ac:dyDescent="0.15">
      <c r="A480" s="579"/>
      <c r="B480" s="518" t="s">
        <v>301</v>
      </c>
      <c r="C480" s="517">
        <f>'ENAJENAC DE INMUE'!I44</f>
        <v>65436.038520135866</v>
      </c>
      <c r="D480" s="517">
        <f t="shared" ref="D480:O480" si="379">$C480*D$27%</f>
        <v>2825.902283468803</v>
      </c>
      <c r="E480" s="517">
        <f t="shared" si="379"/>
        <v>2867.5249928216899</v>
      </c>
      <c r="F480" s="517">
        <f t="shared" si="379"/>
        <v>2828.8669209085442</v>
      </c>
      <c r="G480" s="517">
        <f t="shared" si="379"/>
        <v>2812.2962064557023</v>
      </c>
      <c r="H480" s="517">
        <f t="shared" si="379"/>
        <v>3901.1919189088676</v>
      </c>
      <c r="I480" s="517">
        <f t="shared" si="379"/>
        <v>2807.9905151210774</v>
      </c>
      <c r="J480" s="517">
        <f t="shared" si="379"/>
        <v>3227.1645398828937</v>
      </c>
      <c r="K480" s="517">
        <f t="shared" si="379"/>
        <v>3223.8426986256136</v>
      </c>
      <c r="L480" s="517">
        <f t="shared" si="379"/>
        <v>3219.7587199669642</v>
      </c>
      <c r="M480" s="517">
        <f t="shared" si="379"/>
        <v>2811.8358446865177</v>
      </c>
      <c r="N480" s="517">
        <f t="shared" si="379"/>
        <v>11690.579389621513</v>
      </c>
      <c r="O480" s="517">
        <f t="shared" si="379"/>
        <v>23219.084489536806</v>
      </c>
      <c r="P480" s="511">
        <f t="shared" si="331"/>
        <v>1.3088720152154565E-7</v>
      </c>
      <c r="Q480" s="530">
        <v>15421</v>
      </c>
      <c r="R480" s="480"/>
      <c r="U480" s="513"/>
    </row>
    <row r="481" spans="1:21" s="479" customFormat="1" ht="27" x14ac:dyDescent="0.15">
      <c r="A481" s="579"/>
      <c r="B481" s="518" t="s">
        <v>248</v>
      </c>
      <c r="C481" s="517">
        <f>'IMP BEBIDAS AL'!I44</f>
        <v>25575.861784771339</v>
      </c>
      <c r="D481" s="517">
        <f t="shared" ref="D481:O481" si="380">$C481*D$28%</f>
        <v>5815.7104394554972</v>
      </c>
      <c r="E481" s="517">
        <f t="shared" si="380"/>
        <v>2000.3931929792914</v>
      </c>
      <c r="F481" s="517">
        <f t="shared" si="380"/>
        <v>2149.7286837053998</v>
      </c>
      <c r="G481" s="517">
        <f t="shared" si="380"/>
        <v>2134.2964972119771</v>
      </c>
      <c r="H481" s="517">
        <f t="shared" si="380"/>
        <v>1359.1302943014812</v>
      </c>
      <c r="I481" s="517">
        <f t="shared" si="380"/>
        <v>2224.2189130225329</v>
      </c>
      <c r="J481" s="517">
        <f t="shared" si="380"/>
        <v>2211.6991137943801</v>
      </c>
      <c r="K481" s="517">
        <f t="shared" si="380"/>
        <v>2022.7602147653449</v>
      </c>
      <c r="L481" s="517">
        <f t="shared" si="380"/>
        <v>1466.9626271672596</v>
      </c>
      <c r="M481" s="517">
        <f t="shared" si="380"/>
        <v>1363.6717074446224</v>
      </c>
      <c r="N481" s="517">
        <f t="shared" si="380"/>
        <v>1373.3109692521564</v>
      </c>
      <c r="O481" s="517">
        <f t="shared" si="380"/>
        <v>1453.9791316713972</v>
      </c>
      <c r="P481" s="511">
        <f t="shared" si="331"/>
        <v>-4.3200998334214091E-12</v>
      </c>
      <c r="Q481" s="530">
        <v>661</v>
      </c>
      <c r="R481" s="480"/>
      <c r="U481" s="513"/>
    </row>
    <row r="482" spans="1:21" s="479" customFormat="1" ht="18" x14ac:dyDescent="0.15">
      <c r="A482" s="579"/>
      <c r="B482" s="518" t="s">
        <v>253</v>
      </c>
      <c r="C482" s="517">
        <f>'FOND GASO Y D'!Q45</f>
        <v>0</v>
      </c>
      <c r="D482" s="517">
        <f t="shared" ref="D482:O482" si="381">$C482*D$29%</f>
        <v>0</v>
      </c>
      <c r="E482" s="517">
        <f t="shared" si="381"/>
        <v>0</v>
      </c>
      <c r="F482" s="517">
        <f t="shared" si="381"/>
        <v>0</v>
      </c>
      <c r="G482" s="517">
        <f t="shared" si="381"/>
        <v>0</v>
      </c>
      <c r="H482" s="517">
        <f t="shared" si="381"/>
        <v>0</v>
      </c>
      <c r="I482" s="517">
        <f t="shared" si="381"/>
        <v>0</v>
      </c>
      <c r="J482" s="517">
        <f t="shared" si="381"/>
        <v>0</v>
      </c>
      <c r="K482" s="517">
        <f t="shared" si="381"/>
        <v>0</v>
      </c>
      <c r="L482" s="517">
        <f t="shared" si="381"/>
        <v>0</v>
      </c>
      <c r="M482" s="517">
        <f t="shared" si="381"/>
        <v>0</v>
      </c>
      <c r="N482" s="517">
        <f t="shared" si="381"/>
        <v>0</v>
      </c>
      <c r="O482" s="517">
        <f t="shared" si="381"/>
        <v>0</v>
      </c>
      <c r="P482" s="511">
        <f t="shared" si="331"/>
        <v>0</v>
      </c>
      <c r="Q482" s="530">
        <v>30381</v>
      </c>
      <c r="R482" s="480"/>
      <c r="U482" s="513"/>
    </row>
    <row r="483" spans="1:21" s="479" customFormat="1" ht="18" x14ac:dyDescent="0.15">
      <c r="A483" s="579"/>
      <c r="B483" s="528" t="s">
        <v>408</v>
      </c>
      <c r="C483" s="519">
        <f>'FOND GASO Y D'!H45</f>
        <v>983984.94284760673</v>
      </c>
      <c r="D483" s="517">
        <f t="shared" ref="D483:O483" si="382">$C483*D$30%</f>
        <v>76544.97847011016</v>
      </c>
      <c r="E483" s="517">
        <f t="shared" si="382"/>
        <v>84159.461743856897</v>
      </c>
      <c r="F483" s="517">
        <f t="shared" si="382"/>
        <v>81937.91942447843</v>
      </c>
      <c r="G483" s="517">
        <f t="shared" si="382"/>
        <v>76349.069966808835</v>
      </c>
      <c r="H483" s="517">
        <f t="shared" si="382"/>
        <v>84125.762157671314</v>
      </c>
      <c r="I483" s="517">
        <f t="shared" si="382"/>
        <v>81191.356628753289</v>
      </c>
      <c r="J483" s="517">
        <f t="shared" si="382"/>
        <v>82884.083672130568</v>
      </c>
      <c r="K483" s="517">
        <f t="shared" si="382"/>
        <v>82834.831445270887</v>
      </c>
      <c r="L483" s="517">
        <f t="shared" si="382"/>
        <v>86199.546917772226</v>
      </c>
      <c r="M483" s="517">
        <f t="shared" si="382"/>
        <v>85442.615695587039</v>
      </c>
      <c r="N483" s="517">
        <f t="shared" si="382"/>
        <v>79853.766237917458</v>
      </c>
      <c r="O483" s="517">
        <f t="shared" si="382"/>
        <v>82461.550488233581</v>
      </c>
      <c r="P483" s="511">
        <f t="shared" si="331"/>
        <v>-9.8379678092896938E-7</v>
      </c>
      <c r="Q483" s="530">
        <v>60135</v>
      </c>
      <c r="R483" s="480"/>
      <c r="U483" s="513"/>
    </row>
    <row r="484" spans="1:21" s="479" customFormat="1" x14ac:dyDescent="0.15">
      <c r="A484" s="579"/>
      <c r="B484" s="534"/>
      <c r="C484" s="521"/>
      <c r="D484" s="522"/>
      <c r="E484" s="522"/>
      <c r="F484" s="522"/>
      <c r="G484" s="522"/>
      <c r="H484" s="522"/>
      <c r="I484" s="522"/>
      <c r="J484" s="522"/>
      <c r="K484" s="522"/>
      <c r="L484" s="522"/>
      <c r="M484" s="522"/>
      <c r="N484" s="522"/>
      <c r="O484" s="522"/>
      <c r="P484" s="511">
        <f t="shared" ref="P484:P547" si="383">C484-D484-E484-F484-G484-H484-I484-J484-K484-L484-M484-N484-O484</f>
        <v>0</v>
      </c>
      <c r="Q484" s="530">
        <v>0</v>
      </c>
      <c r="R484" s="480"/>
      <c r="U484" s="513"/>
    </row>
    <row r="485" spans="1:21" s="479" customFormat="1" x14ac:dyDescent="0.15">
      <c r="A485" s="591"/>
      <c r="B485" s="532"/>
      <c r="C485" s="521"/>
      <c r="D485" s="521"/>
      <c r="E485" s="521"/>
      <c r="F485" s="521"/>
      <c r="G485" s="521"/>
      <c r="H485" s="521"/>
      <c r="I485" s="521"/>
      <c r="J485" s="521"/>
      <c r="K485" s="521"/>
      <c r="L485" s="521"/>
      <c r="M485" s="521"/>
      <c r="N485" s="521"/>
      <c r="O485" s="521"/>
      <c r="P485" s="511">
        <f t="shared" si="383"/>
        <v>0</v>
      </c>
      <c r="Q485" s="530">
        <v>0</v>
      </c>
      <c r="R485" s="480"/>
      <c r="U485" s="513"/>
    </row>
    <row r="486" spans="1:21" s="479" customFormat="1" x14ac:dyDescent="0.15">
      <c r="A486" s="576">
        <v>31</v>
      </c>
      <c r="B486" s="533" t="s">
        <v>410</v>
      </c>
      <c r="C486" s="524">
        <f t="shared" ref="C486:O486" si="384">SUM(C487:C498)</f>
        <v>46181740.324405745</v>
      </c>
      <c r="D486" s="524">
        <f t="shared" si="384"/>
        <v>3663795.8005713876</v>
      </c>
      <c r="E486" s="524">
        <f t="shared" si="384"/>
        <v>4794771.4204338538</v>
      </c>
      <c r="F486" s="524">
        <f t="shared" si="384"/>
        <v>3230838.8077703011</v>
      </c>
      <c r="G486" s="524">
        <f t="shared" si="384"/>
        <v>4080878.073192765</v>
      </c>
      <c r="H486" s="524">
        <f t="shared" si="384"/>
        <v>4605807.0340874493</v>
      </c>
      <c r="I486" s="524">
        <f t="shared" si="384"/>
        <v>4521160.7619826226</v>
      </c>
      <c r="J486" s="524">
        <f t="shared" si="384"/>
        <v>3928533.5500915791</v>
      </c>
      <c r="K486" s="524">
        <f t="shared" si="384"/>
        <v>3840530.7159287552</v>
      </c>
      <c r="L486" s="524">
        <f t="shared" si="384"/>
        <v>3657938.8279082803</v>
      </c>
      <c r="M486" s="524">
        <f t="shared" si="384"/>
        <v>2744888.5574847674</v>
      </c>
      <c r="N486" s="524">
        <f t="shared" si="384"/>
        <v>3536298.5826264527</v>
      </c>
      <c r="O486" s="524">
        <f t="shared" si="384"/>
        <v>3576298.1921975105</v>
      </c>
      <c r="P486" s="511">
        <f t="shared" si="383"/>
        <v>1.3001030310988426E-4</v>
      </c>
      <c r="Q486" s="530">
        <v>2668033</v>
      </c>
      <c r="R486" s="480"/>
      <c r="T486" s="512"/>
      <c r="U486" s="513"/>
    </row>
    <row r="487" spans="1:21" s="479" customFormat="1" x14ac:dyDescent="0.15">
      <c r="A487" s="579"/>
      <c r="B487" s="528" t="s">
        <v>294</v>
      </c>
      <c r="C487" s="517">
        <f>'FG1'!I46</f>
        <v>30736945.915574867</v>
      </c>
      <c r="D487" s="517">
        <f t="shared" ref="D487:O487" si="385">$C487*D$19%</f>
        <v>2324779.6398094259</v>
      </c>
      <c r="E487" s="517">
        <f t="shared" si="385"/>
        <v>3330827.3501261277</v>
      </c>
      <c r="F487" s="517">
        <f t="shared" si="385"/>
        <v>2153032.6677779891</v>
      </c>
      <c r="G487" s="517">
        <f t="shared" si="385"/>
        <v>2644782.4872383871</v>
      </c>
      <c r="H487" s="517">
        <f t="shared" si="385"/>
        <v>3229857.3093406768</v>
      </c>
      <c r="I487" s="517">
        <f t="shared" si="385"/>
        <v>3166400.0948350946</v>
      </c>
      <c r="J487" s="517">
        <f t="shared" si="385"/>
        <v>2454604.7343743783</v>
      </c>
      <c r="K487" s="517">
        <f t="shared" si="385"/>
        <v>2606139.0928003713</v>
      </c>
      <c r="L487" s="517">
        <f t="shared" si="385"/>
        <v>2449124.3394380612</v>
      </c>
      <c r="M487" s="517">
        <f t="shared" si="385"/>
        <v>1623581.218042165</v>
      </c>
      <c r="N487" s="517">
        <f t="shared" si="385"/>
        <v>2369534.0328230197</v>
      </c>
      <c r="O487" s="517">
        <f t="shared" si="385"/>
        <v>2384282.9489384345</v>
      </c>
      <c r="P487" s="511">
        <f t="shared" si="383"/>
        <v>3.0732247978448868E-5</v>
      </c>
      <c r="Q487" s="530">
        <v>1839886</v>
      </c>
      <c r="R487" s="480"/>
      <c r="U487" s="513"/>
    </row>
    <row r="488" spans="1:21" s="479" customFormat="1" x14ac:dyDescent="0.15">
      <c r="A488" s="579"/>
      <c r="B488" s="528" t="s">
        <v>296</v>
      </c>
      <c r="C488" s="517">
        <f>FFM!J46</f>
        <v>8261964.9054753203</v>
      </c>
      <c r="D488" s="517">
        <f t="shared" ref="D488:O488" si="386">$C488*D$20%</f>
        <v>624795.72822612897</v>
      </c>
      <c r="E488" s="517">
        <f t="shared" si="386"/>
        <v>895746.19360404974</v>
      </c>
      <c r="F488" s="517">
        <f t="shared" si="386"/>
        <v>578540.54698281363</v>
      </c>
      <c r="G488" s="517">
        <f t="shared" si="386"/>
        <v>710979.43674744875</v>
      </c>
      <c r="H488" s="517">
        <f t="shared" si="386"/>
        <v>868552.77428575547</v>
      </c>
      <c r="I488" s="517">
        <f t="shared" si="386"/>
        <v>851462.36778345401</v>
      </c>
      <c r="J488" s="517">
        <f t="shared" si="386"/>
        <v>659702.5980303532</v>
      </c>
      <c r="K488" s="517">
        <f t="shared" si="386"/>
        <v>700514.08713246568</v>
      </c>
      <c r="L488" s="517">
        <f t="shared" si="386"/>
        <v>658226.6053035669</v>
      </c>
      <c r="M488" s="517">
        <f t="shared" si="386"/>
        <v>435889.93952397985</v>
      </c>
      <c r="N488" s="517">
        <f t="shared" si="386"/>
        <v>636791.21169485594</v>
      </c>
      <c r="O488" s="517">
        <f t="shared" si="386"/>
        <v>640763.41606130463</v>
      </c>
      <c r="P488" s="511">
        <f t="shared" si="383"/>
        <v>9.9143828265368938E-5</v>
      </c>
      <c r="Q488" s="530">
        <v>563312</v>
      </c>
      <c r="R488" s="480"/>
      <c r="U488" s="513"/>
    </row>
    <row r="489" spans="1:21" s="479" customFormat="1" ht="18" x14ac:dyDescent="0.15">
      <c r="A489" s="579"/>
      <c r="B489" s="528" t="s">
        <v>297</v>
      </c>
      <c r="C489" s="517">
        <f>IEPS!I45</f>
        <v>743342.31885166827</v>
      </c>
      <c r="D489" s="517">
        <f t="shared" ref="D489:O489" si="387">$C489*D$21%</f>
        <v>52212.231362858765</v>
      </c>
      <c r="E489" s="517">
        <f t="shared" si="387"/>
        <v>119341.84590004946</v>
      </c>
      <c r="F489" s="517">
        <f t="shared" si="387"/>
        <v>49569.806933578453</v>
      </c>
      <c r="G489" s="517">
        <f t="shared" si="387"/>
        <v>48174.910994093123</v>
      </c>
      <c r="H489" s="517">
        <f t="shared" si="387"/>
        <v>53187.751966000411</v>
      </c>
      <c r="I489" s="517">
        <f t="shared" si="387"/>
        <v>55156.758440414429</v>
      </c>
      <c r="J489" s="517">
        <f t="shared" si="387"/>
        <v>56801.264973718069</v>
      </c>
      <c r="K489" s="517">
        <f t="shared" si="387"/>
        <v>62919.172386433122</v>
      </c>
      <c r="L489" s="517">
        <f t="shared" si="387"/>
        <v>63051.016666052798</v>
      </c>
      <c r="M489" s="517">
        <f t="shared" si="387"/>
        <v>62350.25166835892</v>
      </c>
      <c r="N489" s="517">
        <f t="shared" si="387"/>
        <v>60334.41343999622</v>
      </c>
      <c r="O489" s="517">
        <f t="shared" si="387"/>
        <v>60242.894119371107</v>
      </c>
      <c r="P489" s="511">
        <f t="shared" si="383"/>
        <v>7.4337003752589226E-7</v>
      </c>
      <c r="Q489" s="530">
        <v>47517</v>
      </c>
      <c r="R489" s="480"/>
      <c r="U489" s="513"/>
    </row>
    <row r="490" spans="1:21" s="479" customFormat="1" x14ac:dyDescent="0.15">
      <c r="A490" s="579"/>
      <c r="B490" s="528" t="s">
        <v>236</v>
      </c>
      <c r="C490" s="517">
        <f>ISR!C36</f>
        <v>3187561.2366909115</v>
      </c>
      <c r="D490" s="517">
        <f>ISR!D36</f>
        <v>313390.92090000038</v>
      </c>
      <c r="E490" s="517">
        <f>ISR!E36</f>
        <v>237976.84440000012</v>
      </c>
      <c r="F490" s="517">
        <f>ISR!F36</f>
        <v>252207.75700000022</v>
      </c>
      <c r="G490" s="517">
        <f>ISR!G36</f>
        <v>256263.57770000008</v>
      </c>
      <c r="H490" s="517">
        <f>ISR!H36</f>
        <v>254299.85180000035</v>
      </c>
      <c r="I490" s="517">
        <f>ISR!I36</f>
        <v>256329.35350000023</v>
      </c>
      <c r="J490" s="517">
        <f>ISR!J36</f>
        <v>256849.1945000003</v>
      </c>
      <c r="K490" s="517">
        <f>ISR!K36</f>
        <v>273467.13210000028</v>
      </c>
      <c r="L490" s="517">
        <f>ISR!L36</f>
        <v>287227.0051000003</v>
      </c>
      <c r="M490" s="517">
        <f>ISR!M36</f>
        <v>266352.73670000018</v>
      </c>
      <c r="N490" s="517">
        <f>ISR!N36</f>
        <v>266510.88152666728</v>
      </c>
      <c r="O490" s="517">
        <f>ISR!O36</f>
        <v>266685.98146424245</v>
      </c>
      <c r="P490" s="511">
        <f t="shared" si="383"/>
        <v>-6.9849193096160889E-10</v>
      </c>
      <c r="Q490" s="530">
        <v>0</v>
      </c>
      <c r="R490" s="480"/>
      <c r="U490" s="513"/>
    </row>
    <row r="491" spans="1:21" s="479" customFormat="1" ht="18" x14ac:dyDescent="0.15">
      <c r="A491" s="579"/>
      <c r="B491" s="528" t="s">
        <v>298</v>
      </c>
      <c r="C491" s="517">
        <f>FOFIR!I45</f>
        <v>1437620.3861731736</v>
      </c>
      <c r="D491" s="517">
        <f t="shared" ref="D491:O491" si="388">$C491*D$23%</f>
        <v>196544.98356163973</v>
      </c>
      <c r="E491" s="517">
        <f t="shared" si="388"/>
        <v>50005.134472966238</v>
      </c>
      <c r="F491" s="517">
        <f t="shared" si="388"/>
        <v>50005.134472966238</v>
      </c>
      <c r="G491" s="517">
        <f t="shared" si="388"/>
        <v>282195.69600957638</v>
      </c>
      <c r="H491" s="517">
        <f t="shared" si="388"/>
        <v>50005.134472966238</v>
      </c>
      <c r="I491" s="517">
        <f t="shared" si="388"/>
        <v>50005.134472966238</v>
      </c>
      <c r="J491" s="517">
        <f t="shared" si="388"/>
        <v>351005.97514591546</v>
      </c>
      <c r="K491" s="517">
        <f t="shared" si="388"/>
        <v>50005.134472966238</v>
      </c>
      <c r="L491" s="517">
        <f t="shared" si="388"/>
        <v>50005.134472966238</v>
      </c>
      <c r="M491" s="517">
        <f t="shared" si="388"/>
        <v>207832.6556780625</v>
      </c>
      <c r="N491" s="517">
        <f t="shared" si="388"/>
        <v>50005.134472966238</v>
      </c>
      <c r="O491" s="517">
        <f t="shared" si="388"/>
        <v>50005.134472966238</v>
      </c>
      <c r="P491" s="511">
        <f t="shared" si="383"/>
        <v>-5.7501601986587048E-6</v>
      </c>
      <c r="Q491" s="530">
        <v>55968</v>
      </c>
      <c r="R491" s="480"/>
      <c r="U491" s="513"/>
    </row>
    <row r="492" spans="1:21" s="479" customFormat="1" ht="27" x14ac:dyDescent="0.15">
      <c r="A492" s="579"/>
      <c r="B492" s="528" t="s">
        <v>407</v>
      </c>
      <c r="C492" s="517">
        <f>FCISAN!I45</f>
        <v>91261.93740900555</v>
      </c>
      <c r="D492" s="517">
        <f t="shared" ref="D492:O492" si="389">$C492*D$24%</f>
        <v>7605.1614507200429</v>
      </c>
      <c r="E492" s="517">
        <f t="shared" si="389"/>
        <v>7605.1614507200429</v>
      </c>
      <c r="F492" s="517">
        <f t="shared" si="389"/>
        <v>7605.1614507200429</v>
      </c>
      <c r="G492" s="517">
        <f t="shared" si="389"/>
        <v>7605.1614507200429</v>
      </c>
      <c r="H492" s="517">
        <f t="shared" si="389"/>
        <v>7605.1614507200429</v>
      </c>
      <c r="I492" s="517">
        <f t="shared" si="389"/>
        <v>7605.1614507200429</v>
      </c>
      <c r="J492" s="517">
        <f t="shared" si="389"/>
        <v>7605.1614507200429</v>
      </c>
      <c r="K492" s="517">
        <f t="shared" si="389"/>
        <v>7605.1614507200429</v>
      </c>
      <c r="L492" s="517">
        <f t="shared" si="389"/>
        <v>7605.1614507200429</v>
      </c>
      <c r="M492" s="517">
        <f t="shared" si="389"/>
        <v>7605.1614507200429</v>
      </c>
      <c r="N492" s="517">
        <f t="shared" si="389"/>
        <v>7605.1614507200429</v>
      </c>
      <c r="O492" s="517">
        <f t="shared" si="389"/>
        <v>7605.1614507200429</v>
      </c>
      <c r="P492" s="511">
        <f t="shared" si="383"/>
        <v>3.6503479350358248E-7</v>
      </c>
      <c r="Q492" s="530">
        <v>6660</v>
      </c>
      <c r="R492" s="480"/>
      <c r="U492" s="513"/>
    </row>
    <row r="493" spans="1:21" s="479" customFormat="1" ht="27" x14ac:dyDescent="0.15">
      <c r="A493" s="579"/>
      <c r="B493" s="528" t="s">
        <v>242</v>
      </c>
      <c r="C493" s="517">
        <f>ISAN!I45</f>
        <v>455864.08014175418</v>
      </c>
      <c r="D493" s="517">
        <f t="shared" ref="D493:O493" si="390">$C493*D$25%</f>
        <v>43869.444973106722</v>
      </c>
      <c r="E493" s="517">
        <f t="shared" si="390"/>
        <v>48997.588951320511</v>
      </c>
      <c r="F493" s="517">
        <f t="shared" si="390"/>
        <v>38026.455136582983</v>
      </c>
      <c r="G493" s="517">
        <f t="shared" si="390"/>
        <v>35292.472823103744</v>
      </c>
      <c r="H493" s="517">
        <f t="shared" si="390"/>
        <v>37735.456168243756</v>
      </c>
      <c r="I493" s="517">
        <f t="shared" si="390"/>
        <v>32774.391880872412</v>
      </c>
      <c r="J493" s="517">
        <f t="shared" si="390"/>
        <v>35506.028509714008</v>
      </c>
      <c r="K493" s="517">
        <f t="shared" si="390"/>
        <v>36616.04855841057</v>
      </c>
      <c r="L493" s="517">
        <f t="shared" si="390"/>
        <v>35980.074796615962</v>
      </c>
      <c r="M493" s="517">
        <f t="shared" si="390"/>
        <v>36862.459262770251</v>
      </c>
      <c r="N493" s="517">
        <f t="shared" si="390"/>
        <v>35691.422477522778</v>
      </c>
      <c r="O493" s="517">
        <f t="shared" si="390"/>
        <v>38512.236598020121</v>
      </c>
      <c r="P493" s="511">
        <f t="shared" si="383"/>
        <v>5.4703341447748244E-6</v>
      </c>
      <c r="Q493" s="530">
        <v>28601</v>
      </c>
      <c r="R493" s="480"/>
      <c r="U493" s="513"/>
    </row>
    <row r="494" spans="1:21" s="479" customFormat="1" ht="18" x14ac:dyDescent="0.15">
      <c r="A494" s="579"/>
      <c r="B494" s="528" t="s">
        <v>403</v>
      </c>
      <c r="C494" s="517">
        <f>LOT!I45</f>
        <v>22067.010258574574</v>
      </c>
      <c r="D494" s="517">
        <f t="shared" ref="D494:O494" si="391">$C494*D$26%</f>
        <v>1668.4952284599945</v>
      </c>
      <c r="E494" s="517">
        <f t="shared" si="391"/>
        <v>1644.8454191247579</v>
      </c>
      <c r="F494" s="517">
        <f t="shared" si="391"/>
        <v>1616.6811466785796</v>
      </c>
      <c r="G494" s="517">
        <f t="shared" si="391"/>
        <v>1778.7102611016639</v>
      </c>
      <c r="H494" s="517">
        <f t="shared" si="391"/>
        <v>1455.3087529243576</v>
      </c>
      <c r="I494" s="517">
        <f t="shared" si="391"/>
        <v>1974.9281753728876</v>
      </c>
      <c r="J494" s="517">
        <f t="shared" si="391"/>
        <v>4532.4580389965431</v>
      </c>
      <c r="K494" s="517">
        <f t="shared" si="391"/>
        <v>1649.9772783227293</v>
      </c>
      <c r="L494" s="517">
        <f t="shared" si="391"/>
        <v>2002.0424812215451</v>
      </c>
      <c r="M494" s="517">
        <f t="shared" si="391"/>
        <v>1239.5386517466675</v>
      </c>
      <c r="N494" s="517">
        <f t="shared" si="391"/>
        <v>1252.0124121800218</v>
      </c>
      <c r="O494" s="517">
        <f t="shared" si="391"/>
        <v>1252.0124121800218</v>
      </c>
      <c r="P494" s="511">
        <f t="shared" si="383"/>
        <v>2.6480483938939869E-7</v>
      </c>
      <c r="Q494" s="530">
        <v>1398</v>
      </c>
      <c r="R494" s="480"/>
      <c r="U494" s="513"/>
    </row>
    <row r="495" spans="1:21" s="479" customFormat="1" ht="45" x14ac:dyDescent="0.15">
      <c r="A495" s="579"/>
      <c r="B495" s="518" t="s">
        <v>301</v>
      </c>
      <c r="C495" s="517">
        <f>'ENAJENAC DE INMUE'!I45</f>
        <v>86770.103667762887</v>
      </c>
      <c r="D495" s="517">
        <f t="shared" ref="D495:O495" si="392">$C495*D$27%</f>
        <v>3747.2291971969266</v>
      </c>
      <c r="E495" s="517">
        <f t="shared" si="392"/>
        <v>3802.4221289079719</v>
      </c>
      <c r="F495" s="517">
        <f t="shared" si="392"/>
        <v>3751.1603932748271</v>
      </c>
      <c r="G495" s="517">
        <f t="shared" si="392"/>
        <v>3729.1871405621105</v>
      </c>
      <c r="H495" s="517">
        <f t="shared" si="392"/>
        <v>5173.0947485061542</v>
      </c>
      <c r="I495" s="517">
        <f t="shared" si="392"/>
        <v>3723.4776677407717</v>
      </c>
      <c r="J495" s="517">
        <f t="shared" si="392"/>
        <v>4279.3147019803055</v>
      </c>
      <c r="K495" s="517">
        <f t="shared" si="392"/>
        <v>4274.9098431780212</v>
      </c>
      <c r="L495" s="517">
        <f t="shared" si="392"/>
        <v>4269.4943678588834</v>
      </c>
      <c r="M495" s="517">
        <f t="shared" si="392"/>
        <v>3728.5766873723969</v>
      </c>
      <c r="N495" s="517">
        <f t="shared" si="392"/>
        <v>15502.050682079776</v>
      </c>
      <c r="O495" s="517">
        <f t="shared" si="392"/>
        <v>30789.186108931201</v>
      </c>
      <c r="P495" s="511">
        <f t="shared" si="383"/>
        <v>1.7355341697111726E-7</v>
      </c>
      <c r="Q495" s="530">
        <v>20384</v>
      </c>
      <c r="R495" s="480"/>
      <c r="U495" s="513"/>
    </row>
    <row r="496" spans="1:21" s="479" customFormat="1" ht="27" x14ac:dyDescent="0.15">
      <c r="A496" s="579"/>
      <c r="B496" s="518" t="s">
        <v>248</v>
      </c>
      <c r="C496" s="517">
        <f>'IMP BEBIDAS AL'!I45</f>
        <v>33914.341831284444</v>
      </c>
      <c r="D496" s="517">
        <f t="shared" ref="D496:O496" si="393">$C496*D$28%</f>
        <v>7711.8023820766666</v>
      </c>
      <c r="E496" s="517">
        <f t="shared" si="393"/>
        <v>2652.5799644440322</v>
      </c>
      <c r="F496" s="517">
        <f t="shared" si="393"/>
        <v>2850.6031991114746</v>
      </c>
      <c r="G496" s="517">
        <f t="shared" si="393"/>
        <v>2830.1396678198839</v>
      </c>
      <c r="H496" s="517">
        <f t="shared" si="393"/>
        <v>1802.2465785157026</v>
      </c>
      <c r="I496" s="517">
        <f t="shared" si="393"/>
        <v>2949.3794249689449</v>
      </c>
      <c r="J496" s="517">
        <f t="shared" si="393"/>
        <v>2932.777804493523</v>
      </c>
      <c r="K496" s="517">
        <f t="shared" si="393"/>
        <v>2682.2392904516382</v>
      </c>
      <c r="L496" s="517">
        <f t="shared" si="393"/>
        <v>1945.2354102528363</v>
      </c>
      <c r="M496" s="517">
        <f t="shared" si="393"/>
        <v>1808.2686253593124</v>
      </c>
      <c r="N496" s="517">
        <f t="shared" si="393"/>
        <v>1821.05056884544</v>
      </c>
      <c r="O496" s="517">
        <f t="shared" si="393"/>
        <v>1928.0189149449911</v>
      </c>
      <c r="P496" s="511">
        <f t="shared" si="383"/>
        <v>-6.8212102632969618E-12</v>
      </c>
      <c r="Q496" s="530">
        <v>873</v>
      </c>
      <c r="R496" s="480"/>
      <c r="U496" s="513"/>
    </row>
    <row r="497" spans="1:21" s="479" customFormat="1" ht="18" x14ac:dyDescent="0.15">
      <c r="A497" s="579"/>
      <c r="B497" s="518" t="s">
        <v>253</v>
      </c>
      <c r="C497" s="517">
        <f>'FOND GASO Y D'!Q46</f>
        <v>0</v>
      </c>
      <c r="D497" s="517">
        <f t="shared" ref="D497:O497" si="394">$C497*D$29%</f>
        <v>0</v>
      </c>
      <c r="E497" s="517">
        <f t="shared" si="394"/>
        <v>0</v>
      </c>
      <c r="F497" s="517">
        <f t="shared" si="394"/>
        <v>0</v>
      </c>
      <c r="G497" s="517">
        <f t="shared" si="394"/>
        <v>0</v>
      </c>
      <c r="H497" s="517">
        <f t="shared" si="394"/>
        <v>0</v>
      </c>
      <c r="I497" s="517">
        <f t="shared" si="394"/>
        <v>0</v>
      </c>
      <c r="J497" s="517">
        <f t="shared" si="394"/>
        <v>0</v>
      </c>
      <c r="K497" s="517">
        <f t="shared" si="394"/>
        <v>0</v>
      </c>
      <c r="L497" s="517">
        <f t="shared" si="394"/>
        <v>0</v>
      </c>
      <c r="M497" s="517">
        <f t="shared" si="394"/>
        <v>0</v>
      </c>
      <c r="N497" s="517">
        <f t="shared" si="394"/>
        <v>0</v>
      </c>
      <c r="O497" s="517">
        <f t="shared" si="394"/>
        <v>0</v>
      </c>
      <c r="P497" s="511">
        <f t="shared" si="383"/>
        <v>0</v>
      </c>
      <c r="Q497" s="530">
        <v>34716</v>
      </c>
      <c r="R497" s="480"/>
      <c r="U497" s="513"/>
    </row>
    <row r="498" spans="1:21" s="479" customFormat="1" ht="18" x14ac:dyDescent="0.15">
      <c r="A498" s="579"/>
      <c r="B498" s="528" t="s">
        <v>408</v>
      </c>
      <c r="C498" s="519">
        <f>'FOND GASO Y D'!H46</f>
        <v>1124428.0883314232</v>
      </c>
      <c r="D498" s="517">
        <f t="shared" ref="D498:O498" si="395">$C498*D$30%</f>
        <v>87470.163479773677</v>
      </c>
      <c r="E498" s="517">
        <f t="shared" si="395"/>
        <v>96171.454016143864</v>
      </c>
      <c r="F498" s="517">
        <f t="shared" si="395"/>
        <v>93632.833276585501</v>
      </c>
      <c r="G498" s="517">
        <f t="shared" si="395"/>
        <v>87246.293159952023</v>
      </c>
      <c r="H498" s="517">
        <f t="shared" si="395"/>
        <v>96132.944523140293</v>
      </c>
      <c r="I498" s="517">
        <f t="shared" si="395"/>
        <v>92779.714351018163</v>
      </c>
      <c r="J498" s="517">
        <f t="shared" si="395"/>
        <v>94714.042561309077</v>
      </c>
      <c r="K498" s="517">
        <f t="shared" si="395"/>
        <v>94657.760615435371</v>
      </c>
      <c r="L498" s="517">
        <f t="shared" si="395"/>
        <v>98502.718420963283</v>
      </c>
      <c r="M498" s="517">
        <f t="shared" si="395"/>
        <v>97637.751194232173</v>
      </c>
      <c r="N498" s="517">
        <f t="shared" si="395"/>
        <v>91251.211077598724</v>
      </c>
      <c r="O498" s="517">
        <f t="shared" si="395"/>
        <v>94231.201656395497</v>
      </c>
      <c r="P498" s="511">
        <f t="shared" si="383"/>
        <v>-1.1243391782045364E-6</v>
      </c>
      <c r="Q498" s="530">
        <v>68718</v>
      </c>
      <c r="R498" s="480"/>
      <c r="U498" s="513"/>
    </row>
    <row r="499" spans="1:21" s="479" customFormat="1" x14ac:dyDescent="0.15">
      <c r="A499" s="579"/>
      <c r="B499" s="534"/>
      <c r="C499" s="521"/>
      <c r="D499" s="522"/>
      <c r="E499" s="522"/>
      <c r="F499" s="522"/>
      <c r="G499" s="522"/>
      <c r="H499" s="522"/>
      <c r="I499" s="522"/>
      <c r="J499" s="522"/>
      <c r="K499" s="522"/>
      <c r="L499" s="522"/>
      <c r="M499" s="522"/>
      <c r="N499" s="522"/>
      <c r="O499" s="522"/>
      <c r="P499" s="511">
        <f t="shared" si="383"/>
        <v>0</v>
      </c>
      <c r="Q499" s="530">
        <v>0</v>
      </c>
      <c r="R499" s="480"/>
      <c r="U499" s="513"/>
    </row>
    <row r="500" spans="1:21" s="479" customFormat="1" x14ac:dyDescent="0.15">
      <c r="A500" s="590"/>
      <c r="B500" s="536"/>
      <c r="C500" s="522"/>
      <c r="D500" s="522"/>
      <c r="E500" s="522"/>
      <c r="F500" s="522"/>
      <c r="G500" s="522"/>
      <c r="H500" s="522"/>
      <c r="I500" s="522"/>
      <c r="J500" s="522"/>
      <c r="K500" s="522"/>
      <c r="L500" s="522"/>
      <c r="M500" s="522"/>
      <c r="N500" s="522"/>
      <c r="O500" s="522"/>
      <c r="P500" s="511">
        <f t="shared" si="383"/>
        <v>0</v>
      </c>
      <c r="Q500" s="530">
        <v>0</v>
      </c>
      <c r="R500" s="480"/>
      <c r="U500" s="513"/>
    </row>
    <row r="501" spans="1:21" s="479" customFormat="1" x14ac:dyDescent="0.15">
      <c r="A501" s="576">
        <v>32</v>
      </c>
      <c r="B501" s="533" t="s">
        <v>83</v>
      </c>
      <c r="C501" s="524">
        <f t="shared" ref="C501:O501" si="396">SUM(C502:C513)</f>
        <v>37239671.555151843</v>
      </c>
      <c r="D501" s="524">
        <f t="shared" si="396"/>
        <v>2906299.8376572956</v>
      </c>
      <c r="E501" s="524">
        <f t="shared" si="396"/>
        <v>3928296.2304198267</v>
      </c>
      <c r="F501" s="524">
        <f t="shared" si="396"/>
        <v>2591537.8860451411</v>
      </c>
      <c r="G501" s="524">
        <f t="shared" si="396"/>
        <v>3307658.0403740392</v>
      </c>
      <c r="H501" s="524">
        <f t="shared" si="396"/>
        <v>3755687.6897278116</v>
      </c>
      <c r="I501" s="524">
        <f t="shared" si="396"/>
        <v>3681666.7026388831</v>
      </c>
      <c r="J501" s="524">
        <f t="shared" si="396"/>
        <v>3178785.4146578256</v>
      </c>
      <c r="K501" s="524">
        <f t="shared" si="396"/>
        <v>3090005.0801971485</v>
      </c>
      <c r="L501" s="524">
        <f t="shared" si="396"/>
        <v>2923963.0050278842</v>
      </c>
      <c r="M501" s="524">
        <f t="shared" si="396"/>
        <v>2167045.7646458582</v>
      </c>
      <c r="N501" s="524">
        <f t="shared" si="396"/>
        <v>2837279.3584390148</v>
      </c>
      <c r="O501" s="524">
        <f t="shared" si="396"/>
        <v>2871446.5452109831</v>
      </c>
      <c r="P501" s="511">
        <f t="shared" si="383"/>
        <v>1.1013168841600418E-4</v>
      </c>
      <c r="Q501" s="530">
        <v>2273714</v>
      </c>
      <c r="R501" s="480"/>
      <c r="T501" s="512"/>
      <c r="U501" s="513"/>
    </row>
    <row r="502" spans="1:21" s="479" customFormat="1" x14ac:dyDescent="0.15">
      <c r="A502" s="579"/>
      <c r="B502" s="528" t="s">
        <v>294</v>
      </c>
      <c r="C502" s="517">
        <f>'FG1'!I47</f>
        <v>26071828.022101816</v>
      </c>
      <c r="D502" s="517">
        <f t="shared" ref="D502:O502" si="397">$C502*D$19%</f>
        <v>1971934.8540637714</v>
      </c>
      <c r="E502" s="517">
        <f t="shared" si="397"/>
        <v>2825289.0863759504</v>
      </c>
      <c r="F502" s="517">
        <f t="shared" si="397"/>
        <v>1826254.8788827823</v>
      </c>
      <c r="G502" s="517">
        <f t="shared" si="397"/>
        <v>2243369.0826844885</v>
      </c>
      <c r="H502" s="517">
        <f t="shared" si="397"/>
        <v>2739643.832420873</v>
      </c>
      <c r="I502" s="517">
        <f t="shared" si="397"/>
        <v>2685817.8736579097</v>
      </c>
      <c r="J502" s="517">
        <f t="shared" si="397"/>
        <v>2082055.6691814314</v>
      </c>
      <c r="K502" s="517">
        <f t="shared" si="397"/>
        <v>2210590.811975827</v>
      </c>
      <c r="L502" s="517">
        <f t="shared" si="397"/>
        <v>2077407.0643829808</v>
      </c>
      <c r="M502" s="517">
        <f t="shared" si="397"/>
        <v>1377161.2317299494</v>
      </c>
      <c r="N502" s="517">
        <f t="shared" si="397"/>
        <v>2009896.6229749995</v>
      </c>
      <c r="O502" s="517">
        <f t="shared" si="397"/>
        <v>2022407.0137447815</v>
      </c>
      <c r="P502" s="511">
        <f t="shared" si="383"/>
        <v>2.6072841137647629E-5</v>
      </c>
      <c r="Q502" s="530">
        <v>1557862</v>
      </c>
      <c r="R502" s="480"/>
      <c r="U502" s="513"/>
    </row>
    <row r="503" spans="1:21" s="479" customFormat="1" x14ac:dyDescent="0.15">
      <c r="A503" s="579"/>
      <c r="B503" s="528" t="s">
        <v>296</v>
      </c>
      <c r="C503" s="517">
        <f>FFM!J47</f>
        <v>7008000.3632060438</v>
      </c>
      <c r="D503" s="517">
        <f t="shared" ref="D503:O503" si="398">$C503*D$20%</f>
        <v>529966.99216630147</v>
      </c>
      <c r="E503" s="517">
        <f t="shared" si="398"/>
        <v>759793.79263127805</v>
      </c>
      <c r="F503" s="517">
        <f t="shared" si="398"/>
        <v>490732.21803424333</v>
      </c>
      <c r="G503" s="517">
        <f t="shared" si="398"/>
        <v>603070.1180606744</v>
      </c>
      <c r="H503" s="517">
        <f t="shared" si="398"/>
        <v>736727.67039041419</v>
      </c>
      <c r="I503" s="517">
        <f t="shared" si="398"/>
        <v>722231.17030287522</v>
      </c>
      <c r="J503" s="517">
        <f t="shared" si="398"/>
        <v>559575.85144677002</v>
      </c>
      <c r="K503" s="517">
        <f t="shared" si="398"/>
        <v>594193.15298735676</v>
      </c>
      <c r="L503" s="517">
        <f t="shared" si="398"/>
        <v>558323.87837695563</v>
      </c>
      <c r="M503" s="517">
        <f t="shared" si="398"/>
        <v>369732.48972257285</v>
      </c>
      <c r="N503" s="517">
        <f t="shared" si="398"/>
        <v>540141.85413526953</v>
      </c>
      <c r="O503" s="517">
        <f t="shared" si="398"/>
        <v>543511.17486723652</v>
      </c>
      <c r="P503" s="511">
        <f t="shared" si="383"/>
        <v>8.4096333011984825E-5</v>
      </c>
      <c r="Q503" s="530">
        <v>476966</v>
      </c>
      <c r="R503" s="480"/>
      <c r="U503" s="513"/>
    </row>
    <row r="504" spans="1:21" s="479" customFormat="1" ht="18" x14ac:dyDescent="0.15">
      <c r="A504" s="579"/>
      <c r="B504" s="528" t="s">
        <v>297</v>
      </c>
      <c r="C504" s="517">
        <f>IEPS!I46</f>
        <v>630521.10485807178</v>
      </c>
      <c r="D504" s="517">
        <f t="shared" ref="D504:O504" si="399">$C504*D$21%</f>
        <v>44287.689495294624</v>
      </c>
      <c r="E504" s="517">
        <f t="shared" si="399"/>
        <v>101228.66763316399</v>
      </c>
      <c r="F504" s="517">
        <f t="shared" si="399"/>
        <v>42046.320574946301</v>
      </c>
      <c r="G504" s="517">
        <f t="shared" si="399"/>
        <v>40863.135780240926</v>
      </c>
      <c r="H504" s="517">
        <f t="shared" si="399"/>
        <v>45115.14988992799</v>
      </c>
      <c r="I504" s="517">
        <f t="shared" si="399"/>
        <v>46785.309258276771</v>
      </c>
      <c r="J504" s="517">
        <f t="shared" si="399"/>
        <v>48180.219853339826</v>
      </c>
      <c r="K504" s="517">
        <f t="shared" si="399"/>
        <v>53369.578300257781</v>
      </c>
      <c r="L504" s="517">
        <f t="shared" si="399"/>
        <v>53481.411837440806</v>
      </c>
      <c r="M504" s="517">
        <f t="shared" si="399"/>
        <v>52887.005855988835</v>
      </c>
      <c r="N504" s="517">
        <f t="shared" si="399"/>
        <v>51177.122650461264</v>
      </c>
      <c r="O504" s="517">
        <f t="shared" si="399"/>
        <v>51099.493728102119</v>
      </c>
      <c r="P504" s="511">
        <f t="shared" si="383"/>
        <v>6.3057814259082079E-7</v>
      </c>
      <c r="Q504" s="530">
        <v>40233</v>
      </c>
      <c r="R504" s="480"/>
      <c r="U504" s="513"/>
    </row>
    <row r="505" spans="1:21" s="479" customFormat="1" x14ac:dyDescent="0.15">
      <c r="A505" s="579"/>
      <c r="B505" s="528" t="s">
        <v>236</v>
      </c>
      <c r="C505" s="517">
        <f>ISR!C37</f>
        <v>613380.44999999995</v>
      </c>
      <c r="D505" s="517">
        <f>ISR!D37</f>
        <v>52146.445020371211</v>
      </c>
      <c r="E505" s="517">
        <f>ISR!E37</f>
        <v>49634.232504182153</v>
      </c>
      <c r="F505" s="517">
        <f>ISR!F37</f>
        <v>51868.489074745536</v>
      </c>
      <c r="G505" s="517">
        <f>ISR!G37</f>
        <v>51299.846376824389</v>
      </c>
      <c r="H505" s="517">
        <f>ISR!H37</f>
        <v>51160.86840401157</v>
      </c>
      <c r="I505" s="517">
        <f>ISR!I37</f>
        <v>51130.314468003846</v>
      </c>
      <c r="J505" s="517">
        <f>ISR!J37</f>
        <v>51099.760531996166</v>
      </c>
      <c r="K505" s="517">
        <f>ISR!K37</f>
        <v>51069.206595988442</v>
      </c>
      <c r="L505" s="517">
        <f>ISR!L37</f>
        <v>51038.652659980762</v>
      </c>
      <c r="M505" s="517">
        <f>ISR!M37</f>
        <v>51008.098723973024</v>
      </c>
      <c r="N505" s="517">
        <f>ISR!N37</f>
        <v>50977.5447879653</v>
      </c>
      <c r="O505" s="517">
        <f>ISR!O37</f>
        <v>50946.99085195762</v>
      </c>
      <c r="P505" s="511">
        <f t="shared" si="383"/>
        <v>-1.4551915228366852E-10</v>
      </c>
      <c r="Q505" s="530">
        <v>0</v>
      </c>
      <c r="R505" s="480"/>
      <c r="U505" s="513"/>
    </row>
    <row r="506" spans="1:21" s="479" customFormat="1" ht="18" x14ac:dyDescent="0.15">
      <c r="A506" s="579"/>
      <c r="B506" s="528" t="s">
        <v>298</v>
      </c>
      <c r="C506" s="517">
        <f>FOFIR!I46</f>
        <v>1219424.7135783974</v>
      </c>
      <c r="D506" s="517">
        <f t="shared" ref="D506:O506" si="400">$C506*D$23%</f>
        <v>166714.25404790611</v>
      </c>
      <c r="E506" s="517">
        <f t="shared" si="400"/>
        <v>42415.576023141373</v>
      </c>
      <c r="F506" s="517">
        <f t="shared" si="400"/>
        <v>42415.576023141373</v>
      </c>
      <c r="G506" s="517">
        <f t="shared" si="400"/>
        <v>239365.27965880031</v>
      </c>
      <c r="H506" s="517">
        <f t="shared" si="400"/>
        <v>42415.576023141373</v>
      </c>
      <c r="I506" s="517">
        <f t="shared" si="400"/>
        <v>42415.576023141373</v>
      </c>
      <c r="J506" s="517">
        <f t="shared" si="400"/>
        <v>297731.83854604495</v>
      </c>
      <c r="K506" s="517">
        <f t="shared" si="400"/>
        <v>42415.576023141373</v>
      </c>
      <c r="L506" s="517">
        <f t="shared" si="400"/>
        <v>42415.576023141373</v>
      </c>
      <c r="M506" s="517">
        <f t="shared" si="400"/>
        <v>176288.73314539273</v>
      </c>
      <c r="N506" s="517">
        <f t="shared" si="400"/>
        <v>42415.576023141373</v>
      </c>
      <c r="O506" s="517">
        <f t="shared" si="400"/>
        <v>42415.576023141373</v>
      </c>
      <c r="P506" s="511">
        <f t="shared" si="383"/>
        <v>-4.8777146730571985E-6</v>
      </c>
      <c r="Q506" s="530">
        <v>47389</v>
      </c>
      <c r="R506" s="480"/>
      <c r="U506" s="513"/>
    </row>
    <row r="507" spans="1:21" s="479" customFormat="1" ht="27" x14ac:dyDescent="0.15">
      <c r="A507" s="579"/>
      <c r="B507" s="528" t="s">
        <v>407</v>
      </c>
      <c r="C507" s="517">
        <f>FCISAN!I46</f>
        <v>77410.603630784026</v>
      </c>
      <c r="D507" s="517">
        <f t="shared" ref="D507:O507" si="401">$C507*D$24%</f>
        <v>6450.8836358728659</v>
      </c>
      <c r="E507" s="517">
        <f t="shared" si="401"/>
        <v>6450.8836358728659</v>
      </c>
      <c r="F507" s="517">
        <f t="shared" si="401"/>
        <v>6450.8836358728659</v>
      </c>
      <c r="G507" s="517">
        <f t="shared" si="401"/>
        <v>6450.8836358728659</v>
      </c>
      <c r="H507" s="517">
        <f t="shared" si="401"/>
        <v>6450.8836358728659</v>
      </c>
      <c r="I507" s="517">
        <f t="shared" si="401"/>
        <v>6450.8836358728659</v>
      </c>
      <c r="J507" s="517">
        <f t="shared" si="401"/>
        <v>6450.8836358728659</v>
      </c>
      <c r="K507" s="517">
        <f t="shared" si="401"/>
        <v>6450.8836358728659</v>
      </c>
      <c r="L507" s="517">
        <f t="shared" si="401"/>
        <v>6450.8836358728659</v>
      </c>
      <c r="M507" s="517">
        <f t="shared" si="401"/>
        <v>6450.8836358728659</v>
      </c>
      <c r="N507" s="517">
        <f t="shared" si="401"/>
        <v>6450.8836358728659</v>
      </c>
      <c r="O507" s="517">
        <f t="shared" si="401"/>
        <v>6450.8836358728659</v>
      </c>
      <c r="P507" s="511">
        <f t="shared" si="383"/>
        <v>3.0964292818680406E-7</v>
      </c>
      <c r="Q507" s="530">
        <v>5635</v>
      </c>
      <c r="R507" s="480"/>
      <c r="U507" s="513"/>
    </row>
    <row r="508" spans="1:21" s="479" customFormat="1" ht="27" x14ac:dyDescent="0.15">
      <c r="A508" s="579"/>
      <c r="B508" s="528" t="s">
        <v>242</v>
      </c>
      <c r="C508" s="517">
        <f>ISAN!I46</f>
        <v>386675.04349828855</v>
      </c>
      <c r="D508" s="517">
        <f t="shared" ref="D508:O508" si="402">$C508*D$25%</f>
        <v>37211.1343757266</v>
      </c>
      <c r="E508" s="517">
        <f t="shared" si="402"/>
        <v>41560.95131068823</v>
      </c>
      <c r="F508" s="517">
        <f t="shared" si="402"/>
        <v>32254.967729529522</v>
      </c>
      <c r="G508" s="517">
        <f t="shared" si="402"/>
        <v>29935.93717625715</v>
      </c>
      <c r="H508" s="517">
        <f t="shared" si="402"/>
        <v>32008.135299333364</v>
      </c>
      <c r="I508" s="517">
        <f t="shared" si="402"/>
        <v>27800.039437688363</v>
      </c>
      <c r="J508" s="517">
        <f t="shared" si="402"/>
        <v>30117.080323977083</v>
      </c>
      <c r="K508" s="517">
        <f t="shared" si="402"/>
        <v>31058.626432370289</v>
      </c>
      <c r="L508" s="517">
        <f t="shared" si="402"/>
        <v>30519.177959199882</v>
      </c>
      <c r="M508" s="517">
        <f t="shared" si="402"/>
        <v>31267.63800835823</v>
      </c>
      <c r="N508" s="517">
        <f t="shared" si="402"/>
        <v>30274.336014191776</v>
      </c>
      <c r="O508" s="517">
        <f t="shared" si="402"/>
        <v>32667.019426327959</v>
      </c>
      <c r="P508" s="511">
        <f t="shared" si="383"/>
        <v>4.6400673454627395E-6</v>
      </c>
      <c r="Q508" s="530">
        <v>24215</v>
      </c>
      <c r="R508" s="480"/>
      <c r="U508" s="513"/>
    </row>
    <row r="509" spans="1:21" s="479" customFormat="1" ht="18" x14ac:dyDescent="0.15">
      <c r="A509" s="579"/>
      <c r="B509" s="528" t="s">
        <v>403</v>
      </c>
      <c r="C509" s="517">
        <f>LOT!I46</f>
        <v>18717.776906129959</v>
      </c>
      <c r="D509" s="517">
        <f t="shared" ref="D509:O509" si="403">$C509*D$26%</f>
        <v>1415.2583920207894</v>
      </c>
      <c r="E509" s="517">
        <f t="shared" si="403"/>
        <v>1395.1980462910158</v>
      </c>
      <c r="F509" s="517">
        <f t="shared" si="403"/>
        <v>1371.3084227219965</v>
      </c>
      <c r="G509" s="517">
        <f t="shared" si="403"/>
        <v>1508.7454738010224</v>
      </c>
      <c r="H509" s="517">
        <f t="shared" si="403"/>
        <v>1234.4284181492883</v>
      </c>
      <c r="I509" s="517">
        <f t="shared" si="403"/>
        <v>1675.1822996908265</v>
      </c>
      <c r="J509" s="517">
        <f t="shared" si="403"/>
        <v>3844.5415765992711</v>
      </c>
      <c r="K509" s="517">
        <f t="shared" si="403"/>
        <v>1399.5510145660892</v>
      </c>
      <c r="L509" s="517">
        <f t="shared" si="403"/>
        <v>1698.1813159550502</v>
      </c>
      <c r="M509" s="517">
        <f t="shared" si="403"/>
        <v>1051.4069499244408</v>
      </c>
      <c r="N509" s="517">
        <f t="shared" si="403"/>
        <v>1061.987498092778</v>
      </c>
      <c r="O509" s="517">
        <f t="shared" si="403"/>
        <v>1061.987498092778</v>
      </c>
      <c r="P509" s="511">
        <f t="shared" si="383"/>
        <v>2.2461154003394768E-7</v>
      </c>
      <c r="Q509" s="530">
        <v>1182</v>
      </c>
      <c r="R509" s="480"/>
      <c r="U509" s="513"/>
    </row>
    <row r="510" spans="1:21" s="479" customFormat="1" ht="45" x14ac:dyDescent="0.15">
      <c r="A510" s="579"/>
      <c r="B510" s="518" t="s">
        <v>301</v>
      </c>
      <c r="C510" s="517">
        <f>'ENAJENAC DE INMUE'!I46</f>
        <v>73600.520575453178</v>
      </c>
      <c r="D510" s="517">
        <f t="shared" ref="D510:O510" si="404">$C510*D$27%</f>
        <v>3178.4913002437343</v>
      </c>
      <c r="E510" s="517">
        <f t="shared" si="404"/>
        <v>3225.3072925533943</v>
      </c>
      <c r="F510" s="517">
        <f t="shared" si="404"/>
        <v>3181.8258367440653</v>
      </c>
      <c r="G510" s="517">
        <f t="shared" si="404"/>
        <v>3163.1875872775872</v>
      </c>
      <c r="H510" s="517">
        <f t="shared" si="404"/>
        <v>4387.945275875597</v>
      </c>
      <c r="I510" s="517">
        <f t="shared" si="404"/>
        <v>3158.3446730237224</v>
      </c>
      <c r="J510" s="517">
        <f t="shared" si="404"/>
        <v>3629.8192172029826</v>
      </c>
      <c r="K510" s="517">
        <f t="shared" si="404"/>
        <v>3626.0829084145221</v>
      </c>
      <c r="L510" s="517">
        <f t="shared" si="404"/>
        <v>3621.4893700204898</v>
      </c>
      <c r="M510" s="517">
        <f t="shared" si="404"/>
        <v>3162.6697859767855</v>
      </c>
      <c r="N510" s="517">
        <f t="shared" si="404"/>
        <v>13149.217898330384</v>
      </c>
      <c r="O510" s="517">
        <f t="shared" si="404"/>
        <v>26116.13942964271</v>
      </c>
      <c r="P510" s="511">
        <f t="shared" si="383"/>
        <v>1.4720717445015907E-7</v>
      </c>
      <c r="Q510" s="530">
        <v>17261</v>
      </c>
      <c r="R510" s="480"/>
      <c r="U510" s="513"/>
    </row>
    <row r="511" spans="1:21" s="479" customFormat="1" ht="27" x14ac:dyDescent="0.15">
      <c r="A511" s="579"/>
      <c r="B511" s="518" t="s">
        <v>248</v>
      </c>
      <c r="C511" s="517">
        <f>'IMP BEBIDAS AL'!I46</f>
        <v>28766.972819507737</v>
      </c>
      <c r="D511" s="517">
        <f t="shared" ref="D511:O511" si="405">$C511*D$28%</f>
        <v>6541.3390776751658</v>
      </c>
      <c r="E511" s="517">
        <f t="shared" si="405"/>
        <v>2249.9830932394152</v>
      </c>
      <c r="F511" s="517">
        <f t="shared" si="405"/>
        <v>2417.9512359693604</v>
      </c>
      <c r="G511" s="517">
        <f t="shared" si="405"/>
        <v>2400.5935690747806</v>
      </c>
      <c r="H511" s="517">
        <f t="shared" si="405"/>
        <v>1528.7095529121314</v>
      </c>
      <c r="I511" s="517">
        <f t="shared" si="405"/>
        <v>2501.7356425366802</v>
      </c>
      <c r="J511" s="517">
        <f t="shared" si="405"/>
        <v>2487.6537426917093</v>
      </c>
      <c r="K511" s="517">
        <f t="shared" si="405"/>
        <v>2275.1408577435955</v>
      </c>
      <c r="L511" s="517">
        <f t="shared" si="405"/>
        <v>1649.9961713149955</v>
      </c>
      <c r="M511" s="517">
        <f t="shared" si="405"/>
        <v>1533.81760008373</v>
      </c>
      <c r="N511" s="517">
        <f t="shared" si="405"/>
        <v>1544.6595566422598</v>
      </c>
      <c r="O511" s="517">
        <f t="shared" si="405"/>
        <v>1635.3927196239147</v>
      </c>
      <c r="P511" s="511">
        <f t="shared" si="383"/>
        <v>0</v>
      </c>
      <c r="Q511" s="530">
        <v>738</v>
      </c>
      <c r="R511" s="480"/>
      <c r="U511" s="513"/>
    </row>
    <row r="512" spans="1:21" s="479" customFormat="1" ht="18" x14ac:dyDescent="0.15">
      <c r="A512" s="579"/>
      <c r="B512" s="518" t="s">
        <v>253</v>
      </c>
      <c r="C512" s="517">
        <f>'FOND GASO Y D'!Q47</f>
        <v>0</v>
      </c>
      <c r="D512" s="517">
        <f t="shared" ref="D512:O512" si="406">$C512*D$29%</f>
        <v>0</v>
      </c>
      <c r="E512" s="517">
        <f t="shared" si="406"/>
        <v>0</v>
      </c>
      <c r="F512" s="517">
        <f t="shared" si="406"/>
        <v>0</v>
      </c>
      <c r="G512" s="517">
        <f t="shared" si="406"/>
        <v>0</v>
      </c>
      <c r="H512" s="517">
        <f t="shared" si="406"/>
        <v>0</v>
      </c>
      <c r="I512" s="517">
        <f t="shared" si="406"/>
        <v>0</v>
      </c>
      <c r="J512" s="517">
        <f t="shared" si="406"/>
        <v>0</v>
      </c>
      <c r="K512" s="517">
        <f t="shared" si="406"/>
        <v>0</v>
      </c>
      <c r="L512" s="517">
        <f t="shared" si="406"/>
        <v>0</v>
      </c>
      <c r="M512" s="517">
        <f t="shared" si="406"/>
        <v>0</v>
      </c>
      <c r="N512" s="517">
        <f t="shared" si="406"/>
        <v>0</v>
      </c>
      <c r="O512" s="517">
        <f t="shared" si="406"/>
        <v>0</v>
      </c>
      <c r="P512" s="511">
        <f t="shared" si="383"/>
        <v>0</v>
      </c>
      <c r="Q512" s="530">
        <v>34314</v>
      </c>
      <c r="R512" s="480"/>
      <c r="U512" s="513"/>
    </row>
    <row r="513" spans="1:21" s="479" customFormat="1" ht="18" x14ac:dyDescent="0.15">
      <c r="A513" s="579"/>
      <c r="B513" s="528" t="s">
        <v>408</v>
      </c>
      <c r="C513" s="519">
        <f>'FOND GASO Y D'!H47</f>
        <v>1111345.9839773467</v>
      </c>
      <c r="D513" s="517">
        <f t="shared" ref="D513:O513" si="407">$C513*D$30%</f>
        <v>86452.496082111466</v>
      </c>
      <c r="E513" s="517">
        <f t="shared" si="407"/>
        <v>95052.551873464879</v>
      </c>
      <c r="F513" s="517">
        <f t="shared" si="407"/>
        <v>92543.466594444151</v>
      </c>
      <c r="G513" s="517">
        <f t="shared" si="407"/>
        <v>86231.230370726829</v>
      </c>
      <c r="H513" s="517">
        <f t="shared" si="407"/>
        <v>95014.490417300054</v>
      </c>
      <c r="I513" s="517">
        <f t="shared" si="407"/>
        <v>91700.273239863993</v>
      </c>
      <c r="J513" s="517">
        <f t="shared" si="407"/>
        <v>93612.096601899451</v>
      </c>
      <c r="K513" s="517">
        <f t="shared" si="407"/>
        <v>93556.46946561012</v>
      </c>
      <c r="L513" s="517">
        <f t="shared" si="407"/>
        <v>97356.693295020828</v>
      </c>
      <c r="M513" s="517">
        <f t="shared" si="407"/>
        <v>96501.789487765258</v>
      </c>
      <c r="N513" s="517">
        <f t="shared" si="407"/>
        <v>90189.553264047951</v>
      </c>
      <c r="O513" s="517">
        <f t="shared" si="407"/>
        <v>93134.873286203059</v>
      </c>
      <c r="P513" s="511">
        <f t="shared" si="383"/>
        <v>-1.1113152140751481E-6</v>
      </c>
      <c r="Q513" s="530">
        <v>67919</v>
      </c>
      <c r="R513" s="480"/>
      <c r="U513" s="513"/>
    </row>
    <row r="514" spans="1:21" s="479" customFormat="1" x14ac:dyDescent="0.15">
      <c r="A514" s="579"/>
      <c r="B514" s="534"/>
      <c r="C514" s="521"/>
      <c r="D514" s="522"/>
      <c r="E514" s="522"/>
      <c r="F514" s="522"/>
      <c r="G514" s="522"/>
      <c r="H514" s="522"/>
      <c r="I514" s="522"/>
      <c r="J514" s="522"/>
      <c r="K514" s="522"/>
      <c r="L514" s="522"/>
      <c r="M514" s="522"/>
      <c r="N514" s="522"/>
      <c r="O514" s="522"/>
      <c r="P514" s="511">
        <f t="shared" si="383"/>
        <v>0</v>
      </c>
      <c r="Q514" s="530">
        <v>0</v>
      </c>
      <c r="R514" s="480"/>
      <c r="U514" s="513"/>
    </row>
    <row r="515" spans="1:21" s="479" customFormat="1" x14ac:dyDescent="0.15">
      <c r="A515" s="591"/>
      <c r="B515" s="532"/>
      <c r="C515" s="521"/>
      <c r="D515" s="521"/>
      <c r="E515" s="521"/>
      <c r="F515" s="521"/>
      <c r="G515" s="521"/>
      <c r="H515" s="521"/>
      <c r="I515" s="521"/>
      <c r="J515" s="521"/>
      <c r="K515" s="521"/>
      <c r="L515" s="521"/>
      <c r="M515" s="521"/>
      <c r="N515" s="521"/>
      <c r="O515" s="521"/>
      <c r="P515" s="511">
        <f t="shared" si="383"/>
        <v>0</v>
      </c>
      <c r="Q515" s="530">
        <v>0</v>
      </c>
      <c r="R515" s="480"/>
      <c r="U515" s="513"/>
    </row>
    <row r="516" spans="1:21" s="479" customFormat="1" x14ac:dyDescent="0.15">
      <c r="A516" s="576">
        <v>33</v>
      </c>
      <c r="B516" s="533" t="s">
        <v>108</v>
      </c>
      <c r="C516" s="524">
        <f t="shared" ref="C516:O516" si="408">SUM(C517:C528)</f>
        <v>50023025.650663354</v>
      </c>
      <c r="D516" s="524">
        <f t="shared" si="408"/>
        <v>3914435.7982498505</v>
      </c>
      <c r="E516" s="524">
        <f t="shared" si="408"/>
        <v>5231938.7073171763</v>
      </c>
      <c r="F516" s="524">
        <f t="shared" si="408"/>
        <v>3508997.4092952129</v>
      </c>
      <c r="G516" s="524">
        <f t="shared" si="408"/>
        <v>4432084.1167205488</v>
      </c>
      <c r="H516" s="524">
        <f t="shared" si="408"/>
        <v>5007837.6720873434</v>
      </c>
      <c r="I516" s="524">
        <f t="shared" si="408"/>
        <v>4913000.6572549781</v>
      </c>
      <c r="J516" s="524">
        <f t="shared" si="408"/>
        <v>4265627.9341313085</v>
      </c>
      <c r="K516" s="524">
        <f t="shared" si="408"/>
        <v>4151416.7592577976</v>
      </c>
      <c r="L516" s="524">
        <f t="shared" si="408"/>
        <v>3937323.6337498315</v>
      </c>
      <c r="M516" s="524">
        <f t="shared" si="408"/>
        <v>2963338.2885451308</v>
      </c>
      <c r="N516" s="524">
        <f t="shared" si="408"/>
        <v>3826678.2066065734</v>
      </c>
      <c r="O516" s="524">
        <f t="shared" si="408"/>
        <v>3870346.4673057422</v>
      </c>
      <c r="P516" s="511">
        <f t="shared" si="383"/>
        <v>1.4186091721057892E-4</v>
      </c>
      <c r="Q516" s="530">
        <v>2931134</v>
      </c>
      <c r="R516" s="480"/>
      <c r="T516" s="512"/>
      <c r="U516" s="513"/>
    </row>
    <row r="517" spans="1:21" s="479" customFormat="1" x14ac:dyDescent="0.15">
      <c r="A517" s="579"/>
      <c r="B517" s="528" t="s">
        <v>294</v>
      </c>
      <c r="C517" s="517">
        <f>'FG1'!I48</f>
        <v>33553468.701093927</v>
      </c>
      <c r="D517" s="517">
        <f t="shared" ref="D517:O517" si="409">$C517*D$19%</f>
        <v>2537806.4917555777</v>
      </c>
      <c r="E517" s="517">
        <f t="shared" si="409"/>
        <v>3636041.5100504109</v>
      </c>
      <c r="F517" s="517">
        <f t="shared" si="409"/>
        <v>2350321.8058537031</v>
      </c>
      <c r="G517" s="517">
        <f t="shared" si="409"/>
        <v>2887132.2040420375</v>
      </c>
      <c r="H517" s="517">
        <f t="shared" si="409"/>
        <v>3525819.2676536441</v>
      </c>
      <c r="I517" s="517">
        <f t="shared" si="409"/>
        <v>3456547.2694980707</v>
      </c>
      <c r="J517" s="517">
        <f t="shared" si="409"/>
        <v>2679527.8670368604</v>
      </c>
      <c r="K517" s="517">
        <f t="shared" si="409"/>
        <v>2844947.7941354252</v>
      </c>
      <c r="L517" s="517">
        <f t="shared" si="409"/>
        <v>2673545.2863188405</v>
      </c>
      <c r="M517" s="517">
        <f t="shared" si="409"/>
        <v>1772355.058726168</v>
      </c>
      <c r="N517" s="517">
        <f t="shared" si="409"/>
        <v>2586661.8702093349</v>
      </c>
      <c r="O517" s="517">
        <f t="shared" si="409"/>
        <v>2602762.2757803015</v>
      </c>
      <c r="P517" s="511">
        <f t="shared" si="383"/>
        <v>3.3552292734384537E-5</v>
      </c>
      <c r="Q517" s="530">
        <v>2016999</v>
      </c>
      <c r="R517" s="480"/>
      <c r="U517" s="513"/>
    </row>
    <row r="518" spans="1:21" s="479" customFormat="1" x14ac:dyDescent="0.15">
      <c r="A518" s="579"/>
      <c r="B518" s="528" t="s">
        <v>296</v>
      </c>
      <c r="C518" s="517">
        <f>FFM!J48</f>
        <v>9019034.6700949352</v>
      </c>
      <c r="D518" s="517">
        <f t="shared" ref="D518:O518" si="410">$C518*D$20%</f>
        <v>682047.72098030103</v>
      </c>
      <c r="E518" s="517">
        <f t="shared" si="410"/>
        <v>977826.22755593923</v>
      </c>
      <c r="F518" s="517">
        <f t="shared" si="410"/>
        <v>631554.03236289753</v>
      </c>
      <c r="G518" s="517">
        <f t="shared" si="410"/>
        <v>776128.71309829166</v>
      </c>
      <c r="H518" s="517">
        <f t="shared" si="410"/>
        <v>948140.9899113701</v>
      </c>
      <c r="I518" s="517">
        <f t="shared" si="410"/>
        <v>929484.53584338899</v>
      </c>
      <c r="J518" s="517">
        <f t="shared" si="410"/>
        <v>720153.21677829791</v>
      </c>
      <c r="K518" s="517">
        <f t="shared" si="410"/>
        <v>764704.39066505968</v>
      </c>
      <c r="L518" s="517">
        <f t="shared" si="410"/>
        <v>718541.97420731199</v>
      </c>
      <c r="M518" s="517">
        <f t="shared" si="410"/>
        <v>475831.90220367879</v>
      </c>
      <c r="N518" s="517">
        <f t="shared" si="410"/>
        <v>695142.38823279692</v>
      </c>
      <c r="O518" s="517">
        <f t="shared" si="410"/>
        <v>699478.57814737305</v>
      </c>
      <c r="P518" s="511">
        <f t="shared" si="383"/>
        <v>1.0822794865816832E-4</v>
      </c>
      <c r="Q518" s="530">
        <v>617539</v>
      </c>
      <c r="R518" s="480"/>
      <c r="U518" s="513"/>
    </row>
    <row r="519" spans="1:21" s="479" customFormat="1" ht="18" x14ac:dyDescent="0.15">
      <c r="A519" s="579"/>
      <c r="B519" s="528" t="s">
        <v>297</v>
      </c>
      <c r="C519" s="517">
        <f>IEPS!I47</f>
        <v>811457.10762205883</v>
      </c>
      <c r="D519" s="517">
        <f t="shared" ref="D519:O519" si="411">$C519*D$21%</f>
        <v>56996.601928503318</v>
      </c>
      <c r="E519" s="517">
        <f t="shared" si="411"/>
        <v>130277.51365203236</v>
      </c>
      <c r="F519" s="517">
        <f t="shared" si="411"/>
        <v>54112.043858668003</v>
      </c>
      <c r="G519" s="517">
        <f t="shared" si="411"/>
        <v>52589.329228029055</v>
      </c>
      <c r="H519" s="517">
        <f t="shared" si="411"/>
        <v>58061.512545019694</v>
      </c>
      <c r="I519" s="517">
        <f t="shared" si="411"/>
        <v>60210.945260064582</v>
      </c>
      <c r="J519" s="517">
        <f t="shared" si="411"/>
        <v>62006.143086338801</v>
      </c>
      <c r="K519" s="517">
        <f t="shared" si="411"/>
        <v>68684.653549042516</v>
      </c>
      <c r="L519" s="517">
        <f t="shared" si="411"/>
        <v>68828.579133639898</v>
      </c>
      <c r="M519" s="517">
        <f t="shared" si="411"/>
        <v>68063.600840691506</v>
      </c>
      <c r="N519" s="517">
        <f t="shared" si="411"/>
        <v>65863.045031157963</v>
      </c>
      <c r="O519" s="517">
        <f t="shared" si="411"/>
        <v>65763.139508059641</v>
      </c>
      <c r="P519" s="511">
        <f t="shared" si="383"/>
        <v>8.1148755270987749E-7</v>
      </c>
      <c r="Q519" s="530">
        <v>52091</v>
      </c>
      <c r="R519" s="480"/>
      <c r="U519" s="513"/>
    </row>
    <row r="520" spans="1:21" s="479" customFormat="1" x14ac:dyDescent="0.15">
      <c r="A520" s="579"/>
      <c r="B520" s="528" t="s">
        <v>236</v>
      </c>
      <c r="C520" s="517">
        <f>ISR!C38</f>
        <v>3015762.75</v>
      </c>
      <c r="D520" s="517">
        <f>ISR!D38</f>
        <v>251313.56249999991</v>
      </c>
      <c r="E520" s="517">
        <f>ISR!E38</f>
        <v>251313.56249999991</v>
      </c>
      <c r="F520" s="517">
        <f>ISR!F38</f>
        <v>251313.56249999991</v>
      </c>
      <c r="G520" s="517">
        <f>ISR!G38</f>
        <v>251313.56249999991</v>
      </c>
      <c r="H520" s="517">
        <f>ISR!H38</f>
        <v>251313.56249999991</v>
      </c>
      <c r="I520" s="517">
        <f>ISR!I38</f>
        <v>251313.56249999991</v>
      </c>
      <c r="J520" s="517">
        <f>ISR!J38</f>
        <v>251313.56249999991</v>
      </c>
      <c r="K520" s="517">
        <f>ISR!K38</f>
        <v>251313.56249999991</v>
      </c>
      <c r="L520" s="517">
        <f>ISR!L38</f>
        <v>251313.56249999991</v>
      </c>
      <c r="M520" s="517">
        <f>ISR!M38</f>
        <v>251313.56249999991</v>
      </c>
      <c r="N520" s="517">
        <f>ISR!N38</f>
        <v>251313.56249999991</v>
      </c>
      <c r="O520" s="517">
        <f>ISR!O38</f>
        <v>251313.56249999991</v>
      </c>
      <c r="P520" s="511">
        <f t="shared" si="383"/>
        <v>5.2386894822120667E-10</v>
      </c>
      <c r="Q520" s="530">
        <v>0</v>
      </c>
      <c r="R520" s="480"/>
      <c r="U520" s="513"/>
    </row>
    <row r="521" spans="1:21" s="479" customFormat="1" ht="18" x14ac:dyDescent="0.15">
      <c r="A521" s="579"/>
      <c r="B521" s="528" t="s">
        <v>298</v>
      </c>
      <c r="C521" s="517">
        <f>FOFIR!I47</f>
        <v>1569354.052416563</v>
      </c>
      <c r="D521" s="517">
        <f t="shared" ref="D521:O521" si="412">$C521*D$23%</f>
        <v>214555.01702759718</v>
      </c>
      <c r="E521" s="517">
        <f t="shared" si="412"/>
        <v>54587.261826246577</v>
      </c>
      <c r="F521" s="517">
        <f t="shared" si="412"/>
        <v>54587.261826246577</v>
      </c>
      <c r="G521" s="517">
        <f t="shared" si="412"/>
        <v>308054.17296982766</v>
      </c>
      <c r="H521" s="517">
        <f t="shared" si="412"/>
        <v>54587.261826246577</v>
      </c>
      <c r="I521" s="517">
        <f t="shared" si="412"/>
        <v>54587.261826246577</v>
      </c>
      <c r="J521" s="517">
        <f t="shared" si="412"/>
        <v>383169.75386248803</v>
      </c>
      <c r="K521" s="517">
        <f t="shared" si="412"/>
        <v>54587.261826246577</v>
      </c>
      <c r="L521" s="517">
        <f t="shared" si="412"/>
        <v>54587.261826246577</v>
      </c>
      <c r="M521" s="517">
        <f t="shared" si="412"/>
        <v>226877.01395295496</v>
      </c>
      <c r="N521" s="517">
        <f t="shared" si="412"/>
        <v>54587.261826246577</v>
      </c>
      <c r="O521" s="517">
        <f t="shared" si="412"/>
        <v>54587.261826246577</v>
      </c>
      <c r="P521" s="511">
        <f t="shared" si="383"/>
        <v>-6.2773615354672074E-6</v>
      </c>
      <c r="Q521" s="530">
        <v>61355</v>
      </c>
      <c r="R521" s="480"/>
      <c r="U521" s="513"/>
    </row>
    <row r="522" spans="1:21" s="479" customFormat="1" ht="27" x14ac:dyDescent="0.15">
      <c r="A522" s="579"/>
      <c r="B522" s="528" t="s">
        <v>407</v>
      </c>
      <c r="C522" s="517">
        <f>FCISAN!I47</f>
        <v>99624.555050624636</v>
      </c>
      <c r="D522" s="517">
        <f t="shared" ref="D522:O522" si="413">$C522*D$24%</f>
        <v>8302.0462541855122</v>
      </c>
      <c r="E522" s="517">
        <f t="shared" si="413"/>
        <v>8302.0462541855122</v>
      </c>
      <c r="F522" s="517">
        <f t="shared" si="413"/>
        <v>8302.0462541855122</v>
      </c>
      <c r="G522" s="517">
        <f t="shared" si="413"/>
        <v>8302.0462541855122</v>
      </c>
      <c r="H522" s="517">
        <f t="shared" si="413"/>
        <v>8302.0462541855122</v>
      </c>
      <c r="I522" s="517">
        <f t="shared" si="413"/>
        <v>8302.0462541855122</v>
      </c>
      <c r="J522" s="517">
        <f t="shared" si="413"/>
        <v>8302.0462541855122</v>
      </c>
      <c r="K522" s="517">
        <f t="shared" si="413"/>
        <v>8302.0462541855122</v>
      </c>
      <c r="L522" s="517">
        <f t="shared" si="413"/>
        <v>8302.0462541855122</v>
      </c>
      <c r="M522" s="517">
        <f t="shared" si="413"/>
        <v>8302.0462541855122</v>
      </c>
      <c r="N522" s="517">
        <f t="shared" si="413"/>
        <v>8302.0462541855122</v>
      </c>
      <c r="O522" s="517">
        <f t="shared" si="413"/>
        <v>8302.0462541855122</v>
      </c>
      <c r="P522" s="511">
        <f t="shared" si="383"/>
        <v>3.985187504440546E-7</v>
      </c>
      <c r="Q522" s="530">
        <v>7299</v>
      </c>
      <c r="R522" s="480"/>
      <c r="U522" s="513"/>
    </row>
    <row r="523" spans="1:21" s="479" customFormat="1" ht="27" x14ac:dyDescent="0.15">
      <c r="A523" s="579"/>
      <c r="B523" s="528" t="s">
        <v>242</v>
      </c>
      <c r="C523" s="517">
        <f>ISAN!I47</f>
        <v>497636.33599129651</v>
      </c>
      <c r="D523" s="517">
        <f t="shared" ref="D523:O523" si="414">$C523*D$25%</f>
        <v>47889.339847965457</v>
      </c>
      <c r="E523" s="517">
        <f t="shared" si="414"/>
        <v>53487.391747471549</v>
      </c>
      <c r="F523" s="517">
        <f t="shared" si="414"/>
        <v>41510.938521460652</v>
      </c>
      <c r="G523" s="517">
        <f t="shared" si="414"/>
        <v>38526.432831251972</v>
      </c>
      <c r="H523" s="517">
        <f t="shared" si="414"/>
        <v>41193.274404699034</v>
      </c>
      <c r="I523" s="517">
        <f t="shared" si="414"/>
        <v>35777.612232287785</v>
      </c>
      <c r="J523" s="517">
        <f t="shared" si="414"/>
        <v>38759.557295416351</v>
      </c>
      <c r="K523" s="517">
        <f t="shared" si="414"/>
        <v>39971.291963650074</v>
      </c>
      <c r="L523" s="517">
        <f t="shared" si="414"/>
        <v>39277.041930816478</v>
      </c>
      <c r="M523" s="517">
        <f t="shared" si="414"/>
        <v>40240.28205391657</v>
      </c>
      <c r="N523" s="517">
        <f t="shared" si="414"/>
        <v>38961.939494133469</v>
      </c>
      <c r="O523" s="517">
        <f t="shared" si="414"/>
        <v>42041.233662255479</v>
      </c>
      <c r="P523" s="511">
        <f t="shared" si="383"/>
        <v>5.9716403484344482E-6</v>
      </c>
      <c r="Q523" s="530">
        <v>31355</v>
      </c>
      <c r="R523" s="480"/>
      <c r="U523" s="513"/>
    </row>
    <row r="524" spans="1:21" s="479" customFormat="1" ht="18" x14ac:dyDescent="0.15">
      <c r="A524" s="579"/>
      <c r="B524" s="528" t="s">
        <v>403</v>
      </c>
      <c r="C524" s="517">
        <f>LOT!I47</f>
        <v>24089.079639581774</v>
      </c>
      <c r="D524" s="517">
        <f t="shared" ref="D524:O524" si="415">$C524*D$26%</f>
        <v>1821.3846808276801</v>
      </c>
      <c r="E524" s="517">
        <f t="shared" si="415"/>
        <v>1795.5677652663132</v>
      </c>
      <c r="F524" s="517">
        <f t="shared" si="415"/>
        <v>1764.8227121758864</v>
      </c>
      <c r="G524" s="517">
        <f t="shared" si="415"/>
        <v>1941.6990626888405</v>
      </c>
      <c r="H524" s="517">
        <f t="shared" si="415"/>
        <v>1588.6632597070179</v>
      </c>
      <c r="I524" s="517">
        <f t="shared" si="415"/>
        <v>2155.8970400408234</v>
      </c>
      <c r="J524" s="517">
        <f t="shared" si="415"/>
        <v>4947.7813888279343</v>
      </c>
      <c r="K524" s="517">
        <f t="shared" si="415"/>
        <v>1801.1698728228191</v>
      </c>
      <c r="L524" s="517">
        <f t="shared" si="415"/>
        <v>2185.49591480033</v>
      </c>
      <c r="M524" s="517">
        <f t="shared" si="415"/>
        <v>1353.1214672210908</v>
      </c>
      <c r="N524" s="517">
        <f t="shared" si="415"/>
        <v>1366.7382374569854</v>
      </c>
      <c r="O524" s="517">
        <f t="shared" si="415"/>
        <v>1366.7382374569854</v>
      </c>
      <c r="P524" s="511">
        <f t="shared" si="383"/>
        <v>2.8906697480124421E-7</v>
      </c>
      <c r="Q524" s="530">
        <v>1531</v>
      </c>
      <c r="R524" s="480"/>
      <c r="U524" s="513"/>
    </row>
    <row r="525" spans="1:21" s="479" customFormat="1" ht="45" x14ac:dyDescent="0.15">
      <c r="A525" s="579"/>
      <c r="B525" s="518" t="s">
        <v>301</v>
      </c>
      <c r="C525" s="517">
        <f>'ENAJENAC DE INMUE'!I47</f>
        <v>94721.120491404727</v>
      </c>
      <c r="D525" s="517">
        <f t="shared" ref="D525:O525" si="416">$C525*D$27%</f>
        <v>4090.59956474927</v>
      </c>
      <c r="E525" s="517">
        <f t="shared" si="416"/>
        <v>4150.8499979502394</v>
      </c>
      <c r="F525" s="517">
        <f t="shared" si="416"/>
        <v>4094.8909886571623</v>
      </c>
      <c r="G525" s="517">
        <f t="shared" si="416"/>
        <v>4070.9042578615117</v>
      </c>
      <c r="H525" s="517">
        <f t="shared" si="416"/>
        <v>5647.1216499047632</v>
      </c>
      <c r="I525" s="517">
        <f t="shared" si="416"/>
        <v>4064.6716081331774</v>
      </c>
      <c r="J525" s="517">
        <f t="shared" si="416"/>
        <v>4671.4417336522092</v>
      </c>
      <c r="K525" s="517">
        <f t="shared" si="416"/>
        <v>4666.6332438184718</v>
      </c>
      <c r="L525" s="517">
        <f t="shared" si="416"/>
        <v>4660.7215315058265</v>
      </c>
      <c r="M525" s="517">
        <f t="shared" si="416"/>
        <v>4070.237866930845</v>
      </c>
      <c r="N525" s="517">
        <f t="shared" si="416"/>
        <v>16922.552220790716</v>
      </c>
      <c r="O525" s="517">
        <f t="shared" si="416"/>
        <v>33610.495827261089</v>
      </c>
      <c r="P525" s="511">
        <f t="shared" si="383"/>
        <v>1.8944410840049386E-7</v>
      </c>
      <c r="Q525" s="530">
        <v>22345</v>
      </c>
      <c r="R525" s="480"/>
      <c r="U525" s="513"/>
    </row>
    <row r="526" spans="1:21" s="479" customFormat="1" ht="27" x14ac:dyDescent="0.15">
      <c r="A526" s="579"/>
      <c r="B526" s="518" t="s">
        <v>248</v>
      </c>
      <c r="C526" s="517">
        <f>'IMP BEBIDAS AL'!I47</f>
        <v>37022.019373030489</v>
      </c>
      <c r="D526" s="517">
        <f t="shared" ref="D526:O526" si="417">$C526*D$28%</f>
        <v>8418.4590286478215</v>
      </c>
      <c r="E526" s="517">
        <f t="shared" si="417"/>
        <v>2895.6441885471254</v>
      </c>
      <c r="F526" s="517">
        <f t="shared" si="417"/>
        <v>3111.8129134670799</v>
      </c>
      <c r="G526" s="517">
        <f t="shared" si="417"/>
        <v>3089.4742446028345</v>
      </c>
      <c r="H526" s="517">
        <f t="shared" si="417"/>
        <v>1967.3920867082106</v>
      </c>
      <c r="I526" s="517">
        <f t="shared" si="417"/>
        <v>3219.6403147913416</v>
      </c>
      <c r="J526" s="517">
        <f t="shared" si="417"/>
        <v>3201.5174357473552</v>
      </c>
      <c r="K526" s="517">
        <f t="shared" si="417"/>
        <v>2928.0212916472578</v>
      </c>
      <c r="L526" s="517">
        <f t="shared" si="417"/>
        <v>2123.4834336974636</v>
      </c>
      <c r="M526" s="517">
        <f t="shared" si="417"/>
        <v>1973.9659525971178</v>
      </c>
      <c r="N526" s="517">
        <f t="shared" si="417"/>
        <v>1987.9191456657761</v>
      </c>
      <c r="O526" s="517">
        <f t="shared" si="417"/>
        <v>2104.6893369111071</v>
      </c>
      <c r="P526" s="511">
        <f t="shared" si="383"/>
        <v>4.0927261579781771E-12</v>
      </c>
      <c r="Q526" s="530">
        <v>957</v>
      </c>
      <c r="R526" s="480"/>
      <c r="U526" s="513"/>
    </row>
    <row r="527" spans="1:21" s="479" customFormat="1" ht="18" x14ac:dyDescent="0.15">
      <c r="A527" s="579"/>
      <c r="B527" s="518" t="s">
        <v>253</v>
      </c>
      <c r="C527" s="517">
        <f>'FOND GASO Y D'!Q48</f>
        <v>0</v>
      </c>
      <c r="D527" s="517">
        <f t="shared" ref="D527:O527" si="418">$C527*D$29%</f>
        <v>0</v>
      </c>
      <c r="E527" s="517">
        <f t="shared" si="418"/>
        <v>0</v>
      </c>
      <c r="F527" s="517">
        <f t="shared" si="418"/>
        <v>0</v>
      </c>
      <c r="G527" s="517">
        <f t="shared" si="418"/>
        <v>0</v>
      </c>
      <c r="H527" s="517">
        <f t="shared" si="418"/>
        <v>0</v>
      </c>
      <c r="I527" s="517">
        <f t="shared" si="418"/>
        <v>0</v>
      </c>
      <c r="J527" s="517">
        <f t="shared" si="418"/>
        <v>0</v>
      </c>
      <c r="K527" s="517">
        <f t="shared" si="418"/>
        <v>0</v>
      </c>
      <c r="L527" s="517">
        <f t="shared" si="418"/>
        <v>0</v>
      </c>
      <c r="M527" s="517">
        <f t="shared" si="418"/>
        <v>0</v>
      </c>
      <c r="N527" s="517">
        <f t="shared" si="418"/>
        <v>0</v>
      </c>
      <c r="O527" s="517">
        <f t="shared" si="418"/>
        <v>0</v>
      </c>
      <c r="P527" s="511">
        <f t="shared" si="383"/>
        <v>0</v>
      </c>
      <c r="Q527" s="530">
        <v>40163</v>
      </c>
      <c r="R527" s="480"/>
      <c r="U527" s="513"/>
    </row>
    <row r="528" spans="1:21" s="479" customFormat="1" ht="18" x14ac:dyDescent="0.15">
      <c r="A528" s="579"/>
      <c r="B528" s="528" t="s">
        <v>408</v>
      </c>
      <c r="C528" s="519">
        <f>'FOND GASO Y D'!H48</f>
        <v>1300855.2588899296</v>
      </c>
      <c r="D528" s="517">
        <f t="shared" ref="D528:O528" si="419">$C528*D$30%</f>
        <v>101194.57468149552</v>
      </c>
      <c r="E528" s="517">
        <f t="shared" si="419"/>
        <v>111261.13177912474</v>
      </c>
      <c r="F528" s="517">
        <f t="shared" si="419"/>
        <v>108324.19150375146</v>
      </c>
      <c r="G528" s="517">
        <f t="shared" si="419"/>
        <v>100935.57823177011</v>
      </c>
      <c r="H528" s="517">
        <f t="shared" si="419"/>
        <v>111216.57999585754</v>
      </c>
      <c r="I528" s="517">
        <f t="shared" si="419"/>
        <v>107337.21487776763</v>
      </c>
      <c r="J528" s="517">
        <f t="shared" si="419"/>
        <v>109575.04675949345</v>
      </c>
      <c r="K528" s="517">
        <f t="shared" si="419"/>
        <v>109509.93395590009</v>
      </c>
      <c r="L528" s="517">
        <f t="shared" si="419"/>
        <v>113958.18069878707</v>
      </c>
      <c r="M528" s="517">
        <f t="shared" si="419"/>
        <v>112957.49672678641</v>
      </c>
      <c r="N528" s="517">
        <f t="shared" si="419"/>
        <v>105568.88345480508</v>
      </c>
      <c r="O528" s="517">
        <f t="shared" si="419"/>
        <v>109016.44622569135</v>
      </c>
      <c r="P528" s="511">
        <f t="shared" si="383"/>
        <v>-1.300722942687571E-6</v>
      </c>
      <c r="Q528" s="530">
        <v>79500</v>
      </c>
      <c r="R528" s="480"/>
      <c r="U528" s="513"/>
    </row>
    <row r="529" spans="1:21" s="479" customFormat="1" x14ac:dyDescent="0.15">
      <c r="A529" s="579"/>
      <c r="B529" s="534"/>
      <c r="C529" s="521"/>
      <c r="D529" s="522"/>
      <c r="E529" s="522"/>
      <c r="F529" s="522"/>
      <c r="G529" s="522"/>
      <c r="H529" s="522"/>
      <c r="I529" s="522"/>
      <c r="J529" s="522"/>
      <c r="K529" s="522"/>
      <c r="L529" s="522"/>
      <c r="M529" s="522"/>
      <c r="N529" s="522"/>
      <c r="O529" s="522"/>
      <c r="P529" s="511">
        <f t="shared" si="383"/>
        <v>0</v>
      </c>
      <c r="Q529" s="530">
        <v>0</v>
      </c>
      <c r="R529" s="480"/>
      <c r="U529" s="513"/>
    </row>
    <row r="530" spans="1:21" s="479" customFormat="1" x14ac:dyDescent="0.15">
      <c r="A530" s="591"/>
      <c r="B530" s="532"/>
      <c r="C530" s="521"/>
      <c r="D530" s="521"/>
      <c r="E530" s="521"/>
      <c r="F530" s="521"/>
      <c r="G530" s="521"/>
      <c r="H530" s="521"/>
      <c r="I530" s="521"/>
      <c r="J530" s="521"/>
      <c r="K530" s="521"/>
      <c r="L530" s="521"/>
      <c r="M530" s="521"/>
      <c r="N530" s="521"/>
      <c r="O530" s="521"/>
      <c r="P530" s="511">
        <f t="shared" si="383"/>
        <v>0</v>
      </c>
      <c r="Q530" s="530">
        <v>0</v>
      </c>
      <c r="R530" s="480"/>
      <c r="U530" s="513"/>
    </row>
    <row r="531" spans="1:21" s="479" customFormat="1" x14ac:dyDescent="0.15">
      <c r="A531" s="576">
        <v>34</v>
      </c>
      <c r="B531" s="533" t="s">
        <v>110</v>
      </c>
      <c r="C531" s="524">
        <f t="shared" ref="C531:O531" si="420">SUM(C532:C543)</f>
        <v>213981414.7813133</v>
      </c>
      <c r="D531" s="524">
        <f t="shared" si="420"/>
        <v>17098890.809698809</v>
      </c>
      <c r="E531" s="524">
        <f t="shared" si="420"/>
        <v>22213993.417653516</v>
      </c>
      <c r="F531" s="524">
        <f t="shared" si="420"/>
        <v>15407508.260533875</v>
      </c>
      <c r="G531" s="524">
        <f t="shared" si="420"/>
        <v>18912985.287455112</v>
      </c>
      <c r="H531" s="524">
        <f t="shared" si="420"/>
        <v>21666300.463632766</v>
      </c>
      <c r="I531" s="524">
        <f t="shared" si="420"/>
        <v>22221856.422893971</v>
      </c>
      <c r="J531" s="524">
        <f t="shared" si="420"/>
        <v>16819840.450309731</v>
      </c>
      <c r="K531" s="524">
        <f t="shared" si="420"/>
        <v>17149208.276436217</v>
      </c>
      <c r="L531" s="524">
        <f t="shared" si="420"/>
        <v>15643190.71515445</v>
      </c>
      <c r="M531" s="524">
        <f t="shared" si="420"/>
        <v>13239163.293640336</v>
      </c>
      <c r="N531" s="524">
        <f t="shared" si="420"/>
        <v>16768834.363746086</v>
      </c>
      <c r="O531" s="524">
        <f t="shared" si="420"/>
        <v>16839643.019565057</v>
      </c>
      <c r="P531" s="511">
        <f t="shared" si="383"/>
        <v>5.9339776635169983E-4</v>
      </c>
      <c r="Q531" s="530">
        <v>12138009</v>
      </c>
      <c r="R531" s="480"/>
      <c r="T531" s="512"/>
      <c r="U531" s="513"/>
    </row>
    <row r="532" spans="1:21" s="479" customFormat="1" x14ac:dyDescent="0.15">
      <c r="A532" s="579"/>
      <c r="B532" s="528" t="s">
        <v>294</v>
      </c>
      <c r="C532" s="517">
        <f>'FG1'!I49</f>
        <v>140174044.20037404</v>
      </c>
      <c r="D532" s="517">
        <f t="shared" ref="D532:O532" si="421">$C532*D$19%</f>
        <v>10602021.582816107</v>
      </c>
      <c r="E532" s="517">
        <f t="shared" si="421"/>
        <v>15190043.327102698</v>
      </c>
      <c r="F532" s="517">
        <f t="shared" si="421"/>
        <v>9818779.5614734422</v>
      </c>
      <c r="G532" s="517">
        <f t="shared" si="421"/>
        <v>12061375.85317722</v>
      </c>
      <c r="H532" s="517">
        <f t="shared" si="421"/>
        <v>14729575.36132469</v>
      </c>
      <c r="I532" s="517">
        <f t="shared" si="421"/>
        <v>14440182.445861649</v>
      </c>
      <c r="J532" s="517">
        <f t="shared" si="421"/>
        <v>11194081.333770221</v>
      </c>
      <c r="K532" s="517">
        <f t="shared" si="421"/>
        <v>11885144.912898207</v>
      </c>
      <c r="L532" s="517">
        <f t="shared" si="421"/>
        <v>11169088.313183568</v>
      </c>
      <c r="M532" s="517">
        <f t="shared" si="421"/>
        <v>7404247.1898751464</v>
      </c>
      <c r="N532" s="517">
        <f t="shared" si="421"/>
        <v>10806121.374697823</v>
      </c>
      <c r="O532" s="517">
        <f t="shared" si="421"/>
        <v>10873382.944053097</v>
      </c>
      <c r="P532" s="511">
        <f t="shared" si="383"/>
        <v>1.4015845954418182E-4</v>
      </c>
      <c r="Q532" s="530">
        <v>8395455</v>
      </c>
      <c r="R532" s="480"/>
      <c r="U532" s="513"/>
    </row>
    <row r="533" spans="1:21" s="479" customFormat="1" x14ac:dyDescent="0.15">
      <c r="A533" s="579"/>
      <c r="B533" s="528" t="s">
        <v>296</v>
      </c>
      <c r="C533" s="517">
        <f>FFM!J49</f>
        <v>37678207.751122199</v>
      </c>
      <c r="D533" s="517">
        <f t="shared" ref="D533:O533" si="422">$C533*D$20%</f>
        <v>2849344.3774515069</v>
      </c>
      <c r="E533" s="517">
        <f t="shared" si="422"/>
        <v>4084998.1282931427</v>
      </c>
      <c r="F533" s="517">
        <f t="shared" si="422"/>
        <v>2638400.3286216138</v>
      </c>
      <c r="G533" s="517">
        <f t="shared" si="422"/>
        <v>3242380.1397162979</v>
      </c>
      <c r="H533" s="517">
        <f t="shared" si="422"/>
        <v>3960984.1298968219</v>
      </c>
      <c r="I533" s="517">
        <f t="shared" si="422"/>
        <v>3883044.3305740124</v>
      </c>
      <c r="J533" s="517">
        <f t="shared" si="422"/>
        <v>3008535.1156684305</v>
      </c>
      <c r="K533" s="517">
        <f t="shared" si="422"/>
        <v>3194653.5248622284</v>
      </c>
      <c r="L533" s="517">
        <f t="shared" si="422"/>
        <v>3001803.9371612277</v>
      </c>
      <c r="M533" s="517">
        <f t="shared" si="422"/>
        <v>1987850.5762139568</v>
      </c>
      <c r="N533" s="517">
        <f t="shared" si="422"/>
        <v>2904049.0782558294</v>
      </c>
      <c r="O533" s="517">
        <f t="shared" si="422"/>
        <v>2922164.0839549927</v>
      </c>
      <c r="P533" s="511">
        <f t="shared" si="383"/>
        <v>4.5213382691144943E-4</v>
      </c>
      <c r="Q533" s="530">
        <v>2570416</v>
      </c>
      <c r="R533" s="480"/>
      <c r="U533" s="513"/>
    </row>
    <row r="534" spans="1:21" s="479" customFormat="1" ht="18" x14ac:dyDescent="0.15">
      <c r="A534" s="579"/>
      <c r="B534" s="528" t="s">
        <v>297</v>
      </c>
      <c r="C534" s="517">
        <f>IEPS!I48</f>
        <v>3389969.1708122487</v>
      </c>
      <c r="D534" s="517">
        <f t="shared" ref="D534:O534" si="423">$C534*D$21%</f>
        <v>238110.82750251304</v>
      </c>
      <c r="E534" s="517">
        <f t="shared" si="423"/>
        <v>544251.50852971093</v>
      </c>
      <c r="F534" s="517">
        <f t="shared" si="423"/>
        <v>226060.20543474279</v>
      </c>
      <c r="G534" s="517">
        <f t="shared" si="423"/>
        <v>219698.86408308751</v>
      </c>
      <c r="H534" s="517">
        <f t="shared" si="423"/>
        <v>242559.63215990298</v>
      </c>
      <c r="I534" s="517">
        <f t="shared" si="423"/>
        <v>251539.17102929592</v>
      </c>
      <c r="J534" s="517">
        <f t="shared" si="423"/>
        <v>259038.84689560579</v>
      </c>
      <c r="K534" s="517">
        <f t="shared" si="423"/>
        <v>286939.20584601053</v>
      </c>
      <c r="L534" s="517">
        <f t="shared" si="423"/>
        <v>287540.47397231485</v>
      </c>
      <c r="M534" s="517">
        <f t="shared" si="423"/>
        <v>284344.6761845118</v>
      </c>
      <c r="N534" s="517">
        <f t="shared" si="423"/>
        <v>275151.56384018692</v>
      </c>
      <c r="O534" s="517">
        <f t="shared" si="423"/>
        <v>274734.19533097558</v>
      </c>
      <c r="P534" s="511">
        <f t="shared" si="383"/>
        <v>3.3900141716003418E-6</v>
      </c>
      <c r="Q534" s="530">
        <v>216821</v>
      </c>
      <c r="R534" s="480"/>
      <c r="U534" s="513"/>
    </row>
    <row r="535" spans="1:21" s="479" customFormat="1" x14ac:dyDescent="0.15">
      <c r="A535" s="579"/>
      <c r="B535" s="528" t="s">
        <v>236</v>
      </c>
      <c r="C535" s="517">
        <f>ISR!C39</f>
        <v>18300852.539999999</v>
      </c>
      <c r="D535" s="517">
        <f>ISR!D39</f>
        <v>1850049.7286945616</v>
      </c>
      <c r="E535" s="517">
        <f>ISR!E39</f>
        <v>1466515.1884384516</v>
      </c>
      <c r="F535" s="517">
        <f>ISR!F39</f>
        <v>1856267.7490686376</v>
      </c>
      <c r="G535" s="517">
        <f>ISR!G39</f>
        <v>1501460.9660538351</v>
      </c>
      <c r="H535" s="517">
        <f>ISR!H39</f>
        <v>1855009.9663522982</v>
      </c>
      <c r="I535" s="517">
        <f>ISR!I39</f>
        <v>2804677.0809904379</v>
      </c>
      <c r="J535" s="517">
        <f>ISR!J39</f>
        <v>108347.69006358742</v>
      </c>
      <c r="K535" s="517">
        <f>ISR!K39</f>
        <v>914812.81212939962</v>
      </c>
      <c r="L535" s="517">
        <f>ISR!L39</f>
        <v>305585.98831093585</v>
      </c>
      <c r="M535" s="517">
        <f>ISR!M39</f>
        <v>1969973.5935038512</v>
      </c>
      <c r="N535" s="517">
        <f>ISR!N39</f>
        <v>1888960.9521829409</v>
      </c>
      <c r="O535" s="517">
        <f>ISR!O39</f>
        <v>1779190.8242110475</v>
      </c>
      <c r="P535" s="511">
        <f t="shared" si="383"/>
        <v>1.280568540096283E-8</v>
      </c>
      <c r="Q535" s="530">
        <v>0</v>
      </c>
      <c r="R535" s="480"/>
      <c r="U535" s="513"/>
    </row>
    <row r="536" spans="1:21" s="479" customFormat="1" ht="18" x14ac:dyDescent="0.15">
      <c r="A536" s="579"/>
      <c r="B536" s="528" t="s">
        <v>298</v>
      </c>
      <c r="C536" s="517">
        <f>FOFIR!I48</f>
        <v>6556183.6920396686</v>
      </c>
      <c r="D536" s="517">
        <f t="shared" ref="D536:O536" si="424">$C536*D$23%</f>
        <v>896331.90261661063</v>
      </c>
      <c r="E536" s="517">
        <f t="shared" si="424"/>
        <v>228045.4912180276</v>
      </c>
      <c r="F536" s="517">
        <f t="shared" si="424"/>
        <v>228045.4912180276</v>
      </c>
      <c r="G536" s="517">
        <f t="shared" si="424"/>
        <v>1286936.9674609671</v>
      </c>
      <c r="H536" s="517">
        <f t="shared" si="424"/>
        <v>228045.4912180276</v>
      </c>
      <c r="I536" s="517">
        <f t="shared" si="424"/>
        <v>228045.4912180276</v>
      </c>
      <c r="J536" s="517">
        <f t="shared" si="424"/>
        <v>1600742.2210990586</v>
      </c>
      <c r="K536" s="517">
        <f t="shared" si="424"/>
        <v>228045.4912180276</v>
      </c>
      <c r="L536" s="517">
        <f t="shared" si="424"/>
        <v>228045.4912180276</v>
      </c>
      <c r="M536" s="517">
        <f t="shared" si="424"/>
        <v>947808.67114503589</v>
      </c>
      <c r="N536" s="517">
        <f t="shared" si="424"/>
        <v>228045.4912180276</v>
      </c>
      <c r="O536" s="517">
        <f t="shared" si="424"/>
        <v>228045.4912180276</v>
      </c>
      <c r="P536" s="511">
        <f t="shared" si="383"/>
        <v>-2.6224995963275433E-5</v>
      </c>
      <c r="Q536" s="530">
        <v>255395</v>
      </c>
      <c r="R536" s="480"/>
      <c r="U536" s="513"/>
    </row>
    <row r="537" spans="1:21" s="479" customFormat="1" ht="27" x14ac:dyDescent="0.15">
      <c r="A537" s="579"/>
      <c r="B537" s="528" t="s">
        <v>407</v>
      </c>
      <c r="C537" s="517">
        <f>FCISAN!I48</f>
        <v>416194.72810730798</v>
      </c>
      <c r="D537" s="517">
        <f t="shared" ref="D537:O537" si="425">$C537*D$24%</f>
        <v>34682.894008803603</v>
      </c>
      <c r="E537" s="517">
        <f t="shared" si="425"/>
        <v>34682.894008803603</v>
      </c>
      <c r="F537" s="517">
        <f t="shared" si="425"/>
        <v>34682.894008803603</v>
      </c>
      <c r="G537" s="517">
        <f t="shared" si="425"/>
        <v>34682.894008803603</v>
      </c>
      <c r="H537" s="517">
        <f t="shared" si="425"/>
        <v>34682.894008803603</v>
      </c>
      <c r="I537" s="517">
        <f t="shared" si="425"/>
        <v>34682.894008803603</v>
      </c>
      <c r="J537" s="517">
        <f t="shared" si="425"/>
        <v>34682.894008803603</v>
      </c>
      <c r="K537" s="517">
        <f t="shared" si="425"/>
        <v>34682.894008803603</v>
      </c>
      <c r="L537" s="517">
        <f t="shared" si="425"/>
        <v>34682.894008803603</v>
      </c>
      <c r="M537" s="517">
        <f t="shared" si="425"/>
        <v>34682.894008803603</v>
      </c>
      <c r="N537" s="517">
        <f t="shared" si="425"/>
        <v>34682.894008803603</v>
      </c>
      <c r="O537" s="517">
        <f t="shared" si="425"/>
        <v>34682.894008803603</v>
      </c>
      <c r="P537" s="511">
        <f t="shared" si="383"/>
        <v>1.6648555174469948E-6</v>
      </c>
      <c r="Q537" s="530">
        <v>30378</v>
      </c>
      <c r="R537" s="480"/>
      <c r="U537" s="513"/>
    </row>
    <row r="538" spans="1:21" s="479" customFormat="1" ht="27" x14ac:dyDescent="0.15">
      <c r="A538" s="579"/>
      <c r="B538" s="528" t="s">
        <v>242</v>
      </c>
      <c r="C538" s="517">
        <f>ISAN!I48</f>
        <v>2078941.4763154418</v>
      </c>
      <c r="D538" s="517">
        <f t="shared" ref="D538:O538" si="426">$C538*D$25%</f>
        <v>200064.03809918431</v>
      </c>
      <c r="E538" s="517">
        <f t="shared" si="426"/>
        <v>223450.63879277435</v>
      </c>
      <c r="F538" s="517">
        <f t="shared" si="426"/>
        <v>173417.42467646956</v>
      </c>
      <c r="G538" s="517">
        <f t="shared" si="426"/>
        <v>160949.25823256501</v>
      </c>
      <c r="H538" s="517">
        <f t="shared" si="426"/>
        <v>172090.34090040784</v>
      </c>
      <c r="I538" s="517">
        <f t="shared" si="426"/>
        <v>149465.69736526365</v>
      </c>
      <c r="J538" s="517">
        <f t="shared" si="426"/>
        <v>161923.1664515654</v>
      </c>
      <c r="K538" s="517">
        <f t="shared" si="426"/>
        <v>166985.34796422019</v>
      </c>
      <c r="L538" s="517">
        <f t="shared" si="426"/>
        <v>164085.02681842595</v>
      </c>
      <c r="M538" s="517">
        <f t="shared" si="426"/>
        <v>168109.0895701439</v>
      </c>
      <c r="N538" s="517">
        <f t="shared" si="426"/>
        <v>162768.64479900722</v>
      </c>
      <c r="O538" s="517">
        <f t="shared" si="426"/>
        <v>175632.80262046715</v>
      </c>
      <c r="P538" s="511">
        <f t="shared" si="383"/>
        <v>2.4947046767920256E-5</v>
      </c>
      <c r="Q538" s="530">
        <v>130508</v>
      </c>
      <c r="R538" s="480"/>
      <c r="U538" s="513"/>
    </row>
    <row r="539" spans="1:21" s="479" customFormat="1" ht="18" x14ac:dyDescent="0.15">
      <c r="A539" s="579"/>
      <c r="B539" s="528" t="s">
        <v>403</v>
      </c>
      <c r="C539" s="517">
        <f>LOT!I48</f>
        <v>100635.30969705609</v>
      </c>
      <c r="D539" s="517">
        <f t="shared" ref="D539:O539" si="427">$C539*D$26%</f>
        <v>7609.0749075936701</v>
      </c>
      <c r="E539" s="517">
        <f t="shared" si="427"/>
        <v>7501.2213352773633</v>
      </c>
      <c r="F539" s="517">
        <f t="shared" si="427"/>
        <v>7372.7798179715883</v>
      </c>
      <c r="G539" s="517">
        <f t="shared" si="427"/>
        <v>8111.7041180394181</v>
      </c>
      <c r="H539" s="517">
        <f t="shared" si="427"/>
        <v>6636.8504541058546</v>
      </c>
      <c r="I539" s="517">
        <f t="shared" si="427"/>
        <v>9006.5444402857047</v>
      </c>
      <c r="J539" s="517">
        <f t="shared" si="427"/>
        <v>20670.009806430036</v>
      </c>
      <c r="K539" s="517">
        <f t="shared" si="427"/>
        <v>7524.6248790133732</v>
      </c>
      <c r="L539" s="517">
        <f t="shared" si="427"/>
        <v>9130.197646330691</v>
      </c>
      <c r="M539" s="517">
        <f t="shared" si="427"/>
        <v>5652.8435269805759</v>
      </c>
      <c r="N539" s="517">
        <f t="shared" si="427"/>
        <v>5709.7293819100951</v>
      </c>
      <c r="O539" s="517">
        <f t="shared" si="427"/>
        <v>5709.7293819100951</v>
      </c>
      <c r="P539" s="511">
        <f t="shared" si="383"/>
        <v>1.2076088751200587E-6</v>
      </c>
      <c r="Q539" s="530">
        <v>6373</v>
      </c>
      <c r="R539" s="480"/>
      <c r="U539" s="513"/>
    </row>
    <row r="540" spans="1:21" s="479" customFormat="1" ht="45" x14ac:dyDescent="0.15">
      <c r="A540" s="579"/>
      <c r="B540" s="518" t="s">
        <v>301</v>
      </c>
      <c r="C540" s="517">
        <f>'ENAJENAC DE INMUE'!I48</f>
        <v>395709.983034876</v>
      </c>
      <c r="D540" s="517">
        <f t="shared" ref="D540:O540" si="428">$C540*D$27%</f>
        <v>17089.019597443312</v>
      </c>
      <c r="E540" s="517">
        <f t="shared" si="428"/>
        <v>17340.72373455773</v>
      </c>
      <c r="F540" s="517">
        <f t="shared" si="428"/>
        <v>17106.947587240917</v>
      </c>
      <c r="G540" s="517">
        <f t="shared" si="428"/>
        <v>17006.739853348343</v>
      </c>
      <c r="H540" s="517">
        <f t="shared" si="428"/>
        <v>23591.596052566449</v>
      </c>
      <c r="I540" s="517">
        <f t="shared" si="428"/>
        <v>16980.70213646465</v>
      </c>
      <c r="J540" s="517">
        <f t="shared" si="428"/>
        <v>19515.564423033502</v>
      </c>
      <c r="K540" s="517">
        <f t="shared" si="428"/>
        <v>19495.476322083465</v>
      </c>
      <c r="L540" s="517">
        <f t="shared" si="428"/>
        <v>19470.779363614143</v>
      </c>
      <c r="M540" s="517">
        <f t="shared" si="428"/>
        <v>17003.95591727896</v>
      </c>
      <c r="N540" s="517">
        <f t="shared" si="428"/>
        <v>70696.19549954067</v>
      </c>
      <c r="O540" s="517">
        <f t="shared" si="428"/>
        <v>140412.28254691244</v>
      </c>
      <c r="P540" s="511">
        <f t="shared" si="383"/>
        <v>7.915077731013298E-7</v>
      </c>
      <c r="Q540" s="530">
        <v>93018</v>
      </c>
      <c r="R540" s="480"/>
      <c r="U540" s="513"/>
    </row>
    <row r="541" spans="1:21" s="479" customFormat="1" ht="27" x14ac:dyDescent="0.15">
      <c r="A541" s="579"/>
      <c r="B541" s="518" t="s">
        <v>248</v>
      </c>
      <c r="C541" s="517">
        <f>'IMP BEBIDAS AL'!I48</f>
        <v>154664.37244424416</v>
      </c>
      <c r="D541" s="517">
        <f t="shared" ref="D541:O541" si="429">$C541*D$28%</f>
        <v>35169.223739369911</v>
      </c>
      <c r="E541" s="517">
        <f t="shared" si="429"/>
        <v>12096.935791938789</v>
      </c>
      <c r="F541" s="517">
        <f t="shared" si="429"/>
        <v>13000.009172268028</v>
      </c>
      <c r="G541" s="517">
        <f t="shared" si="429"/>
        <v>12906.686434620573</v>
      </c>
      <c r="H541" s="517">
        <f t="shared" si="429"/>
        <v>8219.040117086668</v>
      </c>
      <c r="I541" s="517">
        <f t="shared" si="429"/>
        <v>13450.472373372053</v>
      </c>
      <c r="J541" s="517">
        <f t="shared" si="429"/>
        <v>13374.761654138219</v>
      </c>
      <c r="K541" s="517">
        <f t="shared" si="429"/>
        <v>12232.195413573378</v>
      </c>
      <c r="L541" s="517">
        <f t="shared" si="429"/>
        <v>8871.1323215344928</v>
      </c>
      <c r="M541" s="517">
        <f t="shared" si="429"/>
        <v>8246.5033095180643</v>
      </c>
      <c r="N541" s="517">
        <f t="shared" si="429"/>
        <v>8304.7946152356981</v>
      </c>
      <c r="O541" s="517">
        <f t="shared" si="429"/>
        <v>8792.6175015882945</v>
      </c>
      <c r="P541" s="511">
        <f t="shared" si="383"/>
        <v>0</v>
      </c>
      <c r="Q541" s="530">
        <v>3982</v>
      </c>
      <c r="R541" s="480"/>
      <c r="U541" s="513"/>
    </row>
    <row r="542" spans="1:21" s="479" customFormat="1" ht="18" x14ac:dyDescent="0.15">
      <c r="A542" s="579"/>
      <c r="B542" s="518" t="s">
        <v>253</v>
      </c>
      <c r="C542" s="517">
        <f>'FOND GASO Y D'!Q49</f>
        <v>0</v>
      </c>
      <c r="D542" s="517">
        <f t="shared" ref="D542:O542" si="430">$C542*D$29%</f>
        <v>0</v>
      </c>
      <c r="E542" s="517">
        <f t="shared" si="430"/>
        <v>0</v>
      </c>
      <c r="F542" s="517">
        <f t="shared" si="430"/>
        <v>0</v>
      </c>
      <c r="G542" s="517">
        <f t="shared" si="430"/>
        <v>0</v>
      </c>
      <c r="H542" s="517">
        <f t="shared" si="430"/>
        <v>0</v>
      </c>
      <c r="I542" s="517">
        <f t="shared" si="430"/>
        <v>0</v>
      </c>
      <c r="J542" s="517">
        <f t="shared" si="430"/>
        <v>0</v>
      </c>
      <c r="K542" s="517">
        <f t="shared" si="430"/>
        <v>0</v>
      </c>
      <c r="L542" s="517">
        <f t="shared" si="430"/>
        <v>0</v>
      </c>
      <c r="M542" s="517">
        <f t="shared" si="430"/>
        <v>0</v>
      </c>
      <c r="N542" s="517">
        <f t="shared" si="430"/>
        <v>0</v>
      </c>
      <c r="O542" s="517">
        <f t="shared" si="430"/>
        <v>0</v>
      </c>
      <c r="P542" s="511">
        <f t="shared" si="383"/>
        <v>0</v>
      </c>
      <c r="Q542" s="530">
        <v>146225</v>
      </c>
      <c r="R542" s="480"/>
      <c r="U542" s="513"/>
    </row>
    <row r="543" spans="1:21" s="479" customFormat="1" ht="18" x14ac:dyDescent="0.15">
      <c r="A543" s="579"/>
      <c r="B543" s="528" t="s">
        <v>408</v>
      </c>
      <c r="C543" s="519">
        <f>'FOND GASO Y D'!H49</f>
        <v>4736011.5573662166</v>
      </c>
      <c r="D543" s="517">
        <f t="shared" ref="D543:O543" si="431">$C543*D$30%</f>
        <v>368418.14026511414</v>
      </c>
      <c r="E543" s="517">
        <f t="shared" si="431"/>
        <v>405067.36040813156</v>
      </c>
      <c r="F543" s="517">
        <f t="shared" si="431"/>
        <v>394374.86945465562</v>
      </c>
      <c r="G543" s="517">
        <f t="shared" si="431"/>
        <v>367475.21431633254</v>
      </c>
      <c r="H543" s="517">
        <f t="shared" si="431"/>
        <v>404905.16114805802</v>
      </c>
      <c r="I543" s="517">
        <f t="shared" si="431"/>
        <v>390781.59289635619</v>
      </c>
      <c r="J543" s="517">
        <f t="shared" si="431"/>
        <v>398928.84646885592</v>
      </c>
      <c r="K543" s="517">
        <f t="shared" si="431"/>
        <v>398691.7908946533</v>
      </c>
      <c r="L543" s="517">
        <f t="shared" si="431"/>
        <v>414886.48114966799</v>
      </c>
      <c r="M543" s="517">
        <f t="shared" si="431"/>
        <v>411243.30038510665</v>
      </c>
      <c r="N543" s="517">
        <f t="shared" si="431"/>
        <v>384343.64524678368</v>
      </c>
      <c r="O543" s="517">
        <f t="shared" si="431"/>
        <v>396895.15473723685</v>
      </c>
      <c r="P543" s="511">
        <f t="shared" si="383"/>
        <v>-4.7363573685288429E-6</v>
      </c>
      <c r="Q543" s="530">
        <v>289438</v>
      </c>
      <c r="R543" s="480"/>
      <c r="U543" s="513"/>
    </row>
    <row r="544" spans="1:21" s="479" customFormat="1" x14ac:dyDescent="0.15">
      <c r="A544" s="579"/>
      <c r="B544" s="534"/>
      <c r="C544" s="521"/>
      <c r="D544" s="522"/>
      <c r="E544" s="522"/>
      <c r="F544" s="522"/>
      <c r="G544" s="522"/>
      <c r="H544" s="522"/>
      <c r="I544" s="522"/>
      <c r="J544" s="522"/>
      <c r="K544" s="522"/>
      <c r="L544" s="522"/>
      <c r="M544" s="522"/>
      <c r="N544" s="522"/>
      <c r="O544" s="522"/>
      <c r="P544" s="511">
        <f t="shared" si="383"/>
        <v>0</v>
      </c>
      <c r="Q544" s="530">
        <v>0</v>
      </c>
      <c r="R544" s="480"/>
      <c r="U544" s="513"/>
    </row>
    <row r="545" spans="1:21" s="479" customFormat="1" x14ac:dyDescent="0.15">
      <c r="A545" s="591"/>
      <c r="B545" s="532"/>
      <c r="C545" s="521"/>
      <c r="D545" s="521"/>
      <c r="E545" s="521"/>
      <c r="F545" s="521"/>
      <c r="G545" s="521"/>
      <c r="H545" s="521"/>
      <c r="I545" s="521"/>
      <c r="J545" s="521"/>
      <c r="K545" s="521"/>
      <c r="L545" s="521"/>
      <c r="M545" s="521"/>
      <c r="N545" s="521"/>
      <c r="O545" s="521"/>
      <c r="P545" s="511">
        <f t="shared" si="383"/>
        <v>0</v>
      </c>
      <c r="Q545" s="530">
        <v>0</v>
      </c>
      <c r="R545" s="480"/>
      <c r="U545" s="513"/>
    </row>
    <row r="546" spans="1:21" s="479" customFormat="1" x14ac:dyDescent="0.15">
      <c r="A546" s="576">
        <v>35</v>
      </c>
      <c r="B546" s="533" t="s">
        <v>112</v>
      </c>
      <c r="C546" s="524">
        <f t="shared" ref="C546:O546" si="432">SUM(C547:C558)</f>
        <v>90467434.466915503</v>
      </c>
      <c r="D546" s="524">
        <f t="shared" si="432"/>
        <v>7032851.8108884729</v>
      </c>
      <c r="E546" s="524">
        <f t="shared" si="432"/>
        <v>9546845.8087885249</v>
      </c>
      <c r="F546" s="524">
        <f t="shared" si="432"/>
        <v>6300114.186745449</v>
      </c>
      <c r="G546" s="524">
        <f t="shared" si="432"/>
        <v>8033317.2946298448</v>
      </c>
      <c r="H546" s="524">
        <f t="shared" si="432"/>
        <v>9100199.8358879797</v>
      </c>
      <c r="I546" s="524">
        <f t="shared" si="432"/>
        <v>8921594.9314026255</v>
      </c>
      <c r="J546" s="524">
        <f t="shared" si="432"/>
        <v>7755080.5802973006</v>
      </c>
      <c r="K546" s="524">
        <f t="shared" si="432"/>
        <v>7510983.964427229</v>
      </c>
      <c r="L546" s="524">
        <f t="shared" si="432"/>
        <v>7099766.5569543466</v>
      </c>
      <c r="M546" s="524">
        <f t="shared" si="432"/>
        <v>5271980.8351491969</v>
      </c>
      <c r="N546" s="524">
        <f t="shared" si="432"/>
        <v>6907150.6360994978</v>
      </c>
      <c r="O546" s="524">
        <f t="shared" si="432"/>
        <v>6987548.025379342</v>
      </c>
      <c r="P546" s="511">
        <f t="shared" si="383"/>
        <v>2.6570074260234833E-4</v>
      </c>
      <c r="Q546" s="530">
        <v>5399084</v>
      </c>
      <c r="R546" s="480"/>
      <c r="T546" s="512"/>
      <c r="U546" s="513"/>
    </row>
    <row r="547" spans="1:21" s="479" customFormat="1" x14ac:dyDescent="0.15">
      <c r="A547" s="579"/>
      <c r="B547" s="528" t="s">
        <v>294</v>
      </c>
      <c r="C547" s="517">
        <f>'FG1'!I50</f>
        <v>62645727.323123842</v>
      </c>
      <c r="D547" s="517">
        <f t="shared" ref="D547:O547" si="433">$C547*D$19%</f>
        <v>4738190.7038478628</v>
      </c>
      <c r="E547" s="517">
        <f t="shared" si="433"/>
        <v>6788641.3474369412</v>
      </c>
      <c r="F547" s="517">
        <f t="shared" si="433"/>
        <v>4388148.9655435467</v>
      </c>
      <c r="G547" s="517">
        <f t="shared" si="433"/>
        <v>5390396.397208564</v>
      </c>
      <c r="H547" s="517">
        <f t="shared" si="433"/>
        <v>6582851.8177867318</v>
      </c>
      <c r="I547" s="517">
        <f t="shared" si="433"/>
        <v>6453518.1042967616</v>
      </c>
      <c r="J547" s="517">
        <f t="shared" si="433"/>
        <v>5002790.4300585808</v>
      </c>
      <c r="K547" s="517">
        <f t="shared" si="433"/>
        <v>5311636.3422098281</v>
      </c>
      <c r="L547" s="517">
        <f t="shared" si="433"/>
        <v>4991620.7020138176</v>
      </c>
      <c r="M547" s="517">
        <f t="shared" si="433"/>
        <v>3309060.9116397789</v>
      </c>
      <c r="N547" s="517">
        <f t="shared" si="433"/>
        <v>4829405.7357167527</v>
      </c>
      <c r="O547" s="517">
        <f t="shared" si="433"/>
        <v>4859465.8653020319</v>
      </c>
      <c r="P547" s="511">
        <f t="shared" si="383"/>
        <v>6.2646344304084778E-5</v>
      </c>
      <c r="Q547" s="530">
        <v>3767617</v>
      </c>
      <c r="R547" s="480"/>
      <c r="U547" s="513"/>
    </row>
    <row r="548" spans="1:21" s="479" customFormat="1" x14ac:dyDescent="0.15">
      <c r="A548" s="579"/>
      <c r="B548" s="528" t="s">
        <v>296</v>
      </c>
      <c r="C548" s="517">
        <f>FFM!J50</f>
        <v>16838914.381515108</v>
      </c>
      <c r="D548" s="517">
        <f t="shared" ref="D548:O548" si="434">$C548*D$20%</f>
        <v>1273411.5787109956</v>
      </c>
      <c r="E548" s="517">
        <f t="shared" si="434"/>
        <v>1825642.4027740269</v>
      </c>
      <c r="F548" s="517">
        <f t="shared" si="434"/>
        <v>1179137.7533475554</v>
      </c>
      <c r="G548" s="517">
        <f t="shared" si="434"/>
        <v>1449064.7200006905</v>
      </c>
      <c r="H548" s="517">
        <f t="shared" si="434"/>
        <v>1770218.8243782951</v>
      </c>
      <c r="I548" s="517">
        <f t="shared" si="434"/>
        <v>1735386.4455035282</v>
      </c>
      <c r="J548" s="517">
        <f t="shared" si="434"/>
        <v>1344556.1307255516</v>
      </c>
      <c r="K548" s="517">
        <f t="shared" si="434"/>
        <v>1427735.0329158984</v>
      </c>
      <c r="L548" s="517">
        <f t="shared" si="434"/>
        <v>1341547.873556894</v>
      </c>
      <c r="M548" s="517">
        <f t="shared" si="434"/>
        <v>888398.03308094793</v>
      </c>
      <c r="N548" s="517">
        <f t="shared" si="434"/>
        <v>1297859.8693302053</v>
      </c>
      <c r="O548" s="517">
        <f t="shared" si="434"/>
        <v>1305955.7169884522</v>
      </c>
      <c r="P548" s="511">
        <f t="shared" ref="P548:P611" si="435">C548-D548-E548-F548-G548-H548-I548-J548-K548-L548-M548-N548-O548</f>
        <v>2.020678948611021E-4</v>
      </c>
      <c r="Q548" s="530">
        <v>1153522</v>
      </c>
      <c r="R548" s="480"/>
      <c r="U548" s="513"/>
    </row>
    <row r="549" spans="1:21" s="479" customFormat="1" ht="18" x14ac:dyDescent="0.15">
      <c r="A549" s="579"/>
      <c r="B549" s="528" t="s">
        <v>297</v>
      </c>
      <c r="C549" s="517">
        <f>IEPS!I49</f>
        <v>1515024.307959103</v>
      </c>
      <c r="D549" s="517">
        <f t="shared" ref="D549:O549" si="436">$C549*D$21%</f>
        <v>106415.03608958446</v>
      </c>
      <c r="E549" s="517">
        <f t="shared" si="436"/>
        <v>243233.55863096449</v>
      </c>
      <c r="F549" s="517">
        <f t="shared" si="436"/>
        <v>101029.44570844072</v>
      </c>
      <c r="G549" s="517">
        <f t="shared" si="436"/>
        <v>98186.473901510093</v>
      </c>
      <c r="H549" s="517">
        <f t="shared" si="436"/>
        <v>108403.26868336127</v>
      </c>
      <c r="I549" s="517">
        <f t="shared" si="436"/>
        <v>112416.3493268452</v>
      </c>
      <c r="J549" s="517">
        <f t="shared" si="436"/>
        <v>115768.05863945563</v>
      </c>
      <c r="K549" s="517">
        <f t="shared" si="436"/>
        <v>128237.11658092344</v>
      </c>
      <c r="L549" s="517">
        <f t="shared" si="436"/>
        <v>128505.83165797938</v>
      </c>
      <c r="M549" s="517">
        <f t="shared" si="436"/>
        <v>127077.5852380618</v>
      </c>
      <c r="N549" s="517">
        <f t="shared" si="436"/>
        <v>122969.0556421676</v>
      </c>
      <c r="O549" s="517">
        <f t="shared" si="436"/>
        <v>122782.52785829388</v>
      </c>
      <c r="P549" s="511">
        <f t="shared" si="435"/>
        <v>1.5151454135775566E-6</v>
      </c>
      <c r="Q549" s="530">
        <v>97302</v>
      </c>
      <c r="R549" s="480"/>
      <c r="U549" s="513"/>
    </row>
    <row r="550" spans="1:21" s="479" customFormat="1" x14ac:dyDescent="0.15">
      <c r="A550" s="579"/>
      <c r="B550" s="528" t="s">
        <v>236</v>
      </c>
      <c r="C550" s="517">
        <f>ISR!C40</f>
        <v>3528930.38</v>
      </c>
      <c r="D550" s="517">
        <f>ISR!D40</f>
        <v>257906.28799347233</v>
      </c>
      <c r="E550" s="517">
        <f>ISR!E40</f>
        <v>318459.40946472163</v>
      </c>
      <c r="F550" s="517">
        <f>ISR!F40</f>
        <v>286666.24183187372</v>
      </c>
      <c r="G550" s="517">
        <f>ISR!G40</f>
        <v>291736.28522615728</v>
      </c>
      <c r="H550" s="517">
        <f>ISR!H40</f>
        <v>290191.13868114847</v>
      </c>
      <c r="I550" s="517">
        <f>ISR!I40</f>
        <v>286187.57686200034</v>
      </c>
      <c r="J550" s="517">
        <f>ISR!J40</f>
        <v>329766.11694346077</v>
      </c>
      <c r="K550" s="517">
        <f>ISR!K40</f>
        <v>298865.18882558524</v>
      </c>
      <c r="L550" s="517">
        <f>ISR!L40</f>
        <v>290193.14146344893</v>
      </c>
      <c r="M550" s="517">
        <f>ISR!M40</f>
        <v>280243.31899345061</v>
      </c>
      <c r="N550" s="517">
        <f>ISR!N40</f>
        <v>298829.80633827287</v>
      </c>
      <c r="O550" s="517">
        <f>ISR!O40</f>
        <v>299885.86737640772</v>
      </c>
      <c r="P550" s="511">
        <f t="shared" si="435"/>
        <v>0</v>
      </c>
      <c r="Q550" s="530">
        <v>0</v>
      </c>
      <c r="R550" s="480"/>
      <c r="U550" s="513"/>
    </row>
    <row r="551" spans="1:21" s="479" customFormat="1" ht="18" x14ac:dyDescent="0.15">
      <c r="A551" s="579"/>
      <c r="B551" s="528" t="s">
        <v>298</v>
      </c>
      <c r="C551" s="517">
        <f>FOFIR!I49</f>
        <v>2930049.5551424809</v>
      </c>
      <c r="D551" s="517">
        <f t="shared" ref="D551:O551" si="437">$C551*D$23%</f>
        <v>400583.17702577316</v>
      </c>
      <c r="E551" s="517">
        <f t="shared" si="437"/>
        <v>101916.69749993749</v>
      </c>
      <c r="F551" s="517">
        <f t="shared" si="437"/>
        <v>101916.69749993749</v>
      </c>
      <c r="G551" s="517">
        <f t="shared" si="437"/>
        <v>575150.00587671227</v>
      </c>
      <c r="H551" s="517">
        <f t="shared" si="437"/>
        <v>101916.69749993749</v>
      </c>
      <c r="I551" s="517">
        <f t="shared" si="437"/>
        <v>101916.69749993749</v>
      </c>
      <c r="J551" s="517">
        <f t="shared" si="437"/>
        <v>715393.9323762171</v>
      </c>
      <c r="K551" s="517">
        <f t="shared" si="437"/>
        <v>101916.69749993749</v>
      </c>
      <c r="L551" s="517">
        <f t="shared" si="437"/>
        <v>101916.69749993749</v>
      </c>
      <c r="M551" s="517">
        <f t="shared" si="437"/>
        <v>423588.85987599863</v>
      </c>
      <c r="N551" s="517">
        <f t="shared" si="437"/>
        <v>101916.69749993749</v>
      </c>
      <c r="O551" s="517">
        <f t="shared" si="437"/>
        <v>101916.69749993749</v>
      </c>
      <c r="P551" s="511">
        <f t="shared" si="435"/>
        <v>-1.1719937901943922E-5</v>
      </c>
      <c r="Q551" s="530">
        <v>114613</v>
      </c>
      <c r="R551" s="480"/>
      <c r="U551" s="513"/>
    </row>
    <row r="552" spans="1:21" s="479" customFormat="1" ht="27" x14ac:dyDescent="0.15">
      <c r="A552" s="579"/>
      <c r="B552" s="528" t="s">
        <v>407</v>
      </c>
      <c r="C552" s="517">
        <f>FCISAN!I49</f>
        <v>186003.2047949039</v>
      </c>
      <c r="D552" s="517">
        <f t="shared" ref="D552:O552" si="438">$C552*D$24%</f>
        <v>15500.267066179993</v>
      </c>
      <c r="E552" s="517">
        <f t="shared" si="438"/>
        <v>15500.267066179993</v>
      </c>
      <c r="F552" s="517">
        <f t="shared" si="438"/>
        <v>15500.267066179993</v>
      </c>
      <c r="G552" s="517">
        <f t="shared" si="438"/>
        <v>15500.267066179993</v>
      </c>
      <c r="H552" s="517">
        <f t="shared" si="438"/>
        <v>15500.267066179993</v>
      </c>
      <c r="I552" s="517">
        <f t="shared" si="438"/>
        <v>15500.267066179993</v>
      </c>
      <c r="J552" s="517">
        <f t="shared" si="438"/>
        <v>15500.267066179993</v>
      </c>
      <c r="K552" s="517">
        <f t="shared" si="438"/>
        <v>15500.267066179993</v>
      </c>
      <c r="L552" s="517">
        <f t="shared" si="438"/>
        <v>15500.267066179993</v>
      </c>
      <c r="M552" s="517">
        <f t="shared" si="438"/>
        <v>15500.267066179993</v>
      </c>
      <c r="N552" s="517">
        <f t="shared" si="438"/>
        <v>15500.267066179993</v>
      </c>
      <c r="O552" s="517">
        <f t="shared" si="438"/>
        <v>15500.267066179993</v>
      </c>
      <c r="P552" s="511">
        <f t="shared" si="435"/>
        <v>7.439666660502553E-7</v>
      </c>
      <c r="Q552" s="530">
        <v>13634</v>
      </c>
      <c r="R552" s="480"/>
      <c r="U552" s="513"/>
    </row>
    <row r="553" spans="1:21" s="479" customFormat="1" ht="27" x14ac:dyDescent="0.15">
      <c r="A553" s="579"/>
      <c r="B553" s="528" t="s">
        <v>242</v>
      </c>
      <c r="C553" s="517">
        <f>ISAN!I49</f>
        <v>929107.82155803847</v>
      </c>
      <c r="D553" s="517">
        <f t="shared" ref="D553:O553" si="439">$C553*D$25%</f>
        <v>89411.397448224016</v>
      </c>
      <c r="E553" s="517">
        <f t="shared" si="439"/>
        <v>99863.194130148593</v>
      </c>
      <c r="F553" s="517">
        <f t="shared" si="439"/>
        <v>77502.655797181404</v>
      </c>
      <c r="G553" s="517">
        <f t="shared" si="439"/>
        <v>71930.459034793341</v>
      </c>
      <c r="H553" s="517">
        <f t="shared" si="439"/>
        <v>76909.563624915463</v>
      </c>
      <c r="I553" s="517">
        <f t="shared" si="439"/>
        <v>66798.29618042706</v>
      </c>
      <c r="J553" s="517">
        <f t="shared" si="439"/>
        <v>72365.71214511976</v>
      </c>
      <c r="K553" s="517">
        <f t="shared" si="439"/>
        <v>74628.071375111103</v>
      </c>
      <c r="L553" s="517">
        <f t="shared" si="439"/>
        <v>73331.877570577708</v>
      </c>
      <c r="M553" s="517">
        <f t="shared" si="439"/>
        <v>75130.28710718856</v>
      </c>
      <c r="N553" s="517">
        <f t="shared" si="439"/>
        <v>72743.568161999283</v>
      </c>
      <c r="O553" s="517">
        <f t="shared" si="439"/>
        <v>78492.738971202911</v>
      </c>
      <c r="P553" s="511">
        <f t="shared" si="435"/>
        <v>1.1149226338602602E-5</v>
      </c>
      <c r="Q553" s="530">
        <v>58567</v>
      </c>
      <c r="R553" s="480"/>
      <c r="U553" s="513"/>
    </row>
    <row r="554" spans="1:21" s="479" customFormat="1" ht="18" x14ac:dyDescent="0.15">
      <c r="A554" s="579"/>
      <c r="B554" s="528" t="s">
        <v>403</v>
      </c>
      <c r="C554" s="517">
        <f>LOT!I49</f>
        <v>44975.317693966303</v>
      </c>
      <c r="D554" s="517">
        <f t="shared" ref="D554:O554" si="440">$C554*D$26%</f>
        <v>3400.6012636757819</v>
      </c>
      <c r="E554" s="517">
        <f t="shared" si="440"/>
        <v>3352.4000041580507</v>
      </c>
      <c r="F554" s="517">
        <f t="shared" si="440"/>
        <v>3294.9977060649462</v>
      </c>
      <c r="G554" s="517">
        <f t="shared" si="440"/>
        <v>3625.2332391734062</v>
      </c>
      <c r="H554" s="517">
        <f t="shared" si="440"/>
        <v>2966.1006515438512</v>
      </c>
      <c r="I554" s="517">
        <f t="shared" si="440"/>
        <v>4025.1498082141361</v>
      </c>
      <c r="J554" s="517">
        <f t="shared" si="440"/>
        <v>9237.7144819258683</v>
      </c>
      <c r="K554" s="517">
        <f t="shared" si="440"/>
        <v>3362.8593729209656</v>
      </c>
      <c r="L554" s="517">
        <f t="shared" si="440"/>
        <v>4080.4121434967733</v>
      </c>
      <c r="M554" s="517">
        <f t="shared" si="440"/>
        <v>2526.3342882887723</v>
      </c>
      <c r="N554" s="517">
        <f t="shared" si="440"/>
        <v>2551.757366982024</v>
      </c>
      <c r="O554" s="517">
        <f t="shared" si="440"/>
        <v>2551.757366982024</v>
      </c>
      <c r="P554" s="511">
        <f t="shared" si="435"/>
        <v>5.397014319896698E-7</v>
      </c>
      <c r="Q554" s="530">
        <v>2861</v>
      </c>
      <c r="R554" s="480"/>
      <c r="U554" s="513"/>
    </row>
    <row r="555" spans="1:21" s="479" customFormat="1" ht="45" x14ac:dyDescent="0.15">
      <c r="A555" s="579"/>
      <c r="B555" s="518" t="s">
        <v>301</v>
      </c>
      <c r="C555" s="517">
        <f>'ENAJENAC DE INMUE'!I49</f>
        <v>176848.28769586617</v>
      </c>
      <c r="D555" s="517">
        <f t="shared" ref="D555:O555" si="441">$C555*D$27%</f>
        <v>7637.3202187890993</v>
      </c>
      <c r="E555" s="517">
        <f t="shared" si="441"/>
        <v>7749.8102937507083</v>
      </c>
      <c r="F555" s="517">
        <f t="shared" si="441"/>
        <v>7645.3324864433525</v>
      </c>
      <c r="G555" s="517">
        <f t="shared" si="441"/>
        <v>7600.5482583152925</v>
      </c>
      <c r="H555" s="517">
        <f t="shared" si="441"/>
        <v>10543.411955167227</v>
      </c>
      <c r="I555" s="517">
        <f t="shared" si="441"/>
        <v>7588.9116409849048</v>
      </c>
      <c r="J555" s="517">
        <f t="shared" si="441"/>
        <v>8721.7768052307601</v>
      </c>
      <c r="K555" s="517">
        <f t="shared" si="441"/>
        <v>8712.7991538992737</v>
      </c>
      <c r="L555" s="517">
        <f t="shared" si="441"/>
        <v>8701.761740126949</v>
      </c>
      <c r="M555" s="517">
        <f t="shared" si="441"/>
        <v>7599.3040786179554</v>
      </c>
      <c r="N555" s="517">
        <f t="shared" si="441"/>
        <v>31595.111714945178</v>
      </c>
      <c r="O555" s="517">
        <f t="shared" si="441"/>
        <v>62752.199349241768</v>
      </c>
      <c r="P555" s="511">
        <f t="shared" si="435"/>
        <v>3.5364064387977123E-7</v>
      </c>
      <c r="Q555" s="530">
        <v>41744</v>
      </c>
      <c r="R555" s="480"/>
      <c r="U555" s="513"/>
    </row>
    <row r="556" spans="1:21" s="479" customFormat="1" ht="27" x14ac:dyDescent="0.15">
      <c r="A556" s="579"/>
      <c r="B556" s="518" t="s">
        <v>248</v>
      </c>
      <c r="C556" s="517">
        <f>'IMP BEBIDAS AL'!I49</f>
        <v>69121.656281058735</v>
      </c>
      <c r="D556" s="517">
        <f t="shared" ref="D556:O556" si="442">$C556*D$28%</f>
        <v>15717.61457772524</v>
      </c>
      <c r="E556" s="517">
        <f t="shared" si="442"/>
        <v>5406.2886277566104</v>
      </c>
      <c r="F556" s="517">
        <f t="shared" si="442"/>
        <v>5809.8846648089975</v>
      </c>
      <c r="G556" s="517">
        <f t="shared" si="442"/>
        <v>5768.1774371331467</v>
      </c>
      <c r="H556" s="517">
        <f t="shared" si="442"/>
        <v>3673.2031880082782</v>
      </c>
      <c r="I556" s="517">
        <f t="shared" si="442"/>
        <v>6011.2029261636135</v>
      </c>
      <c r="J556" s="517">
        <f t="shared" si="442"/>
        <v>5977.3667541417763</v>
      </c>
      <c r="K556" s="517">
        <f t="shared" si="442"/>
        <v>5466.7380313754202</v>
      </c>
      <c r="L556" s="517">
        <f t="shared" si="442"/>
        <v>3964.6322515157735</v>
      </c>
      <c r="M556" s="517">
        <f t="shared" si="442"/>
        <v>3685.476870160307</v>
      </c>
      <c r="N556" s="517">
        <f t="shared" si="442"/>
        <v>3711.5280643320016</v>
      </c>
      <c r="O556" s="517">
        <f t="shared" si="442"/>
        <v>3929.5428879375727</v>
      </c>
      <c r="P556" s="511">
        <f t="shared" si="435"/>
        <v>-4.5474735088646412E-12</v>
      </c>
      <c r="Q556" s="530">
        <v>1787</v>
      </c>
      <c r="R556" s="480"/>
      <c r="U556" s="513"/>
    </row>
    <row r="557" spans="1:21" s="479" customFormat="1" ht="18" x14ac:dyDescent="0.15">
      <c r="A557" s="579"/>
      <c r="B557" s="518" t="s">
        <v>253</v>
      </c>
      <c r="C557" s="517">
        <f>'FOND GASO Y D'!Q50</f>
        <v>0</v>
      </c>
      <c r="D557" s="517">
        <f t="shared" ref="D557:O557" si="443">$C557*D$29%</f>
        <v>0</v>
      </c>
      <c r="E557" s="517">
        <f t="shared" si="443"/>
        <v>0</v>
      </c>
      <c r="F557" s="517">
        <f t="shared" si="443"/>
        <v>0</v>
      </c>
      <c r="G557" s="517">
        <f t="shared" si="443"/>
        <v>0</v>
      </c>
      <c r="H557" s="517">
        <f t="shared" si="443"/>
        <v>0</v>
      </c>
      <c r="I557" s="517">
        <f t="shared" si="443"/>
        <v>0</v>
      </c>
      <c r="J557" s="517">
        <f t="shared" si="443"/>
        <v>0</v>
      </c>
      <c r="K557" s="517">
        <f t="shared" si="443"/>
        <v>0</v>
      </c>
      <c r="L557" s="517">
        <f t="shared" si="443"/>
        <v>0</v>
      </c>
      <c r="M557" s="517">
        <f t="shared" si="443"/>
        <v>0</v>
      </c>
      <c r="N557" s="517">
        <f t="shared" si="443"/>
        <v>0</v>
      </c>
      <c r="O557" s="517">
        <f t="shared" si="443"/>
        <v>0</v>
      </c>
      <c r="P557" s="511">
        <f t="shared" si="435"/>
        <v>0</v>
      </c>
      <c r="Q557" s="530">
        <v>49487</v>
      </c>
      <c r="R557" s="480"/>
      <c r="U557" s="513"/>
    </row>
    <row r="558" spans="1:21" s="479" customFormat="1" ht="18" x14ac:dyDescent="0.15">
      <c r="A558" s="579"/>
      <c r="B558" s="528" t="s">
        <v>408</v>
      </c>
      <c r="C558" s="519">
        <f>'FOND GASO Y D'!H50</f>
        <v>1602732.2311511317</v>
      </c>
      <c r="D558" s="517">
        <f t="shared" ref="D558:O558" si="444">$C558*D$30%</f>
        <v>124677.8266461899</v>
      </c>
      <c r="E558" s="517">
        <f t="shared" si="444"/>
        <v>137080.43285993679</v>
      </c>
      <c r="F558" s="517">
        <f t="shared" si="444"/>
        <v>133461.94509341661</v>
      </c>
      <c r="G558" s="517">
        <f t="shared" si="444"/>
        <v>124358.72738061685</v>
      </c>
      <c r="H558" s="517">
        <f t="shared" si="444"/>
        <v>137025.54237269031</v>
      </c>
      <c r="I558" s="517">
        <f t="shared" si="444"/>
        <v>132245.93029158007</v>
      </c>
      <c r="J558" s="517">
        <f t="shared" si="444"/>
        <v>135003.07430143721</v>
      </c>
      <c r="K558" s="517">
        <f t="shared" si="444"/>
        <v>134922.85139557088</v>
      </c>
      <c r="L558" s="517">
        <f t="shared" si="444"/>
        <v>140403.35999037159</v>
      </c>
      <c r="M558" s="517">
        <f t="shared" si="444"/>
        <v>139170.45691052364</v>
      </c>
      <c r="N558" s="517">
        <f t="shared" si="444"/>
        <v>130067.23919772392</v>
      </c>
      <c r="O558" s="517">
        <f t="shared" si="444"/>
        <v>134314.84471267666</v>
      </c>
      <c r="P558" s="511">
        <f t="shared" si="435"/>
        <v>-1.6026897355914116E-6</v>
      </c>
      <c r="Q558" s="530">
        <v>97950</v>
      </c>
      <c r="R558" s="480"/>
      <c r="U558" s="513"/>
    </row>
    <row r="559" spans="1:21" s="479" customFormat="1" x14ac:dyDescent="0.15">
      <c r="A559" s="579"/>
      <c r="B559" s="534"/>
      <c r="C559" s="521"/>
      <c r="D559" s="522"/>
      <c r="E559" s="522"/>
      <c r="F559" s="522"/>
      <c r="G559" s="522"/>
      <c r="H559" s="522"/>
      <c r="I559" s="522"/>
      <c r="J559" s="522"/>
      <c r="K559" s="522"/>
      <c r="L559" s="522"/>
      <c r="M559" s="522"/>
      <c r="N559" s="522"/>
      <c r="O559" s="522"/>
      <c r="P559" s="511">
        <f t="shared" si="435"/>
        <v>0</v>
      </c>
      <c r="Q559" s="530">
        <v>0</v>
      </c>
      <c r="R559" s="480"/>
      <c r="U559" s="513"/>
    </row>
    <row r="560" spans="1:21" s="479" customFormat="1" x14ac:dyDescent="0.15">
      <c r="A560" s="590"/>
      <c r="B560" s="536"/>
      <c r="C560" s="522"/>
      <c r="D560" s="522"/>
      <c r="E560" s="522"/>
      <c r="F560" s="522"/>
      <c r="G560" s="522"/>
      <c r="H560" s="522"/>
      <c r="I560" s="522"/>
      <c r="J560" s="522"/>
      <c r="K560" s="522"/>
      <c r="L560" s="522"/>
      <c r="M560" s="522"/>
      <c r="N560" s="522"/>
      <c r="O560" s="522"/>
      <c r="P560" s="511">
        <f t="shared" si="435"/>
        <v>0</v>
      </c>
      <c r="Q560" s="530">
        <v>0</v>
      </c>
      <c r="R560" s="480"/>
      <c r="U560" s="513"/>
    </row>
    <row r="561" spans="1:21" s="479" customFormat="1" x14ac:dyDescent="0.15">
      <c r="A561" s="592">
        <v>36</v>
      </c>
      <c r="B561" s="533" t="s">
        <v>114</v>
      </c>
      <c r="C561" s="524">
        <f t="shared" ref="C561:O561" si="445">SUM(C562:C573)</f>
        <v>33813723.228362188</v>
      </c>
      <c r="D561" s="524">
        <f t="shared" si="445"/>
        <v>2662890.2753458577</v>
      </c>
      <c r="E561" s="524">
        <f t="shared" si="445"/>
        <v>3555126.7374658342</v>
      </c>
      <c r="F561" s="524">
        <f t="shared" si="445"/>
        <v>2370754.7542402688</v>
      </c>
      <c r="G561" s="524">
        <f t="shared" si="445"/>
        <v>2989469.9756823415</v>
      </c>
      <c r="H561" s="524">
        <f t="shared" si="445"/>
        <v>3402454.6795025193</v>
      </c>
      <c r="I561" s="524">
        <f t="shared" si="445"/>
        <v>3333099.527295019</v>
      </c>
      <c r="J561" s="524">
        <f t="shared" si="445"/>
        <v>2885405.2128240326</v>
      </c>
      <c r="K561" s="524">
        <f t="shared" si="445"/>
        <v>2797943.8303567297</v>
      </c>
      <c r="L561" s="524">
        <f t="shared" si="445"/>
        <v>2659481.1055199904</v>
      </c>
      <c r="M561" s="524">
        <f t="shared" si="445"/>
        <v>1980597.7761868464</v>
      </c>
      <c r="N561" s="524">
        <f t="shared" si="445"/>
        <v>2573677.3796103103</v>
      </c>
      <c r="O561" s="524">
        <f t="shared" si="445"/>
        <v>2602821.9742340078</v>
      </c>
      <c r="P561" s="511">
        <f t="shared" si="435"/>
        <v>9.8432879894971848E-5</v>
      </c>
      <c r="Q561" s="530">
        <v>2036169</v>
      </c>
      <c r="R561" s="480"/>
      <c r="T561" s="512"/>
      <c r="U561" s="513"/>
    </row>
    <row r="562" spans="1:21" s="479" customFormat="1" x14ac:dyDescent="0.15">
      <c r="A562" s="593"/>
      <c r="B562" s="525" t="s">
        <v>294</v>
      </c>
      <c r="C562" s="526">
        <f>'FG1'!I51</f>
        <v>23296970.307911504</v>
      </c>
      <c r="D562" s="526">
        <f t="shared" ref="D562:O562" si="446">$C562*D$19%</f>
        <v>1762059.3272291753</v>
      </c>
      <c r="E562" s="526">
        <f t="shared" si="446"/>
        <v>2524589.9865850955</v>
      </c>
      <c r="F562" s="526">
        <f t="shared" si="446"/>
        <v>1631884.2565217558</v>
      </c>
      <c r="G562" s="526">
        <f t="shared" si="446"/>
        <v>2004604.4667325127</v>
      </c>
      <c r="H562" s="526">
        <f t="shared" si="446"/>
        <v>2448060.0656024343</v>
      </c>
      <c r="I562" s="526">
        <f t="shared" si="446"/>
        <v>2399962.8718792866</v>
      </c>
      <c r="J562" s="526">
        <f t="shared" si="446"/>
        <v>1860459.8443660752</v>
      </c>
      <c r="K562" s="526">
        <f t="shared" si="446"/>
        <v>1975314.8289366125</v>
      </c>
      <c r="L562" s="526">
        <f t="shared" si="446"/>
        <v>1856305.9964705266</v>
      </c>
      <c r="M562" s="526">
        <f t="shared" si="446"/>
        <v>1230588.2156640964</v>
      </c>
      <c r="N562" s="526">
        <f t="shared" si="446"/>
        <v>1795980.776941522</v>
      </c>
      <c r="O562" s="526">
        <f t="shared" si="446"/>
        <v>1807159.6709591148</v>
      </c>
      <c r="P562" s="511">
        <f t="shared" si="435"/>
        <v>2.3296335712075233E-5</v>
      </c>
      <c r="Q562" s="530">
        <v>1396290</v>
      </c>
      <c r="R562" s="480"/>
      <c r="U562" s="513"/>
    </row>
    <row r="563" spans="1:21" s="479" customFormat="1" x14ac:dyDescent="0.15">
      <c r="A563" s="579"/>
      <c r="B563" s="525" t="s">
        <v>296</v>
      </c>
      <c r="C563" s="526">
        <f>FFM!J51</f>
        <v>6262129.9987496007</v>
      </c>
      <c r="D563" s="526">
        <f t="shared" ref="D563:O563" si="447">$C563*D$20%</f>
        <v>473561.93321791309</v>
      </c>
      <c r="E563" s="526">
        <f t="shared" si="447"/>
        <v>678927.97590030183</v>
      </c>
      <c r="F563" s="526">
        <f t="shared" si="447"/>
        <v>438502.96584449732</v>
      </c>
      <c r="G563" s="526">
        <f t="shared" si="447"/>
        <v>538884.60073217296</v>
      </c>
      <c r="H563" s="526">
        <f t="shared" si="447"/>
        <v>658316.81029624376</v>
      </c>
      <c r="I563" s="526">
        <f t="shared" si="447"/>
        <v>645363.19109387195</v>
      </c>
      <c r="J563" s="526">
        <f t="shared" si="447"/>
        <v>500019.48406258138</v>
      </c>
      <c r="K563" s="526">
        <f t="shared" si="447"/>
        <v>530952.42230716452</v>
      </c>
      <c r="L563" s="526">
        <f t="shared" si="447"/>
        <v>498900.76007402764</v>
      </c>
      <c r="M563" s="526">
        <f t="shared" si="447"/>
        <v>330381.39203875331</v>
      </c>
      <c r="N563" s="526">
        <f t="shared" si="447"/>
        <v>482653.87172629841</v>
      </c>
      <c r="O563" s="526">
        <f t="shared" si="447"/>
        <v>485664.59138062887</v>
      </c>
      <c r="P563" s="511">
        <f t="shared" si="435"/>
        <v>7.5146497692912817E-5</v>
      </c>
      <c r="Q563" s="530">
        <v>427500</v>
      </c>
      <c r="R563" s="480"/>
      <c r="U563" s="513"/>
    </row>
    <row r="564" spans="1:21" s="479" customFormat="1" ht="18" x14ac:dyDescent="0.15">
      <c r="A564" s="579"/>
      <c r="B564" s="527" t="s">
        <v>297</v>
      </c>
      <c r="C564" s="515">
        <f>IEPS!I50</f>
        <v>563413.9441982198</v>
      </c>
      <c r="D564" s="515">
        <f t="shared" ref="D564:O564" si="448">$C564*D$21%</f>
        <v>39574.094547694309</v>
      </c>
      <c r="E564" s="515">
        <f t="shared" si="448"/>
        <v>90454.772183985304</v>
      </c>
      <c r="F564" s="515">
        <f t="shared" si="448"/>
        <v>37571.27736348442</v>
      </c>
      <c r="G564" s="515">
        <f t="shared" si="448"/>
        <v>36514.020426699768</v>
      </c>
      <c r="H564" s="515">
        <f t="shared" si="448"/>
        <v>40313.487283347691</v>
      </c>
      <c r="I564" s="515">
        <f t="shared" si="448"/>
        <v>41805.889472443021</v>
      </c>
      <c r="J564" s="515">
        <f t="shared" si="448"/>
        <v>43052.337964195358</v>
      </c>
      <c r="K564" s="515">
        <f t="shared" si="448"/>
        <v>47689.386411756081</v>
      </c>
      <c r="L564" s="515">
        <f t="shared" si="448"/>
        <v>47789.317363777278</v>
      </c>
      <c r="M564" s="515">
        <f t="shared" si="448"/>
        <v>47258.174764608848</v>
      </c>
      <c r="N564" s="515">
        <f t="shared" si="448"/>
        <v>45730.27659669354</v>
      </c>
      <c r="O564" s="515">
        <f t="shared" si="448"/>
        <v>45660.909818970744</v>
      </c>
      <c r="P564" s="511">
        <f t="shared" si="435"/>
        <v>5.6337739806622267E-7</v>
      </c>
      <c r="Q564" s="530">
        <v>36061</v>
      </c>
      <c r="R564" s="480"/>
      <c r="U564" s="513"/>
    </row>
    <row r="565" spans="1:21" s="479" customFormat="1" x14ac:dyDescent="0.15">
      <c r="A565" s="579"/>
      <c r="B565" s="528" t="s">
        <v>236</v>
      </c>
      <c r="C565" s="517">
        <f>ISR!C41</f>
        <v>1101482</v>
      </c>
      <c r="D565" s="517">
        <f>ISR!D41</f>
        <v>113742.37520357607</v>
      </c>
      <c r="E565" s="517">
        <f>ISR!E41</f>
        <v>90632.769474238637</v>
      </c>
      <c r="F565" s="517">
        <f>ISR!F41</f>
        <v>102706.88336147155</v>
      </c>
      <c r="G565" s="517">
        <f>ISR!G41</f>
        <v>80921.282036954522</v>
      </c>
      <c r="H565" s="517">
        <f>ISR!H41</f>
        <v>93561.917039711727</v>
      </c>
      <c r="I565" s="517">
        <f>ISR!I41</f>
        <v>90274.983537717315</v>
      </c>
      <c r="J565" s="517">
        <f>ISR!J41</f>
        <v>91939.658010151048</v>
      </c>
      <c r="K565" s="517">
        <f>ISR!K41</f>
        <v>83781.510177879711</v>
      </c>
      <c r="L565" s="517">
        <f>ISR!L41</f>
        <v>93715.747679694919</v>
      </c>
      <c r="M565" s="517">
        <f>ISR!M41</f>
        <v>91150.489145354455</v>
      </c>
      <c r="N565" s="517">
        <f>ISR!N41</f>
        <v>85212.884810957141</v>
      </c>
      <c r="O565" s="517">
        <f>ISR!O41</f>
        <v>83841.49952229255</v>
      </c>
      <c r="P565" s="511">
        <f t="shared" si="435"/>
        <v>2.7648638933897018E-10</v>
      </c>
      <c r="Q565" s="530">
        <v>0</v>
      </c>
      <c r="R565" s="480"/>
      <c r="U565" s="513"/>
    </row>
    <row r="566" spans="1:21" s="479" customFormat="1" ht="18" x14ac:dyDescent="0.15">
      <c r="A566" s="579"/>
      <c r="B566" s="528" t="s">
        <v>298</v>
      </c>
      <c r="C566" s="517">
        <f>FOFIR!I50</f>
        <v>1089639.7951415759</v>
      </c>
      <c r="D566" s="517">
        <f t="shared" ref="D566:O566" si="449">$C566*D$23%</f>
        <v>148970.6446040977</v>
      </c>
      <c r="E566" s="517">
        <f t="shared" si="449"/>
        <v>37901.232486130306</v>
      </c>
      <c r="F566" s="517">
        <f t="shared" si="449"/>
        <v>37901.232486130306</v>
      </c>
      <c r="G566" s="517">
        <f t="shared" si="449"/>
        <v>213889.32944129052</v>
      </c>
      <c r="H566" s="517">
        <f t="shared" si="449"/>
        <v>37901.232486130306</v>
      </c>
      <c r="I566" s="517">
        <f t="shared" si="449"/>
        <v>37901.232486130306</v>
      </c>
      <c r="J566" s="517">
        <f t="shared" si="449"/>
        <v>266043.86146023439</v>
      </c>
      <c r="K566" s="517">
        <f t="shared" si="449"/>
        <v>37901.232486130306</v>
      </c>
      <c r="L566" s="517">
        <f t="shared" si="449"/>
        <v>37901.232486130306</v>
      </c>
      <c r="M566" s="517">
        <f t="shared" si="449"/>
        <v>157526.09975126936</v>
      </c>
      <c r="N566" s="517">
        <f t="shared" si="449"/>
        <v>37901.232486130306</v>
      </c>
      <c r="O566" s="517">
        <f t="shared" si="449"/>
        <v>37901.232486130306</v>
      </c>
      <c r="P566" s="511">
        <f t="shared" si="435"/>
        <v>-4.3585896492004395E-6</v>
      </c>
      <c r="Q566" s="530">
        <v>42473</v>
      </c>
      <c r="R566" s="480"/>
      <c r="U566" s="513"/>
    </row>
    <row r="567" spans="1:21" s="479" customFormat="1" ht="27" x14ac:dyDescent="0.15">
      <c r="A567" s="579"/>
      <c r="B567" s="528" t="s">
        <v>407</v>
      </c>
      <c r="C567" s="517">
        <f>FCISAN!I50</f>
        <v>69171.694933514518</v>
      </c>
      <c r="D567" s="517">
        <f t="shared" ref="D567:O567" si="450">$C567*D$24%</f>
        <v>5764.3079111031539</v>
      </c>
      <c r="E567" s="517">
        <f t="shared" si="450"/>
        <v>5764.3079111031539</v>
      </c>
      <c r="F567" s="517">
        <f t="shared" si="450"/>
        <v>5764.3079111031539</v>
      </c>
      <c r="G567" s="517">
        <f t="shared" si="450"/>
        <v>5764.3079111031539</v>
      </c>
      <c r="H567" s="517">
        <f t="shared" si="450"/>
        <v>5764.3079111031539</v>
      </c>
      <c r="I567" s="517">
        <f t="shared" si="450"/>
        <v>5764.3079111031539</v>
      </c>
      <c r="J567" s="517">
        <f t="shared" si="450"/>
        <v>5764.3079111031539</v>
      </c>
      <c r="K567" s="517">
        <f t="shared" si="450"/>
        <v>5764.3079111031539</v>
      </c>
      <c r="L567" s="517">
        <f t="shared" si="450"/>
        <v>5764.3079111031539</v>
      </c>
      <c r="M567" s="517">
        <f t="shared" si="450"/>
        <v>5764.3079111031539</v>
      </c>
      <c r="N567" s="517">
        <f t="shared" si="450"/>
        <v>5764.3079111031539</v>
      </c>
      <c r="O567" s="517">
        <f t="shared" si="450"/>
        <v>5764.3079111031539</v>
      </c>
      <c r="P567" s="511">
        <f t="shared" si="435"/>
        <v>2.7666283131111413E-7</v>
      </c>
      <c r="Q567" s="530">
        <v>5054</v>
      </c>
      <c r="R567" s="480"/>
      <c r="U567" s="513"/>
    </row>
    <row r="568" spans="1:21" s="479" customFormat="1" ht="27" x14ac:dyDescent="0.15">
      <c r="A568" s="579"/>
      <c r="B568" s="528" t="s">
        <v>242</v>
      </c>
      <c r="C568" s="517">
        <f>ISAN!I50</f>
        <v>345520.72833379311</v>
      </c>
      <c r="D568" s="517">
        <f t="shared" ref="D568:O568" si="451">$C568*D$25%</f>
        <v>33250.706162226394</v>
      </c>
      <c r="E568" s="517">
        <f t="shared" si="451"/>
        <v>37137.566565445719</v>
      </c>
      <c r="F568" s="517">
        <f t="shared" si="451"/>
        <v>28822.030616360069</v>
      </c>
      <c r="G568" s="517">
        <f t="shared" si="451"/>
        <v>26749.81742528937</v>
      </c>
      <c r="H568" s="517">
        <f t="shared" si="451"/>
        <v>28601.468874681093</v>
      </c>
      <c r="I568" s="517">
        <f t="shared" si="451"/>
        <v>24841.24599124994</v>
      </c>
      <c r="J568" s="517">
        <f t="shared" si="451"/>
        <v>26911.681278116856</v>
      </c>
      <c r="K568" s="517">
        <f t="shared" si="451"/>
        <v>27753.017440359527</v>
      </c>
      <c r="L568" s="517">
        <f t="shared" si="451"/>
        <v>27270.983152182827</v>
      </c>
      <c r="M568" s="517">
        <f t="shared" si="451"/>
        <v>27939.783649298653</v>
      </c>
      <c r="N568" s="517">
        <f t="shared" si="451"/>
        <v>27052.200045829501</v>
      </c>
      <c r="O568" s="517">
        <f t="shared" si="451"/>
        <v>29190.227128606926</v>
      </c>
      <c r="P568" s="511">
        <f t="shared" si="435"/>
        <v>4.1462008084636182E-6</v>
      </c>
      <c r="Q568" s="530">
        <v>21705</v>
      </c>
      <c r="R568" s="480"/>
      <c r="U568" s="513"/>
    </row>
    <row r="569" spans="1:21" s="479" customFormat="1" ht="18" x14ac:dyDescent="0.15">
      <c r="A569" s="579"/>
      <c r="B569" s="528" t="s">
        <v>403</v>
      </c>
      <c r="C569" s="517">
        <f>LOT!I50</f>
        <v>16725.620176788321</v>
      </c>
      <c r="D569" s="517">
        <f t="shared" ref="D569:O569" si="452">$C569*D$26%</f>
        <v>1264.6306468798534</v>
      </c>
      <c r="E569" s="517">
        <f t="shared" si="452"/>
        <v>1246.7053491816332</v>
      </c>
      <c r="F569" s="517">
        <f t="shared" si="452"/>
        <v>1225.3583285399345</v>
      </c>
      <c r="G569" s="517">
        <f t="shared" si="452"/>
        <v>1348.1677800091859</v>
      </c>
      <c r="H569" s="517">
        <f t="shared" si="452"/>
        <v>1103.0466364110259</v>
      </c>
      <c r="I569" s="517">
        <f t="shared" si="452"/>
        <v>1496.8905234858137</v>
      </c>
      <c r="J569" s="517">
        <f t="shared" si="452"/>
        <v>3435.3621419118272</v>
      </c>
      <c r="K569" s="517">
        <f t="shared" si="452"/>
        <v>1250.5950255238406</v>
      </c>
      <c r="L569" s="517">
        <f t="shared" si="452"/>
        <v>1517.4417252874125</v>
      </c>
      <c r="M569" s="517">
        <f t="shared" si="452"/>
        <v>939.50437511158566</v>
      </c>
      <c r="N569" s="517">
        <f t="shared" si="452"/>
        <v>948.95882212275092</v>
      </c>
      <c r="O569" s="517">
        <f t="shared" si="452"/>
        <v>948.95882212275092</v>
      </c>
      <c r="P569" s="511">
        <f t="shared" si="435"/>
        <v>2.0070706341357436E-7</v>
      </c>
      <c r="Q569" s="530">
        <v>1059</v>
      </c>
      <c r="R569" s="480"/>
      <c r="U569" s="513"/>
    </row>
    <row r="570" spans="1:21" s="479" customFormat="1" ht="45" x14ac:dyDescent="0.15">
      <c r="A570" s="579"/>
      <c r="B570" s="518" t="s">
        <v>301</v>
      </c>
      <c r="C570" s="517">
        <f>'ENAJENAC DE INMUE'!I50</f>
        <v>65767.123848760792</v>
      </c>
      <c r="D570" s="517">
        <f t="shared" ref="D570:O570" si="453">$C570*D$27%</f>
        <v>2840.2004409878632</v>
      </c>
      <c r="E570" s="517">
        <f t="shared" si="453"/>
        <v>2882.0337478756255</v>
      </c>
      <c r="F570" s="517">
        <f t="shared" si="453"/>
        <v>2843.1800785404353</v>
      </c>
      <c r="G570" s="517">
        <f t="shared" si="453"/>
        <v>2826.5255215970597</v>
      </c>
      <c r="H570" s="517">
        <f t="shared" si="453"/>
        <v>3920.93069646496</v>
      </c>
      <c r="I570" s="517">
        <f t="shared" si="453"/>
        <v>2822.1980448478112</v>
      </c>
      <c r="J570" s="517">
        <f t="shared" si="453"/>
        <v>3243.4929554834966</v>
      </c>
      <c r="K570" s="517">
        <f t="shared" si="453"/>
        <v>3240.154306776848</v>
      </c>
      <c r="L570" s="517">
        <f t="shared" si="453"/>
        <v>3236.0496644984737</v>
      </c>
      <c r="M570" s="517">
        <f t="shared" si="453"/>
        <v>2826.0628305452492</v>
      </c>
      <c r="N570" s="517">
        <f t="shared" si="453"/>
        <v>11749.729964848306</v>
      </c>
      <c r="O570" s="517">
        <f t="shared" si="453"/>
        <v>23336.565596163131</v>
      </c>
      <c r="P570" s="511">
        <f t="shared" si="435"/>
        <v>1.3152748579159379E-7</v>
      </c>
      <c r="Q570" s="530">
        <v>15471</v>
      </c>
      <c r="R570" s="480"/>
      <c r="U570" s="513"/>
    </row>
    <row r="571" spans="1:21" s="479" customFormat="1" ht="27" x14ac:dyDescent="0.15">
      <c r="A571" s="579"/>
      <c r="B571" s="518" t="s">
        <v>248</v>
      </c>
      <c r="C571" s="517">
        <f>'IMP BEBIDAS AL'!I50</f>
        <v>25705.267427218219</v>
      </c>
      <c r="D571" s="517">
        <f t="shared" ref="D571:O571" si="454">$C571*D$28%</f>
        <v>5845.1360655413746</v>
      </c>
      <c r="E571" s="517">
        <f t="shared" si="454"/>
        <v>2010.5145397578381</v>
      </c>
      <c r="F571" s="517">
        <f t="shared" si="454"/>
        <v>2160.6056200816756</v>
      </c>
      <c r="G571" s="517">
        <f t="shared" si="454"/>
        <v>2145.0953516833561</v>
      </c>
      <c r="H571" s="517">
        <f t="shared" si="454"/>
        <v>1366.0070568670274</v>
      </c>
      <c r="I571" s="517">
        <f t="shared" si="454"/>
        <v>2235.4727460235217</v>
      </c>
      <c r="J571" s="517">
        <f t="shared" si="454"/>
        <v>2222.8896006342088</v>
      </c>
      <c r="K571" s="517">
        <f t="shared" si="454"/>
        <v>2032.994731487028</v>
      </c>
      <c r="L571" s="517">
        <f t="shared" si="454"/>
        <v>1474.3849866877968</v>
      </c>
      <c r="M571" s="517">
        <f t="shared" si="454"/>
        <v>1370.5714481013999</v>
      </c>
      <c r="N571" s="517">
        <f t="shared" si="454"/>
        <v>1380.2594814763365</v>
      </c>
      <c r="O571" s="517">
        <f t="shared" si="454"/>
        <v>1461.3357988766575</v>
      </c>
      <c r="P571" s="511">
        <f t="shared" si="435"/>
        <v>0</v>
      </c>
      <c r="Q571" s="530">
        <v>664</v>
      </c>
      <c r="R571" s="480"/>
      <c r="U571" s="513"/>
    </row>
    <row r="572" spans="1:21" s="479" customFormat="1" ht="18" x14ac:dyDescent="0.15">
      <c r="A572" s="579"/>
      <c r="B572" s="518" t="s">
        <v>253</v>
      </c>
      <c r="C572" s="517">
        <f>'FOND GASO Y D'!Q51</f>
        <v>0</v>
      </c>
      <c r="D572" s="517">
        <f t="shared" ref="D572:O572" si="455">$C572*D$29%</f>
        <v>0</v>
      </c>
      <c r="E572" s="517">
        <f t="shared" si="455"/>
        <v>0</v>
      </c>
      <c r="F572" s="517">
        <f t="shared" si="455"/>
        <v>0</v>
      </c>
      <c r="G572" s="517">
        <f t="shared" si="455"/>
        <v>0</v>
      </c>
      <c r="H572" s="517">
        <f t="shared" si="455"/>
        <v>0</v>
      </c>
      <c r="I572" s="517">
        <f t="shared" si="455"/>
        <v>0</v>
      </c>
      <c r="J572" s="517">
        <f t="shared" si="455"/>
        <v>0</v>
      </c>
      <c r="K572" s="517">
        <f t="shared" si="455"/>
        <v>0</v>
      </c>
      <c r="L572" s="517">
        <f t="shared" si="455"/>
        <v>0</v>
      </c>
      <c r="M572" s="517">
        <f t="shared" si="455"/>
        <v>0</v>
      </c>
      <c r="N572" s="517">
        <f t="shared" si="455"/>
        <v>0</v>
      </c>
      <c r="O572" s="517">
        <f t="shared" si="455"/>
        <v>0</v>
      </c>
      <c r="P572" s="511">
        <f t="shared" si="435"/>
        <v>0</v>
      </c>
      <c r="Q572" s="530">
        <v>30172</v>
      </c>
      <c r="R572" s="480"/>
      <c r="U572" s="513"/>
    </row>
    <row r="573" spans="1:21" s="479" customFormat="1" ht="18" x14ac:dyDescent="0.15">
      <c r="A573" s="579"/>
      <c r="B573" s="528" t="s">
        <v>408</v>
      </c>
      <c r="C573" s="519">
        <f>'FOND GASO Y D'!H51</f>
        <v>977196.74764120928</v>
      </c>
      <c r="D573" s="517">
        <f t="shared" ref="D573:O573" si="456">$C573*D$30%</f>
        <v>76016.919316663261</v>
      </c>
      <c r="E573" s="517">
        <f t="shared" si="456"/>
        <v>83578.87272271869</v>
      </c>
      <c r="F573" s="517">
        <f t="shared" si="456"/>
        <v>81372.65610830432</v>
      </c>
      <c r="G573" s="517">
        <f t="shared" si="456"/>
        <v>75822.362323029505</v>
      </c>
      <c r="H573" s="517">
        <f t="shared" si="456"/>
        <v>83545.405619124489</v>
      </c>
      <c r="I573" s="517">
        <f t="shared" si="456"/>
        <v>80631.243608859688</v>
      </c>
      <c r="J573" s="517">
        <f t="shared" si="456"/>
        <v>82312.293073545225</v>
      </c>
      <c r="K573" s="517">
        <f t="shared" si="456"/>
        <v>82263.380621935867</v>
      </c>
      <c r="L573" s="517">
        <f t="shared" si="456"/>
        <v>85604.88400607412</v>
      </c>
      <c r="M573" s="517">
        <f t="shared" si="456"/>
        <v>84853.174608604197</v>
      </c>
      <c r="N573" s="517">
        <f t="shared" si="456"/>
        <v>79302.880823329397</v>
      </c>
      <c r="O573" s="517">
        <f t="shared" si="456"/>
        <v>81892.674809997698</v>
      </c>
      <c r="P573" s="511">
        <f t="shared" si="435"/>
        <v>-9.7732117865234613E-7</v>
      </c>
      <c r="Q573" s="530">
        <v>59720</v>
      </c>
      <c r="R573" s="480"/>
      <c r="U573" s="513"/>
    </row>
    <row r="574" spans="1:21" s="479" customFormat="1" x14ac:dyDescent="0.15">
      <c r="A574" s="579"/>
      <c r="C574" s="521"/>
      <c r="D574" s="522"/>
      <c r="E574" s="522"/>
      <c r="F574" s="522"/>
      <c r="G574" s="522"/>
      <c r="H574" s="522"/>
      <c r="I574" s="522"/>
      <c r="J574" s="522"/>
      <c r="K574" s="522"/>
      <c r="L574" s="522"/>
      <c r="M574" s="522"/>
      <c r="N574" s="522"/>
      <c r="O574" s="522"/>
      <c r="P574" s="511">
        <f t="shared" si="435"/>
        <v>0</v>
      </c>
      <c r="Q574" s="530">
        <v>0</v>
      </c>
      <c r="R574" s="480"/>
      <c r="U574" s="513"/>
    </row>
    <row r="575" spans="1:21" s="479" customFormat="1" x14ac:dyDescent="0.15">
      <c r="A575" s="591"/>
      <c r="B575" s="532"/>
      <c r="C575" s="521"/>
      <c r="D575" s="521"/>
      <c r="E575" s="521"/>
      <c r="F575" s="521"/>
      <c r="G575" s="521"/>
      <c r="H575" s="521"/>
      <c r="I575" s="521"/>
      <c r="J575" s="521"/>
      <c r="K575" s="521"/>
      <c r="L575" s="521"/>
      <c r="M575" s="521"/>
      <c r="N575" s="521"/>
      <c r="O575" s="521"/>
      <c r="P575" s="511">
        <f t="shared" si="435"/>
        <v>0</v>
      </c>
      <c r="Q575" s="530">
        <v>0</v>
      </c>
      <c r="R575" s="480"/>
      <c r="U575" s="513"/>
    </row>
    <row r="576" spans="1:21" s="479" customFormat="1" x14ac:dyDescent="0.15">
      <c r="A576" s="584">
        <v>37</v>
      </c>
      <c r="B576" s="533" t="s">
        <v>92</v>
      </c>
      <c r="C576" s="524">
        <f t="shared" ref="C576:O576" si="457">SUM(C577:C588)</f>
        <v>26594523.932343703</v>
      </c>
      <c r="D576" s="524">
        <f t="shared" si="457"/>
        <v>2072459.6457668096</v>
      </c>
      <c r="E576" s="524">
        <f t="shared" si="457"/>
        <v>2785572.9269535295</v>
      </c>
      <c r="F576" s="524">
        <f t="shared" si="457"/>
        <v>1859524.5850132608</v>
      </c>
      <c r="G576" s="524">
        <f t="shared" si="457"/>
        <v>2352149.0268670074</v>
      </c>
      <c r="H576" s="524">
        <f t="shared" si="457"/>
        <v>2688671.2380238939</v>
      </c>
      <c r="I576" s="524">
        <f t="shared" si="457"/>
        <v>2614541.6456907582</v>
      </c>
      <c r="J576" s="524">
        <f t="shared" si="457"/>
        <v>2265871.1949340776</v>
      </c>
      <c r="K576" s="524">
        <f t="shared" si="457"/>
        <v>2205713.5838987082</v>
      </c>
      <c r="L576" s="524">
        <f t="shared" si="457"/>
        <v>2091658.4167418627</v>
      </c>
      <c r="M576" s="524">
        <f t="shared" si="457"/>
        <v>1566458.2005586948</v>
      </c>
      <c r="N576" s="524">
        <f t="shared" si="457"/>
        <v>2033338.4662773444</v>
      </c>
      <c r="O576" s="524">
        <f t="shared" si="457"/>
        <v>2058565.001541252</v>
      </c>
      <c r="P576" s="511">
        <f t="shared" si="435"/>
        <v>7.650814950466156E-5</v>
      </c>
      <c r="Q576" s="530">
        <v>1598494</v>
      </c>
      <c r="R576" s="480"/>
      <c r="T576" s="512"/>
      <c r="U576" s="513"/>
    </row>
    <row r="577" spans="1:21" s="479" customFormat="1" x14ac:dyDescent="0.15">
      <c r="A577" s="579"/>
      <c r="B577" s="525" t="s">
        <v>294</v>
      </c>
      <c r="C577" s="526">
        <f>'FG1'!I52</f>
        <v>18131164.411835719</v>
      </c>
      <c r="D577" s="526">
        <f t="shared" ref="D577:O577" si="458">$C577*D$19%</f>
        <v>1371345.1553205359</v>
      </c>
      <c r="E577" s="526">
        <f t="shared" si="458"/>
        <v>1964794.3708673576</v>
      </c>
      <c r="F577" s="526">
        <f t="shared" si="458"/>
        <v>1270034.745506559</v>
      </c>
      <c r="G577" s="526">
        <f t="shared" si="458"/>
        <v>1560109.0050187618</v>
      </c>
      <c r="H577" s="526">
        <f t="shared" si="458"/>
        <v>1905233.9833396194</v>
      </c>
      <c r="I577" s="526">
        <f t="shared" si="458"/>
        <v>1867801.7286036394</v>
      </c>
      <c r="J577" s="526">
        <f t="shared" si="458"/>
        <v>1447926.6133744579</v>
      </c>
      <c r="K577" s="526">
        <f t="shared" si="458"/>
        <v>1537313.9706678684</v>
      </c>
      <c r="L577" s="526">
        <f t="shared" si="458"/>
        <v>1444693.8282465832</v>
      </c>
      <c r="M577" s="526">
        <f t="shared" si="458"/>
        <v>957720.98116536089</v>
      </c>
      <c r="N577" s="526">
        <f t="shared" si="458"/>
        <v>1397744.9563973958</v>
      </c>
      <c r="O577" s="526">
        <f t="shared" si="458"/>
        <v>1406445.073309449</v>
      </c>
      <c r="P577" s="511">
        <f t="shared" si="435"/>
        <v>1.8132152035832405E-5</v>
      </c>
      <c r="Q577" s="530">
        <v>1090338</v>
      </c>
      <c r="R577" s="480"/>
      <c r="U577" s="513"/>
    </row>
    <row r="578" spans="1:21" s="479" customFormat="1" x14ac:dyDescent="0.15">
      <c r="A578" s="579"/>
      <c r="B578" s="527" t="s">
        <v>296</v>
      </c>
      <c r="C578" s="515">
        <f>FFM!J52</f>
        <v>4873582.5764030898</v>
      </c>
      <c r="D578" s="515">
        <f t="shared" ref="D578:O578" si="459">$C578*D$20%</f>
        <v>368555.61718447658</v>
      </c>
      <c r="E578" s="515">
        <f t="shared" si="459"/>
        <v>528384.36037594546</v>
      </c>
      <c r="F578" s="515">
        <f t="shared" si="459"/>
        <v>341270.52847314667</v>
      </c>
      <c r="G578" s="515">
        <f t="shared" si="459"/>
        <v>419393.81669570319</v>
      </c>
      <c r="H578" s="515">
        <f t="shared" si="459"/>
        <v>512343.45774579351</v>
      </c>
      <c r="I578" s="515">
        <f t="shared" si="459"/>
        <v>502262.13831316505</v>
      </c>
      <c r="J578" s="515">
        <f t="shared" si="459"/>
        <v>389146.54372810014</v>
      </c>
      <c r="K578" s="515">
        <f t="shared" si="459"/>
        <v>413220.49762172025</v>
      </c>
      <c r="L578" s="515">
        <f t="shared" si="459"/>
        <v>388275.88250907272</v>
      </c>
      <c r="M578" s="515">
        <f t="shared" si="459"/>
        <v>257123.53402586241</v>
      </c>
      <c r="N578" s="515">
        <f t="shared" si="459"/>
        <v>375631.53434190433</v>
      </c>
      <c r="O578" s="515">
        <f t="shared" si="459"/>
        <v>377974.66532971663</v>
      </c>
      <c r="P578" s="511">
        <f t="shared" si="435"/>
        <v>5.8482401072978973E-5</v>
      </c>
      <c r="Q578" s="530">
        <v>333827</v>
      </c>
      <c r="R578" s="480"/>
      <c r="U578" s="513"/>
    </row>
    <row r="579" spans="1:21" s="479" customFormat="1" ht="18" x14ac:dyDescent="0.15">
      <c r="A579" s="579"/>
      <c r="B579" s="528" t="s">
        <v>297</v>
      </c>
      <c r="C579" s="517">
        <f>IEPS!I51</f>
        <v>438484.09124295833</v>
      </c>
      <c r="D579" s="517">
        <f t="shared" ref="D579:O579" si="460">$C579*D$21%</f>
        <v>30799.044047805233</v>
      </c>
      <c r="E579" s="517">
        <f t="shared" si="460"/>
        <v>70397.580656486956</v>
      </c>
      <c r="F579" s="517">
        <f t="shared" si="460"/>
        <v>29240.326018215452</v>
      </c>
      <c r="G579" s="517">
        <f t="shared" si="460"/>
        <v>28417.502316547838</v>
      </c>
      <c r="H579" s="517">
        <f t="shared" si="460"/>
        <v>31374.485878990286</v>
      </c>
      <c r="I579" s="517">
        <f t="shared" si="460"/>
        <v>32535.966925728884</v>
      </c>
      <c r="J579" s="517">
        <f t="shared" si="460"/>
        <v>33506.031369137287</v>
      </c>
      <c r="K579" s="517">
        <f t="shared" si="460"/>
        <v>37114.873492261751</v>
      </c>
      <c r="L579" s="517">
        <f t="shared" si="460"/>
        <v>37192.646030792755</v>
      </c>
      <c r="M579" s="517">
        <f t="shared" si="460"/>
        <v>36779.27752560209</v>
      </c>
      <c r="N579" s="517">
        <f t="shared" si="460"/>
        <v>35590.171280417613</v>
      </c>
      <c r="O579" s="517">
        <f t="shared" si="460"/>
        <v>35536.185700533679</v>
      </c>
      <c r="P579" s="511">
        <f t="shared" si="435"/>
        <v>4.3845648178830743E-7</v>
      </c>
      <c r="Q579" s="530">
        <v>28158</v>
      </c>
      <c r="R579" s="480"/>
      <c r="U579" s="513"/>
    </row>
    <row r="580" spans="1:21" s="479" customFormat="1" x14ac:dyDescent="0.15">
      <c r="A580" s="579"/>
      <c r="B580" s="528" t="s">
        <v>236</v>
      </c>
      <c r="C580" s="517">
        <f>ISR!C42</f>
        <v>1041014.82</v>
      </c>
      <c r="D580" s="517">
        <f>ISR!D42</f>
        <v>81178.977649320412</v>
      </c>
      <c r="E580" s="517">
        <f>ISR!E42</f>
        <v>81178.977649320412</v>
      </c>
      <c r="F580" s="517">
        <f>ISR!F42</f>
        <v>86494.084721068575</v>
      </c>
      <c r="G580" s="517">
        <f>ISR!G42</f>
        <v>81178.977649320412</v>
      </c>
      <c r="H580" s="517">
        <f>ISR!H42</f>
        <v>105379.15876980928</v>
      </c>
      <c r="I580" s="517">
        <f>ISR!I42</f>
        <v>82950.680006569761</v>
      </c>
      <c r="J580" s="517">
        <f>ISR!J42</f>
        <v>83836.531185194486</v>
      </c>
      <c r="K580" s="517">
        <f>ISR!K42</f>
        <v>85402.419017110718</v>
      </c>
      <c r="L580" s="517">
        <f>ISR!L42</f>
        <v>86514.949080165883</v>
      </c>
      <c r="M580" s="517">
        <f>ISR!M42</f>
        <v>87740.818585436413</v>
      </c>
      <c r="N580" s="517">
        <f>ISR!N42</f>
        <v>88966.688090706841</v>
      </c>
      <c r="O580" s="517">
        <f>ISR!O42</f>
        <v>90192.557595977269</v>
      </c>
      <c r="P580" s="511">
        <f t="shared" si="435"/>
        <v>-5.0931703299283981E-10</v>
      </c>
      <c r="Q580" s="530">
        <v>0</v>
      </c>
      <c r="R580" s="480"/>
      <c r="U580" s="513"/>
    </row>
    <row r="581" spans="1:21" s="479" customFormat="1" ht="18" x14ac:dyDescent="0.15">
      <c r="A581" s="579"/>
      <c r="B581" s="528" t="s">
        <v>298</v>
      </c>
      <c r="C581" s="517">
        <f>FOFIR!I51</f>
        <v>848026.07438967028</v>
      </c>
      <c r="D581" s="517">
        <f t="shared" ref="D581:O581" si="461">$C581*D$23%</f>
        <v>115938.30503088189</v>
      </c>
      <c r="E581" s="517">
        <f t="shared" si="461"/>
        <v>29497.11780264711</v>
      </c>
      <c r="F581" s="517">
        <f t="shared" si="461"/>
        <v>29497.11780264711</v>
      </c>
      <c r="G581" s="517">
        <f t="shared" si="461"/>
        <v>166462.09986885576</v>
      </c>
      <c r="H581" s="517">
        <f t="shared" si="461"/>
        <v>29497.11780264711</v>
      </c>
      <c r="I581" s="517">
        <f t="shared" si="461"/>
        <v>29497.11780264711</v>
      </c>
      <c r="J581" s="517">
        <f t="shared" si="461"/>
        <v>207052.0299052388</v>
      </c>
      <c r="K581" s="517">
        <f t="shared" si="461"/>
        <v>29497.11780264711</v>
      </c>
      <c r="L581" s="517">
        <f t="shared" si="461"/>
        <v>29497.11780264711</v>
      </c>
      <c r="M581" s="517">
        <f t="shared" si="461"/>
        <v>122596.69716690903</v>
      </c>
      <c r="N581" s="517">
        <f t="shared" si="461"/>
        <v>29497.11780264711</v>
      </c>
      <c r="O581" s="517">
        <f t="shared" si="461"/>
        <v>29497.11780264711</v>
      </c>
      <c r="P581" s="511">
        <f t="shared" si="435"/>
        <v>-3.3920368878170848E-6</v>
      </c>
      <c r="Q581" s="530">
        <v>33171</v>
      </c>
      <c r="R581" s="480"/>
      <c r="U581" s="513"/>
    </row>
    <row r="582" spans="1:21" s="479" customFormat="1" ht="27" x14ac:dyDescent="0.15">
      <c r="A582" s="579"/>
      <c r="B582" s="528" t="s">
        <v>407</v>
      </c>
      <c r="C582" s="517">
        <f>FCISAN!I51</f>
        <v>53833.754213911227</v>
      </c>
      <c r="D582" s="517">
        <f t="shared" ref="D582:O582" si="462">$C582*D$24%</f>
        <v>4486.1461844746582</v>
      </c>
      <c r="E582" s="517">
        <f t="shared" si="462"/>
        <v>4486.1461844746582</v>
      </c>
      <c r="F582" s="517">
        <f t="shared" si="462"/>
        <v>4486.1461844746582</v>
      </c>
      <c r="G582" s="517">
        <f t="shared" si="462"/>
        <v>4486.1461844746582</v>
      </c>
      <c r="H582" s="517">
        <f t="shared" si="462"/>
        <v>4486.1461844746582</v>
      </c>
      <c r="I582" s="517">
        <f t="shared" si="462"/>
        <v>4486.1461844746582</v>
      </c>
      <c r="J582" s="517">
        <f t="shared" si="462"/>
        <v>4486.1461844746582</v>
      </c>
      <c r="K582" s="517">
        <f t="shared" si="462"/>
        <v>4486.1461844746582</v>
      </c>
      <c r="L582" s="517">
        <f t="shared" si="462"/>
        <v>4486.1461844746582</v>
      </c>
      <c r="M582" s="517">
        <f t="shared" si="462"/>
        <v>4486.1461844746582</v>
      </c>
      <c r="N582" s="517">
        <f t="shared" si="462"/>
        <v>4486.1461844746582</v>
      </c>
      <c r="O582" s="517">
        <f t="shared" si="462"/>
        <v>4486.1461844746582</v>
      </c>
      <c r="P582" s="511">
        <f t="shared" si="435"/>
        <v>2.1531923266593367E-7</v>
      </c>
      <c r="Q582" s="530">
        <v>3947</v>
      </c>
      <c r="R582" s="480"/>
      <c r="U582" s="513"/>
    </row>
    <row r="583" spans="1:21" s="479" customFormat="1" ht="27" x14ac:dyDescent="0.15">
      <c r="A583" s="579"/>
      <c r="B583" s="528" t="s">
        <v>242</v>
      </c>
      <c r="C583" s="517">
        <f>ISAN!I51</f>
        <v>268905.91567564377</v>
      </c>
      <c r="D583" s="517">
        <f t="shared" ref="D583:O583" si="463">$C583*D$25%</f>
        <v>25877.786350280647</v>
      </c>
      <c r="E583" s="517">
        <f t="shared" si="463"/>
        <v>28902.785055485307</v>
      </c>
      <c r="F583" s="517">
        <f t="shared" si="463"/>
        <v>22431.113096741312</v>
      </c>
      <c r="G583" s="517">
        <f t="shared" si="463"/>
        <v>20818.386739317983</v>
      </c>
      <c r="H583" s="517">
        <f t="shared" si="463"/>
        <v>22259.458106908394</v>
      </c>
      <c r="I583" s="517">
        <f t="shared" si="463"/>
        <v>19333.016667375603</v>
      </c>
      <c r="J583" s="517">
        <f t="shared" si="463"/>
        <v>20944.359348166254</v>
      </c>
      <c r="K583" s="517">
        <f t="shared" si="463"/>
        <v>21599.139951894133</v>
      </c>
      <c r="L583" s="517">
        <f t="shared" si="463"/>
        <v>21223.990616355601</v>
      </c>
      <c r="M583" s="517">
        <f t="shared" si="463"/>
        <v>21744.49313714074</v>
      </c>
      <c r="N583" s="517">
        <f t="shared" si="463"/>
        <v>21053.71987216028</v>
      </c>
      <c r="O583" s="517">
        <f t="shared" si="463"/>
        <v>22717.666730590652</v>
      </c>
      <c r="P583" s="511">
        <f t="shared" si="435"/>
        <v>3.2268762879539281E-6</v>
      </c>
      <c r="Q583" s="530">
        <v>16949</v>
      </c>
      <c r="R583" s="480"/>
      <c r="U583" s="513"/>
    </row>
    <row r="584" spans="1:21" s="479" customFormat="1" ht="18" x14ac:dyDescent="0.15">
      <c r="A584" s="579"/>
      <c r="B584" s="528" t="s">
        <v>403</v>
      </c>
      <c r="C584" s="517">
        <f>LOT!I51</f>
        <v>13016.927321759191</v>
      </c>
      <c r="D584" s="517">
        <f t="shared" ref="D584:O584" si="464">$C584*D$26%</f>
        <v>984.21493764097568</v>
      </c>
      <c r="E584" s="517">
        <f t="shared" si="464"/>
        <v>970.26434598025833</v>
      </c>
      <c r="F584" s="517">
        <f t="shared" si="464"/>
        <v>953.6507547775409</v>
      </c>
      <c r="G584" s="517">
        <f t="shared" si="464"/>
        <v>1049.2287774339973</v>
      </c>
      <c r="H584" s="517">
        <f t="shared" si="464"/>
        <v>858.46011967912307</v>
      </c>
      <c r="I584" s="517">
        <f t="shared" si="464"/>
        <v>1164.9741502492034</v>
      </c>
      <c r="J584" s="517">
        <f t="shared" si="464"/>
        <v>2673.6144222172593</v>
      </c>
      <c r="K584" s="517">
        <f t="shared" si="464"/>
        <v>973.29153622591184</v>
      </c>
      <c r="L584" s="517">
        <f t="shared" si="464"/>
        <v>1180.9683852849523</v>
      </c>
      <c r="M584" s="517">
        <f t="shared" si="464"/>
        <v>731.18126802103518</v>
      </c>
      <c r="N584" s="517">
        <f t="shared" si="464"/>
        <v>738.53931204636547</v>
      </c>
      <c r="O584" s="517">
        <f t="shared" si="464"/>
        <v>738.53931204636547</v>
      </c>
      <c r="P584" s="511">
        <f t="shared" si="435"/>
        <v>1.5620298654539511E-7</v>
      </c>
      <c r="Q584" s="530">
        <v>827</v>
      </c>
      <c r="R584" s="480"/>
      <c r="U584" s="513"/>
    </row>
    <row r="585" spans="1:21" s="479" customFormat="1" ht="45" x14ac:dyDescent="0.15">
      <c r="A585" s="579"/>
      <c r="B585" s="518" t="s">
        <v>301</v>
      </c>
      <c r="C585" s="517">
        <f>'ENAJENAC DE INMUE'!I51</f>
        <v>51184.103324821626</v>
      </c>
      <c r="D585" s="517">
        <f t="shared" ref="D585:O585" si="465">$C585*D$27%</f>
        <v>2210.4222342006206</v>
      </c>
      <c r="E585" s="517">
        <f t="shared" si="465"/>
        <v>2242.9795390796685</v>
      </c>
      <c r="F585" s="517">
        <f t="shared" si="465"/>
        <v>2212.7411751461309</v>
      </c>
      <c r="G585" s="517">
        <f t="shared" si="465"/>
        <v>2199.7795536925432</v>
      </c>
      <c r="H585" s="517">
        <f t="shared" si="465"/>
        <v>3051.5143456605456</v>
      </c>
      <c r="I585" s="517">
        <f t="shared" si="465"/>
        <v>2196.4116396937702</v>
      </c>
      <c r="J585" s="517">
        <f t="shared" si="465"/>
        <v>2524.2897796256066</v>
      </c>
      <c r="K585" s="517">
        <f t="shared" si="465"/>
        <v>2521.6914336684476</v>
      </c>
      <c r="L585" s="517">
        <f t="shared" si="465"/>
        <v>2518.4969434400036</v>
      </c>
      <c r="M585" s="517">
        <f t="shared" si="465"/>
        <v>2199.4194584775269</v>
      </c>
      <c r="N585" s="517">
        <f t="shared" si="465"/>
        <v>9144.3772718803521</v>
      </c>
      <c r="O585" s="517">
        <f t="shared" si="465"/>
        <v>18161.979950154044</v>
      </c>
      <c r="P585" s="511">
        <f t="shared" si="435"/>
        <v>1.0236908565275371E-7</v>
      </c>
      <c r="Q585" s="530">
        <v>12080</v>
      </c>
      <c r="R585" s="480"/>
      <c r="U585" s="513"/>
    </row>
    <row r="586" spans="1:21" s="479" customFormat="1" ht="27" x14ac:dyDescent="0.15">
      <c r="A586" s="579"/>
      <c r="B586" s="518" t="s">
        <v>248</v>
      </c>
      <c r="C586" s="517">
        <f>'IMP BEBIDAS AL'!I51</f>
        <v>20005.452374844885</v>
      </c>
      <c r="D586" s="517">
        <f t="shared" ref="D586:O586" si="466">$C586*D$28%</f>
        <v>4549.0517270347118</v>
      </c>
      <c r="E586" s="517">
        <f t="shared" si="466"/>
        <v>1564.7085947633452</v>
      </c>
      <c r="F586" s="517">
        <f t="shared" si="466"/>
        <v>1681.5188931898922</v>
      </c>
      <c r="G586" s="517">
        <f t="shared" si="466"/>
        <v>1669.4478288976336</v>
      </c>
      <c r="H586" s="517">
        <f t="shared" si="466"/>
        <v>1063.1124222780627</v>
      </c>
      <c r="I586" s="517">
        <f t="shared" si="466"/>
        <v>1739.7851892598255</v>
      </c>
      <c r="J586" s="517">
        <f t="shared" si="466"/>
        <v>1729.9921957994618</v>
      </c>
      <c r="K586" s="517">
        <f t="shared" si="466"/>
        <v>1582.2040908241836</v>
      </c>
      <c r="L586" s="517">
        <f t="shared" si="466"/>
        <v>1147.458929065147</v>
      </c>
      <c r="M586" s="517">
        <f t="shared" si="466"/>
        <v>1066.6647179979161</v>
      </c>
      <c r="N586" s="517">
        <f t="shared" si="466"/>
        <v>1074.2045535914172</v>
      </c>
      <c r="O586" s="517">
        <f t="shared" si="466"/>
        <v>1137.3032321432884</v>
      </c>
      <c r="P586" s="511">
        <f t="shared" si="435"/>
        <v>0</v>
      </c>
      <c r="Q586" s="530">
        <v>516</v>
      </c>
      <c r="R586" s="480"/>
      <c r="U586" s="513"/>
    </row>
    <row r="587" spans="1:21" s="479" customFormat="1" ht="18" x14ac:dyDescent="0.15">
      <c r="A587" s="579"/>
      <c r="B587" s="518" t="s">
        <v>253</v>
      </c>
      <c r="C587" s="517">
        <f>'FOND GASO Y D'!Q52</f>
        <v>0</v>
      </c>
      <c r="D587" s="517">
        <f t="shared" ref="D587:O587" si="467">$C587*D$29%</f>
        <v>0</v>
      </c>
      <c r="E587" s="517">
        <f t="shared" si="467"/>
        <v>0</v>
      </c>
      <c r="F587" s="517">
        <f t="shared" si="467"/>
        <v>0</v>
      </c>
      <c r="G587" s="517">
        <f t="shared" si="467"/>
        <v>0</v>
      </c>
      <c r="H587" s="517">
        <f t="shared" si="467"/>
        <v>0</v>
      </c>
      <c r="I587" s="517">
        <f t="shared" si="467"/>
        <v>0</v>
      </c>
      <c r="J587" s="517">
        <f t="shared" si="467"/>
        <v>0</v>
      </c>
      <c r="K587" s="517">
        <f t="shared" si="467"/>
        <v>0</v>
      </c>
      <c r="L587" s="517">
        <f t="shared" si="467"/>
        <v>0</v>
      </c>
      <c r="M587" s="517">
        <f t="shared" si="467"/>
        <v>0</v>
      </c>
      <c r="N587" s="517">
        <f t="shared" si="467"/>
        <v>0</v>
      </c>
      <c r="O587" s="517">
        <f t="shared" si="467"/>
        <v>0</v>
      </c>
      <c r="P587" s="511">
        <f t="shared" si="435"/>
        <v>0</v>
      </c>
      <c r="Q587" s="530">
        <v>26409</v>
      </c>
      <c r="R587" s="480"/>
      <c r="U587" s="513"/>
    </row>
    <row r="588" spans="1:21" s="479" customFormat="1" ht="18" x14ac:dyDescent="0.15">
      <c r="A588" s="579"/>
      <c r="B588" s="528" t="s">
        <v>408</v>
      </c>
      <c r="C588" s="519">
        <f>'FOND GASO Y D'!H52</f>
        <v>855305.805561285</v>
      </c>
      <c r="D588" s="517">
        <f t="shared" ref="D588:O588" si="468">$C588*D$30%</f>
        <v>66534.925100158027</v>
      </c>
      <c r="E588" s="517">
        <f t="shared" si="468"/>
        <v>73153.635881989103</v>
      </c>
      <c r="F588" s="517">
        <f t="shared" si="468"/>
        <v>71222.612387294459</v>
      </c>
      <c r="G588" s="517">
        <f t="shared" si="468"/>
        <v>66364.636234001664</v>
      </c>
      <c r="H588" s="517">
        <f t="shared" si="468"/>
        <v>73124.343308033509</v>
      </c>
      <c r="I588" s="517">
        <f t="shared" si="468"/>
        <v>70573.68020795453</v>
      </c>
      <c r="J588" s="517">
        <f t="shared" si="468"/>
        <v>72045.043441665519</v>
      </c>
      <c r="K588" s="517">
        <f t="shared" si="468"/>
        <v>72002.232100012261</v>
      </c>
      <c r="L588" s="517">
        <f t="shared" si="468"/>
        <v>74926.932013980346</v>
      </c>
      <c r="M588" s="517">
        <f t="shared" si="468"/>
        <v>74268.987323412191</v>
      </c>
      <c r="N588" s="517">
        <f t="shared" si="468"/>
        <v>69411.011170119411</v>
      </c>
      <c r="O588" s="517">
        <f t="shared" si="468"/>
        <v>71677.766393519312</v>
      </c>
      <c r="P588" s="511">
        <f t="shared" si="435"/>
        <v>-8.5527426563203335E-7</v>
      </c>
      <c r="Q588" s="530">
        <v>52272</v>
      </c>
      <c r="R588" s="480"/>
      <c r="U588" s="513"/>
    </row>
    <row r="589" spans="1:21" s="479" customFormat="1" x14ac:dyDescent="0.15">
      <c r="A589" s="579"/>
      <c r="B589" s="534"/>
      <c r="C589" s="521"/>
      <c r="D589" s="522"/>
      <c r="E589" s="522"/>
      <c r="F589" s="522"/>
      <c r="G589" s="522"/>
      <c r="H589" s="522"/>
      <c r="I589" s="522"/>
      <c r="J589" s="522"/>
      <c r="K589" s="522"/>
      <c r="L589" s="522"/>
      <c r="M589" s="522"/>
      <c r="N589" s="522"/>
      <c r="O589" s="522"/>
      <c r="P589" s="511">
        <f t="shared" si="435"/>
        <v>0</v>
      </c>
      <c r="Q589" s="530">
        <v>0</v>
      </c>
      <c r="R589" s="480"/>
      <c r="U589" s="513"/>
    </row>
    <row r="590" spans="1:21" s="479" customFormat="1" x14ac:dyDescent="0.15">
      <c r="A590" s="591"/>
      <c r="B590" s="532"/>
      <c r="C590" s="521"/>
      <c r="D590" s="521"/>
      <c r="E590" s="521"/>
      <c r="F590" s="521"/>
      <c r="G590" s="521"/>
      <c r="H590" s="521"/>
      <c r="I590" s="521"/>
      <c r="J590" s="521"/>
      <c r="K590" s="521"/>
      <c r="L590" s="521"/>
      <c r="M590" s="521"/>
      <c r="N590" s="521"/>
      <c r="O590" s="521"/>
      <c r="P590" s="511">
        <f t="shared" si="435"/>
        <v>0</v>
      </c>
      <c r="Q590" s="530">
        <v>0</v>
      </c>
      <c r="R590" s="480"/>
      <c r="U590" s="513"/>
    </row>
    <row r="591" spans="1:21" s="479" customFormat="1" x14ac:dyDescent="0.15">
      <c r="A591" s="584">
        <v>38</v>
      </c>
      <c r="B591" s="533" t="s">
        <v>51</v>
      </c>
      <c r="C591" s="524">
        <f t="shared" ref="C591:O591" si="469">SUM(C592:C603)</f>
        <v>123341950.9173269</v>
      </c>
      <c r="D591" s="524">
        <f t="shared" si="469"/>
        <v>9135890.2021612227</v>
      </c>
      <c r="E591" s="524">
        <f t="shared" si="469"/>
        <v>12448153.831558963</v>
      </c>
      <c r="F591" s="524">
        <f t="shared" si="469"/>
        <v>10013978.987165248</v>
      </c>
      <c r="G591" s="524">
        <f t="shared" si="469"/>
        <v>10931258.380094105</v>
      </c>
      <c r="H591" s="524">
        <f t="shared" si="469"/>
        <v>12354640.670763934</v>
      </c>
      <c r="I591" s="524">
        <f t="shared" si="469"/>
        <v>12082154.631330824</v>
      </c>
      <c r="J591" s="524">
        <f t="shared" si="469"/>
        <v>10525572.264195403</v>
      </c>
      <c r="K591" s="524">
        <f t="shared" si="469"/>
        <v>10202203.867845362</v>
      </c>
      <c r="L591" s="524">
        <f t="shared" si="469"/>
        <v>9625333.5877932236</v>
      </c>
      <c r="M591" s="524">
        <f t="shared" si="469"/>
        <v>7152620.5270030983</v>
      </c>
      <c r="N591" s="524">
        <f t="shared" si="469"/>
        <v>9369361.857492879</v>
      </c>
      <c r="O591" s="524">
        <f t="shared" si="469"/>
        <v>9500782.1095636133</v>
      </c>
      <c r="P591" s="511">
        <f t="shared" si="435"/>
        <v>3.5901553928852081E-4</v>
      </c>
      <c r="Q591" s="530">
        <v>7235047</v>
      </c>
      <c r="R591" s="480"/>
      <c r="T591" s="512"/>
      <c r="U591" s="513"/>
    </row>
    <row r="592" spans="1:21" s="479" customFormat="1" x14ac:dyDescent="0.15">
      <c r="A592" s="579"/>
      <c r="B592" s="525" t="s">
        <v>294</v>
      </c>
      <c r="C592" s="526">
        <f>'FG1'!I53</f>
        <v>84611924.500161618</v>
      </c>
      <c r="D592" s="526">
        <f t="shared" ref="D592:O592" si="470">$C592*D$19%</f>
        <v>6399597.4064357253</v>
      </c>
      <c r="E592" s="526">
        <f t="shared" si="470"/>
        <v>9169021.3154566865</v>
      </c>
      <c r="F592" s="526">
        <f t="shared" si="470"/>
        <v>5926816.4778890209</v>
      </c>
      <c r="G592" s="526">
        <f t="shared" si="470"/>
        <v>7280493.5384348435</v>
      </c>
      <c r="H592" s="526">
        <f t="shared" si="470"/>
        <v>8891073.4187729172</v>
      </c>
      <c r="I592" s="526">
        <f t="shared" si="470"/>
        <v>8716389.9268773813</v>
      </c>
      <c r="J592" s="526">
        <f t="shared" si="470"/>
        <v>6756976.800267756</v>
      </c>
      <c r="K592" s="526">
        <f t="shared" si="470"/>
        <v>7174116.9328475408</v>
      </c>
      <c r="L592" s="526">
        <f t="shared" si="470"/>
        <v>6741890.5010675564</v>
      </c>
      <c r="M592" s="526">
        <f t="shared" si="470"/>
        <v>4469355.2774628298</v>
      </c>
      <c r="N592" s="526">
        <f t="shared" si="470"/>
        <v>6522796.2217350015</v>
      </c>
      <c r="O592" s="526">
        <f t="shared" si="470"/>
        <v>6563396.6828297498</v>
      </c>
      <c r="P592" s="511">
        <f t="shared" si="435"/>
        <v>8.4603205323219299E-5</v>
      </c>
      <c r="Q592" s="530">
        <v>5060100</v>
      </c>
      <c r="R592" s="480"/>
      <c r="U592" s="513"/>
    </row>
    <row r="593" spans="1:21" s="479" customFormat="1" x14ac:dyDescent="0.15">
      <c r="A593" s="579"/>
      <c r="B593" s="527" t="s">
        <v>296</v>
      </c>
      <c r="C593" s="515">
        <f>FFM!J53</f>
        <v>22743338.024707206</v>
      </c>
      <c r="D593" s="515">
        <f t="shared" ref="D593:O593" si="471">$C593*D$20%</f>
        <v>1719922.6341451562</v>
      </c>
      <c r="E593" s="515">
        <f t="shared" si="471"/>
        <v>2465788.5501281596</v>
      </c>
      <c r="F593" s="515">
        <f t="shared" si="471"/>
        <v>1592592.4851495286</v>
      </c>
      <c r="G593" s="515">
        <f t="shared" si="471"/>
        <v>1957167.0714610573</v>
      </c>
      <c r="H593" s="515">
        <f t="shared" si="471"/>
        <v>2390931.160308735</v>
      </c>
      <c r="I593" s="515">
        <f t="shared" si="471"/>
        <v>2343885.1008654297</v>
      </c>
      <c r="J593" s="515">
        <f t="shared" si="471"/>
        <v>1816013.4247046497</v>
      </c>
      <c r="K593" s="515">
        <f t="shared" si="471"/>
        <v>1928358.3090705799</v>
      </c>
      <c r="L593" s="515">
        <f t="shared" si="471"/>
        <v>1811950.3474716465</v>
      </c>
      <c r="M593" s="515">
        <f t="shared" si="471"/>
        <v>1199907.3282910192</v>
      </c>
      <c r="N593" s="515">
        <f t="shared" si="471"/>
        <v>1752943.5121590828</v>
      </c>
      <c r="O593" s="515">
        <f t="shared" si="471"/>
        <v>1763878.1006792411</v>
      </c>
      <c r="P593" s="511">
        <f t="shared" si="435"/>
        <v>2.7292058803141117E-4</v>
      </c>
      <c r="Q593" s="530">
        <v>1549238</v>
      </c>
      <c r="R593" s="480"/>
      <c r="U593" s="513"/>
    </row>
    <row r="594" spans="1:21" s="479" customFormat="1" ht="18" x14ac:dyDescent="0.15">
      <c r="A594" s="579"/>
      <c r="B594" s="528" t="s">
        <v>297</v>
      </c>
      <c r="C594" s="517">
        <f>IEPS!I52</f>
        <v>2046254.8339450429</v>
      </c>
      <c r="D594" s="517">
        <f t="shared" ref="D594:O594" si="472">$C594*D$21%</f>
        <v>143728.57310526166</v>
      </c>
      <c r="E594" s="517">
        <f t="shared" si="472"/>
        <v>328521.35936798557</v>
      </c>
      <c r="F594" s="517">
        <f t="shared" si="472"/>
        <v>136454.57077198636</v>
      </c>
      <c r="G594" s="517">
        <f t="shared" si="472"/>
        <v>132614.73482206819</v>
      </c>
      <c r="H594" s="517">
        <f t="shared" si="472"/>
        <v>146413.96272881396</v>
      </c>
      <c r="I594" s="517">
        <f t="shared" si="472"/>
        <v>151834.19633338391</v>
      </c>
      <c r="J594" s="517">
        <f t="shared" si="472"/>
        <v>156361.15431476891</v>
      </c>
      <c r="K594" s="517">
        <f t="shared" si="472"/>
        <v>173202.38250723307</v>
      </c>
      <c r="L594" s="517">
        <f t="shared" si="472"/>
        <v>173565.32026505712</v>
      </c>
      <c r="M594" s="517">
        <f t="shared" si="472"/>
        <v>171636.2712554356</v>
      </c>
      <c r="N594" s="517">
        <f t="shared" si="472"/>
        <v>166087.12032641185</v>
      </c>
      <c r="O594" s="517">
        <f t="shared" si="472"/>
        <v>165835.18814459041</v>
      </c>
      <c r="P594" s="511">
        <f t="shared" si="435"/>
        <v>2.0462903194129467E-6</v>
      </c>
      <c r="Q594" s="530">
        <v>130680</v>
      </c>
      <c r="R594" s="480"/>
      <c r="U594" s="513"/>
    </row>
    <row r="595" spans="1:21" s="479" customFormat="1" x14ac:dyDescent="0.15">
      <c r="A595" s="579"/>
      <c r="B595" s="528" t="s">
        <v>236</v>
      </c>
      <c r="C595" s="517">
        <f>ISR!C43</f>
        <v>6107298.4800000004</v>
      </c>
      <c r="D595" s="517">
        <f>ISR!D43</f>
        <v>0</v>
      </c>
      <c r="E595" s="517">
        <f>ISR!E43</f>
        <v>0</v>
      </c>
      <c r="F595" s="517">
        <f>ISR!F43</f>
        <v>1907630.0400000014</v>
      </c>
      <c r="G595" s="517">
        <f>ISR!G43</f>
        <v>489752.64000000036</v>
      </c>
      <c r="H595" s="517">
        <f>ISR!H43</f>
        <v>471558.7200000002</v>
      </c>
      <c r="I595" s="517">
        <f>ISR!I43</f>
        <v>434335.54999999981</v>
      </c>
      <c r="J595" s="517">
        <f>ISR!J43</f>
        <v>512478.56000000035</v>
      </c>
      <c r="K595" s="517">
        <f>ISR!K43</f>
        <v>477051.70999999979</v>
      </c>
      <c r="L595" s="517">
        <f>ISR!L43</f>
        <v>444519.16000000009</v>
      </c>
      <c r="M595" s="517">
        <f>ISR!M43</f>
        <v>426906.15999999986</v>
      </c>
      <c r="N595" s="517">
        <f>ISR!N43</f>
        <v>459154.42999999976</v>
      </c>
      <c r="O595" s="517">
        <f>ISR!O43</f>
        <v>483911.51000000013</v>
      </c>
      <c r="P595" s="511">
        <f t="shared" si="435"/>
        <v>-1.3387762010097504E-9</v>
      </c>
      <c r="Q595" s="530">
        <v>0</v>
      </c>
      <c r="R595" s="480"/>
      <c r="U595" s="513"/>
    </row>
    <row r="596" spans="1:21" s="479" customFormat="1" ht="18" x14ac:dyDescent="0.15">
      <c r="A596" s="579"/>
      <c r="B596" s="528" t="s">
        <v>298</v>
      </c>
      <c r="C596" s="517">
        <f>FOFIR!I52</f>
        <v>3957446.7778576869</v>
      </c>
      <c r="D596" s="517">
        <f t="shared" ref="D596:O596" si="473">$C596*D$23%</f>
        <v>541044.29749398993</v>
      </c>
      <c r="E596" s="517">
        <f t="shared" si="473"/>
        <v>137652.92993872636</v>
      </c>
      <c r="F596" s="517">
        <f t="shared" si="473"/>
        <v>137652.92993872636</v>
      </c>
      <c r="G596" s="517">
        <f t="shared" si="473"/>
        <v>776821.51605485124</v>
      </c>
      <c r="H596" s="517">
        <f t="shared" si="473"/>
        <v>137652.92993872636</v>
      </c>
      <c r="I596" s="517">
        <f t="shared" si="473"/>
        <v>137652.92993872636</v>
      </c>
      <c r="J596" s="517">
        <f t="shared" si="473"/>
        <v>966240.79535184836</v>
      </c>
      <c r="K596" s="517">
        <f t="shared" si="473"/>
        <v>137652.92993872636</v>
      </c>
      <c r="L596" s="517">
        <f t="shared" si="473"/>
        <v>137652.92993872636</v>
      </c>
      <c r="M596" s="517">
        <f t="shared" si="473"/>
        <v>572116.72946301627</v>
      </c>
      <c r="N596" s="517">
        <f t="shared" si="473"/>
        <v>137652.92993872636</v>
      </c>
      <c r="O596" s="517">
        <f t="shared" si="473"/>
        <v>137652.92993872636</v>
      </c>
      <c r="P596" s="511">
        <f t="shared" si="435"/>
        <v>-1.58288748934865E-5</v>
      </c>
      <c r="Q596" s="530">
        <v>153928</v>
      </c>
      <c r="R596" s="480"/>
      <c r="U596" s="513"/>
    </row>
    <row r="597" spans="1:21" s="479" customFormat="1" ht="27" x14ac:dyDescent="0.15">
      <c r="A597" s="579"/>
      <c r="B597" s="528" t="s">
        <v>407</v>
      </c>
      <c r="C597" s="517">
        <f>FCISAN!I52</f>
        <v>251223.6635025107</v>
      </c>
      <c r="D597" s="517">
        <f t="shared" ref="D597:O597" si="474">$C597*D$24%</f>
        <v>20935.305291792152</v>
      </c>
      <c r="E597" s="517">
        <f t="shared" si="474"/>
        <v>20935.305291792152</v>
      </c>
      <c r="F597" s="517">
        <f t="shared" si="474"/>
        <v>20935.305291792152</v>
      </c>
      <c r="G597" s="517">
        <f t="shared" si="474"/>
        <v>20935.305291792152</v>
      </c>
      <c r="H597" s="517">
        <f t="shared" si="474"/>
        <v>20935.305291792152</v>
      </c>
      <c r="I597" s="517">
        <f t="shared" si="474"/>
        <v>20935.305291792152</v>
      </c>
      <c r="J597" s="517">
        <f t="shared" si="474"/>
        <v>20935.305291792152</v>
      </c>
      <c r="K597" s="517">
        <f t="shared" si="474"/>
        <v>20935.305291792152</v>
      </c>
      <c r="L597" s="517">
        <f t="shared" si="474"/>
        <v>20935.305291792152</v>
      </c>
      <c r="M597" s="517">
        <f t="shared" si="474"/>
        <v>20935.305291792152</v>
      </c>
      <c r="N597" s="517">
        <f t="shared" si="474"/>
        <v>20935.305291792152</v>
      </c>
      <c r="O597" s="517">
        <f t="shared" si="474"/>
        <v>20935.305291792152</v>
      </c>
      <c r="P597" s="511">
        <f t="shared" si="435"/>
        <v>1.0049261618405581E-6</v>
      </c>
      <c r="Q597" s="530">
        <v>18307</v>
      </c>
      <c r="R597" s="480"/>
      <c r="U597" s="513"/>
    </row>
    <row r="598" spans="1:21" s="479" customFormat="1" ht="27" x14ac:dyDescent="0.15">
      <c r="A598" s="579"/>
      <c r="B598" s="528" t="s">
        <v>242</v>
      </c>
      <c r="C598" s="517">
        <f>ISAN!I52</f>
        <v>1254891.6615604598</v>
      </c>
      <c r="D598" s="517">
        <f t="shared" ref="D598:O598" si="475">$C598*D$25%</f>
        <v>120762.75164500442</v>
      </c>
      <c r="E598" s="517">
        <f t="shared" si="475"/>
        <v>134879.38289074961</v>
      </c>
      <c r="F598" s="517">
        <f t="shared" si="475"/>
        <v>104678.30993563324</v>
      </c>
      <c r="G598" s="517">
        <f t="shared" si="475"/>
        <v>97152.269263659226</v>
      </c>
      <c r="H598" s="517">
        <f t="shared" si="475"/>
        <v>103877.25498351235</v>
      </c>
      <c r="I598" s="517">
        <f t="shared" si="475"/>
        <v>90220.55668705568</v>
      </c>
      <c r="J598" s="517">
        <f t="shared" si="475"/>
        <v>97740.140214848681</v>
      </c>
      <c r="K598" s="517">
        <f t="shared" si="475"/>
        <v>100795.77667306908</v>
      </c>
      <c r="L598" s="517">
        <f t="shared" si="475"/>
        <v>99045.083417309332</v>
      </c>
      <c r="M598" s="517">
        <f t="shared" si="475"/>
        <v>101474.09012589486</v>
      </c>
      <c r="N598" s="517">
        <f t="shared" si="475"/>
        <v>98250.488264720232</v>
      </c>
      <c r="O598" s="517">
        <f t="shared" si="475"/>
        <v>106015.5574439444</v>
      </c>
      <c r="P598" s="511">
        <f t="shared" si="435"/>
        <v>1.5058729331940413E-5</v>
      </c>
      <c r="Q598" s="530">
        <v>78659</v>
      </c>
      <c r="R598" s="480"/>
      <c r="U598" s="513"/>
    </row>
    <row r="599" spans="1:21" s="479" customFormat="1" ht="18" x14ac:dyDescent="0.15">
      <c r="A599" s="579"/>
      <c r="B599" s="528" t="s">
        <v>403</v>
      </c>
      <c r="C599" s="517">
        <f>LOT!I52</f>
        <v>60745.534415528906</v>
      </c>
      <c r="D599" s="517">
        <f t="shared" ref="D599:O599" si="476">$C599*D$26%</f>
        <v>4592.9934837085329</v>
      </c>
      <c r="E599" s="517">
        <f t="shared" si="476"/>
        <v>4527.890858112205</v>
      </c>
      <c r="F599" s="517">
        <f t="shared" si="476"/>
        <v>4450.3609271827136</v>
      </c>
      <c r="G599" s="517">
        <f t="shared" si="476"/>
        <v>4896.3907713334693</v>
      </c>
      <c r="H599" s="517">
        <f t="shared" si="476"/>
        <v>4006.1388878738608</v>
      </c>
      <c r="I599" s="517">
        <f t="shared" si="476"/>
        <v>5436.534720361381</v>
      </c>
      <c r="J599" s="517">
        <f t="shared" si="476"/>
        <v>12476.841337753111</v>
      </c>
      <c r="K599" s="517">
        <f t="shared" si="476"/>
        <v>4542.0177165254272</v>
      </c>
      <c r="L599" s="517">
        <f t="shared" si="476"/>
        <v>5511.174328526824</v>
      </c>
      <c r="M599" s="517">
        <f t="shared" si="476"/>
        <v>3412.1721495913825</v>
      </c>
      <c r="N599" s="517">
        <f t="shared" si="476"/>
        <v>3446.5096169155277</v>
      </c>
      <c r="O599" s="517">
        <f t="shared" si="476"/>
        <v>3446.5096169155277</v>
      </c>
      <c r="P599" s="511">
        <f t="shared" si="435"/>
        <v>7.2894363256637007E-7</v>
      </c>
      <c r="Q599" s="530">
        <v>3842</v>
      </c>
      <c r="R599" s="480"/>
      <c r="U599" s="513"/>
    </row>
    <row r="600" spans="1:21" s="479" customFormat="1" ht="45" x14ac:dyDescent="0.15">
      <c r="A600" s="579"/>
      <c r="B600" s="518" t="s">
        <v>301</v>
      </c>
      <c r="C600" s="517">
        <f>'ENAJENAC DE INMUE'!I52</f>
        <v>238858.65175328814</v>
      </c>
      <c r="D600" s="517">
        <f t="shared" ref="D600:O600" si="477">$C600*D$27%</f>
        <v>10315.282292160602</v>
      </c>
      <c r="E600" s="517">
        <f t="shared" si="477"/>
        <v>10467.216065402243</v>
      </c>
      <c r="F600" s="517">
        <f t="shared" si="477"/>
        <v>10326.103994051618</v>
      </c>
      <c r="G600" s="517">
        <f t="shared" si="477"/>
        <v>10265.61655315043</v>
      </c>
      <c r="H600" s="517">
        <f t="shared" si="477"/>
        <v>14240.370643688233</v>
      </c>
      <c r="I600" s="517">
        <f t="shared" si="477"/>
        <v>10249.899653865064</v>
      </c>
      <c r="J600" s="517">
        <f t="shared" si="477"/>
        <v>11779.994455887609</v>
      </c>
      <c r="K600" s="517">
        <f t="shared" si="477"/>
        <v>11767.868866655794</v>
      </c>
      <c r="L600" s="517">
        <f t="shared" si="477"/>
        <v>11752.961276614353</v>
      </c>
      <c r="M600" s="517">
        <f t="shared" si="477"/>
        <v>10263.936112310901</v>
      </c>
      <c r="N600" s="517">
        <f t="shared" si="477"/>
        <v>42673.671792654459</v>
      </c>
      <c r="O600" s="517">
        <f t="shared" si="477"/>
        <v>84755.730046369121</v>
      </c>
      <c r="P600" s="511">
        <f t="shared" si="435"/>
        <v>4.7775392886251211E-7</v>
      </c>
      <c r="Q600" s="530">
        <v>56064</v>
      </c>
      <c r="R600" s="480"/>
      <c r="U600" s="513"/>
    </row>
    <row r="601" spans="1:21" s="479" customFormat="1" ht="27" x14ac:dyDescent="0.15">
      <c r="A601" s="579"/>
      <c r="B601" s="518" t="s">
        <v>248</v>
      </c>
      <c r="C601" s="517">
        <f>'IMP BEBIDAS AL'!I52</f>
        <v>93358.583457937668</v>
      </c>
      <c r="D601" s="517">
        <f t="shared" ref="D601:O601" si="478">$C601*D$28%</f>
        <v>21228.863879472188</v>
      </c>
      <c r="E601" s="517">
        <f t="shared" si="478"/>
        <v>7301.9582459053881</v>
      </c>
      <c r="F601" s="517">
        <f t="shared" si="478"/>
        <v>7847.071837443752</v>
      </c>
      <c r="G601" s="517">
        <f t="shared" si="478"/>
        <v>7790.740321313081</v>
      </c>
      <c r="H601" s="517">
        <f t="shared" si="478"/>
        <v>4961.1809791022697</v>
      </c>
      <c r="I601" s="517">
        <f t="shared" si="478"/>
        <v>8118.9806532258772</v>
      </c>
      <c r="J601" s="517">
        <f t="shared" si="478"/>
        <v>8073.2801121862749</v>
      </c>
      <c r="K601" s="517">
        <f t="shared" si="478"/>
        <v>7383.6037242744551</v>
      </c>
      <c r="L601" s="517">
        <f t="shared" si="478"/>
        <v>5354.7971916088663</v>
      </c>
      <c r="M601" s="517">
        <f t="shared" si="478"/>
        <v>4977.758324628644</v>
      </c>
      <c r="N601" s="517">
        <f t="shared" si="478"/>
        <v>5012.9441508387081</v>
      </c>
      <c r="O601" s="517">
        <f t="shared" si="478"/>
        <v>5307.4040379381677</v>
      </c>
      <c r="P601" s="511">
        <f t="shared" si="435"/>
        <v>0</v>
      </c>
      <c r="Q601" s="530">
        <v>2401</v>
      </c>
      <c r="R601" s="480"/>
      <c r="U601" s="513"/>
    </row>
    <row r="602" spans="1:21" s="479" customFormat="1" ht="18" x14ac:dyDescent="0.15">
      <c r="A602" s="579"/>
      <c r="B602" s="518" t="s">
        <v>253</v>
      </c>
      <c r="C602" s="517">
        <f>'FOND GASO Y D'!Q53</f>
        <v>0</v>
      </c>
      <c r="D602" s="517">
        <f t="shared" ref="D602:O602" si="479">$C602*D$29%</f>
        <v>0</v>
      </c>
      <c r="E602" s="517">
        <f t="shared" si="479"/>
        <v>0</v>
      </c>
      <c r="F602" s="517">
        <f t="shared" si="479"/>
        <v>0</v>
      </c>
      <c r="G602" s="517">
        <f t="shared" si="479"/>
        <v>0</v>
      </c>
      <c r="H602" s="517">
        <f t="shared" si="479"/>
        <v>0</v>
      </c>
      <c r="I602" s="517">
        <f t="shared" si="479"/>
        <v>0</v>
      </c>
      <c r="J602" s="517">
        <f t="shared" si="479"/>
        <v>0</v>
      </c>
      <c r="K602" s="517">
        <f t="shared" si="479"/>
        <v>0</v>
      </c>
      <c r="L602" s="517">
        <f t="shared" si="479"/>
        <v>0</v>
      </c>
      <c r="M602" s="517">
        <f t="shared" si="479"/>
        <v>0</v>
      </c>
      <c r="N602" s="517">
        <f t="shared" si="479"/>
        <v>0</v>
      </c>
      <c r="O602" s="517">
        <f t="shared" si="479"/>
        <v>0</v>
      </c>
      <c r="P602" s="511">
        <f t="shared" si="435"/>
        <v>0</v>
      </c>
      <c r="Q602" s="530">
        <v>61028</v>
      </c>
      <c r="R602" s="480"/>
      <c r="U602" s="513"/>
    </row>
    <row r="603" spans="1:21" s="479" customFormat="1" ht="18" x14ac:dyDescent="0.15">
      <c r="A603" s="579"/>
      <c r="B603" s="528" t="s">
        <v>408</v>
      </c>
      <c r="C603" s="519">
        <f>'FOND GASO Y D'!H53</f>
        <v>1976610.2059656275</v>
      </c>
      <c r="D603" s="517">
        <f t="shared" ref="D603:O603" si="480">$C603*D$30%</f>
        <v>153762.09438894968</v>
      </c>
      <c r="E603" s="517">
        <f t="shared" si="480"/>
        <v>169057.92331544307</v>
      </c>
      <c r="F603" s="517">
        <f t="shared" si="480"/>
        <v>164595.33142987994</v>
      </c>
      <c r="G603" s="517">
        <f t="shared" si="480"/>
        <v>153368.55712003558</v>
      </c>
      <c r="H603" s="517">
        <f t="shared" si="480"/>
        <v>168990.22822876982</v>
      </c>
      <c r="I603" s="517">
        <f t="shared" si="480"/>
        <v>163095.65030960381</v>
      </c>
      <c r="J603" s="517">
        <f t="shared" si="480"/>
        <v>166495.96814391008</v>
      </c>
      <c r="K603" s="517">
        <f t="shared" si="480"/>
        <v>166397.03120896505</v>
      </c>
      <c r="L603" s="517">
        <f t="shared" si="480"/>
        <v>173156.00754438509</v>
      </c>
      <c r="M603" s="517">
        <f t="shared" si="480"/>
        <v>171635.49852657891</v>
      </c>
      <c r="N603" s="517">
        <f t="shared" si="480"/>
        <v>160408.72421673458</v>
      </c>
      <c r="O603" s="517">
        <f t="shared" si="480"/>
        <v>165647.19153434839</v>
      </c>
      <c r="P603" s="511">
        <f t="shared" si="435"/>
        <v>-1.9764120224863291E-6</v>
      </c>
      <c r="Q603" s="530">
        <v>120800</v>
      </c>
      <c r="R603" s="480"/>
      <c r="U603" s="513"/>
    </row>
    <row r="604" spans="1:21" s="479" customFormat="1" x14ac:dyDescent="0.15">
      <c r="A604" s="579"/>
      <c r="B604" s="534"/>
      <c r="C604" s="521"/>
      <c r="D604" s="522"/>
      <c r="E604" s="522"/>
      <c r="F604" s="522"/>
      <c r="G604" s="522"/>
      <c r="H604" s="522"/>
      <c r="I604" s="522"/>
      <c r="J604" s="522"/>
      <c r="K604" s="522"/>
      <c r="L604" s="522"/>
      <c r="M604" s="522"/>
      <c r="N604" s="522"/>
      <c r="O604" s="522"/>
      <c r="P604" s="511">
        <f t="shared" si="435"/>
        <v>0</v>
      </c>
      <c r="Q604" s="530">
        <v>0</v>
      </c>
      <c r="R604" s="480"/>
      <c r="U604" s="513"/>
    </row>
    <row r="605" spans="1:21" s="479" customFormat="1" x14ac:dyDescent="0.15">
      <c r="A605" s="591"/>
      <c r="B605" s="532"/>
      <c r="C605" s="521"/>
      <c r="D605" s="521"/>
      <c r="E605" s="521"/>
      <c r="F605" s="521"/>
      <c r="G605" s="521"/>
      <c r="H605" s="521"/>
      <c r="I605" s="521"/>
      <c r="J605" s="521"/>
      <c r="K605" s="521"/>
      <c r="L605" s="521"/>
      <c r="M605" s="521"/>
      <c r="N605" s="521"/>
      <c r="O605" s="521"/>
      <c r="P605" s="511">
        <f t="shared" si="435"/>
        <v>0</v>
      </c>
      <c r="Q605" s="530">
        <v>0</v>
      </c>
      <c r="R605" s="480"/>
      <c r="U605" s="513"/>
    </row>
    <row r="606" spans="1:21" s="479" customFormat="1" x14ac:dyDescent="0.15">
      <c r="A606" s="576">
        <v>39</v>
      </c>
      <c r="B606" s="533" t="s">
        <v>105</v>
      </c>
      <c r="C606" s="524">
        <f t="shared" ref="C606:O606" si="481">SUM(C607:C618)</f>
        <v>27673214.186234102</v>
      </c>
      <c r="D606" s="524">
        <f t="shared" si="481"/>
        <v>2156973.9237818895</v>
      </c>
      <c r="E606" s="524">
        <f t="shared" si="481"/>
        <v>2927294.607745715</v>
      </c>
      <c r="F606" s="524">
        <f t="shared" si="481"/>
        <v>1920951.0210081304</v>
      </c>
      <c r="G606" s="524">
        <f t="shared" si="481"/>
        <v>2459209.4452680871</v>
      </c>
      <c r="H606" s="524">
        <f t="shared" si="481"/>
        <v>2796434.6071233633</v>
      </c>
      <c r="I606" s="524">
        <f t="shared" si="481"/>
        <v>2740667.4386601504</v>
      </c>
      <c r="J606" s="524">
        <f t="shared" si="481"/>
        <v>2362883.3887623851</v>
      </c>
      <c r="K606" s="524">
        <f t="shared" si="481"/>
        <v>2296187.439423176</v>
      </c>
      <c r="L606" s="524">
        <f t="shared" si="481"/>
        <v>2171623.5517851529</v>
      </c>
      <c r="M606" s="524">
        <f t="shared" si="481"/>
        <v>1602800.060808664</v>
      </c>
      <c r="N606" s="524">
        <f t="shared" si="481"/>
        <v>2106171.5561643122</v>
      </c>
      <c r="O606" s="524">
        <f t="shared" si="481"/>
        <v>2132017.1456203707</v>
      </c>
      <c r="P606" s="511">
        <f t="shared" si="435"/>
        <v>8.2705635577440262E-5</v>
      </c>
      <c r="Q606" s="530">
        <v>1705258</v>
      </c>
      <c r="R606" s="480"/>
      <c r="T606" s="512"/>
      <c r="U606" s="513"/>
    </row>
    <row r="607" spans="1:21" s="479" customFormat="1" x14ac:dyDescent="0.15">
      <c r="A607" s="579"/>
      <c r="B607" s="528" t="s">
        <v>294</v>
      </c>
      <c r="C607" s="517">
        <f>'FG1'!I54</f>
        <v>19592307.629093237</v>
      </c>
      <c r="D607" s="517">
        <f t="shared" ref="D607:O607" si="482">$C607*D$19%</f>
        <v>1481858.2821502476</v>
      </c>
      <c r="E607" s="517">
        <f t="shared" si="482"/>
        <v>2123132.0210639746</v>
      </c>
      <c r="F607" s="517">
        <f t="shared" si="482"/>
        <v>1372383.5308315058</v>
      </c>
      <c r="G607" s="517">
        <f t="shared" si="482"/>
        <v>1685834.1178183288</v>
      </c>
      <c r="H607" s="517">
        <f t="shared" si="482"/>
        <v>2058771.8173591474</v>
      </c>
      <c r="I607" s="517">
        <f t="shared" si="482"/>
        <v>2018322.9949129091</v>
      </c>
      <c r="J607" s="517">
        <f t="shared" si="482"/>
        <v>1564611.2400296379</v>
      </c>
      <c r="K607" s="517">
        <f t="shared" si="482"/>
        <v>1661202.0911445806</v>
      </c>
      <c r="L607" s="517">
        <f t="shared" si="482"/>
        <v>1561117.9331859401</v>
      </c>
      <c r="M607" s="517">
        <f t="shared" si="482"/>
        <v>1034901.2153670595</v>
      </c>
      <c r="N607" s="517">
        <f t="shared" si="482"/>
        <v>1510385.5742918968</v>
      </c>
      <c r="O607" s="517">
        <f t="shared" si="482"/>
        <v>1519786.8109184175</v>
      </c>
      <c r="P607" s="511">
        <f t="shared" si="435"/>
        <v>1.9591767340898514E-5</v>
      </c>
      <c r="Q607" s="530">
        <v>1164610</v>
      </c>
      <c r="R607" s="480"/>
      <c r="U607" s="513"/>
    </row>
    <row r="608" spans="1:21" s="479" customFormat="1" x14ac:dyDescent="0.15">
      <c r="A608" s="579"/>
      <c r="B608" s="528" t="s">
        <v>296</v>
      </c>
      <c r="C608" s="517">
        <f>FFM!J54</f>
        <v>5266331.8760899501</v>
      </c>
      <c r="D608" s="517">
        <f t="shared" ref="D608:O608" si="483">$C608*D$20%</f>
        <v>398256.55243603303</v>
      </c>
      <c r="E608" s="517">
        <f t="shared" si="483"/>
        <v>570965.47688516905</v>
      </c>
      <c r="F608" s="517">
        <f t="shared" si="483"/>
        <v>368772.62964007008</v>
      </c>
      <c r="G608" s="517">
        <f t="shared" si="483"/>
        <v>453191.66975717829</v>
      </c>
      <c r="H608" s="517">
        <f t="shared" si="483"/>
        <v>553631.87977912149</v>
      </c>
      <c r="I608" s="517">
        <f t="shared" si="483"/>
        <v>542738.13312585768</v>
      </c>
      <c r="J608" s="517">
        <f t="shared" si="483"/>
        <v>420506.84800708777</v>
      </c>
      <c r="K608" s="517">
        <f t="shared" si="483"/>
        <v>446520.85901150608</v>
      </c>
      <c r="L608" s="517">
        <f t="shared" si="483"/>
        <v>419566.02247286169</v>
      </c>
      <c r="M608" s="517">
        <f t="shared" si="483"/>
        <v>277844.44853557396</v>
      </c>
      <c r="N608" s="517">
        <f t="shared" si="483"/>
        <v>405902.69928889623</v>
      </c>
      <c r="O608" s="517">
        <f t="shared" si="483"/>
        <v>408434.65708739881</v>
      </c>
      <c r="P608" s="511">
        <f t="shared" si="435"/>
        <v>6.3195533584803343E-5</v>
      </c>
      <c r="Q608" s="530">
        <v>356567</v>
      </c>
      <c r="R608" s="480"/>
      <c r="U608" s="513"/>
    </row>
    <row r="609" spans="1:21" s="479" customFormat="1" ht="18" x14ac:dyDescent="0.15">
      <c r="A609" s="579"/>
      <c r="B609" s="528" t="s">
        <v>297</v>
      </c>
      <c r="C609" s="517">
        <f>IEPS!I53</f>
        <v>473820.37970420829</v>
      </c>
      <c r="D609" s="517">
        <f t="shared" ref="D609:O609" si="484">$C609*D$21%</f>
        <v>33281.058621512915</v>
      </c>
      <c r="E609" s="517">
        <f t="shared" si="484"/>
        <v>76070.737942536347</v>
      </c>
      <c r="F609" s="517">
        <f t="shared" si="484"/>
        <v>31596.727574202912</v>
      </c>
      <c r="G609" s="517">
        <f t="shared" si="484"/>
        <v>30707.594658003796</v>
      </c>
      <c r="H609" s="517">
        <f t="shared" si="484"/>
        <v>33902.873807958778</v>
      </c>
      <c r="I609" s="517">
        <f t="shared" si="484"/>
        <v>35157.955580765876</v>
      </c>
      <c r="J609" s="517">
        <f t="shared" si="484"/>
        <v>36206.194985781469</v>
      </c>
      <c r="K609" s="517">
        <f t="shared" si="484"/>
        <v>40105.864276460292</v>
      </c>
      <c r="L609" s="517">
        <f t="shared" si="484"/>
        <v>40189.904300883667</v>
      </c>
      <c r="M609" s="517">
        <f t="shared" si="484"/>
        <v>39743.223506759547</v>
      </c>
      <c r="N609" s="517">
        <f t="shared" si="484"/>
        <v>38458.290292866106</v>
      </c>
      <c r="O609" s="517">
        <f t="shared" si="484"/>
        <v>38399.954156002743</v>
      </c>
      <c r="P609" s="511">
        <f t="shared" si="435"/>
        <v>4.7382491175085306E-7</v>
      </c>
      <c r="Q609" s="530">
        <v>30076</v>
      </c>
      <c r="R609" s="480"/>
      <c r="U609" s="513"/>
    </row>
    <row r="610" spans="1:21" s="479" customFormat="1" x14ac:dyDescent="0.15">
      <c r="A610" s="579"/>
      <c r="B610" s="528" t="s">
        <v>236</v>
      </c>
      <c r="C610" s="517">
        <f>ISR!C44</f>
        <v>94082.26</v>
      </c>
      <c r="D610" s="517">
        <f>ISR!D44</f>
        <v>7840.1883333333299</v>
      </c>
      <c r="E610" s="517">
        <f>ISR!E44</f>
        <v>7840.1883333333299</v>
      </c>
      <c r="F610" s="517">
        <f>ISR!F44</f>
        <v>7840.1883333333299</v>
      </c>
      <c r="G610" s="517">
        <f>ISR!G44</f>
        <v>7840.1883333333299</v>
      </c>
      <c r="H610" s="517">
        <f>ISR!H44</f>
        <v>7840.1883333333299</v>
      </c>
      <c r="I610" s="517">
        <f>ISR!I44</f>
        <v>7840.1883333333299</v>
      </c>
      <c r="J610" s="517">
        <f>ISR!J44</f>
        <v>7840.1883333333299</v>
      </c>
      <c r="K610" s="517">
        <f>ISR!K44</f>
        <v>7840.1883333333299</v>
      </c>
      <c r="L610" s="517">
        <f>ISR!L44</f>
        <v>7840.1883333333299</v>
      </c>
      <c r="M610" s="517">
        <f>ISR!M44</f>
        <v>7840.1883333333299</v>
      </c>
      <c r="N610" s="517">
        <f>ISR!N44</f>
        <v>7840.1883333333299</v>
      </c>
      <c r="O610" s="517">
        <f>ISR!O44</f>
        <v>7840.1883333333299</v>
      </c>
      <c r="P610" s="511">
        <f t="shared" si="435"/>
        <v>4.1836756281554699E-11</v>
      </c>
      <c r="Q610" s="530">
        <v>0</v>
      </c>
      <c r="R610" s="480"/>
      <c r="U610" s="513"/>
    </row>
    <row r="611" spans="1:21" s="479" customFormat="1" ht="18" x14ac:dyDescent="0.15">
      <c r="A611" s="579"/>
      <c r="B611" s="528" t="s">
        <v>298</v>
      </c>
      <c r="C611" s="517">
        <f>FOFIR!I53</f>
        <v>916366.28236015968</v>
      </c>
      <c r="D611" s="517">
        <f t="shared" ref="D611:O611" si="485">$C611*D$23%</f>
        <v>125281.470432086</v>
      </c>
      <c r="E611" s="517">
        <f t="shared" si="485"/>
        <v>31874.21353831036</v>
      </c>
      <c r="F611" s="517">
        <f t="shared" si="485"/>
        <v>31874.21353831036</v>
      </c>
      <c r="G611" s="517">
        <f t="shared" si="485"/>
        <v>179876.84602796342</v>
      </c>
      <c r="H611" s="517">
        <f t="shared" si="485"/>
        <v>31874.21353831036</v>
      </c>
      <c r="I611" s="517">
        <f t="shared" si="485"/>
        <v>31874.21353831036</v>
      </c>
      <c r="J611" s="517">
        <f t="shared" si="485"/>
        <v>223737.81258547047</v>
      </c>
      <c r="K611" s="517">
        <f t="shared" si="485"/>
        <v>31874.21353831036</v>
      </c>
      <c r="L611" s="517">
        <f t="shared" si="485"/>
        <v>31874.21353831036</v>
      </c>
      <c r="M611" s="517">
        <f t="shared" si="485"/>
        <v>132476.44501182236</v>
      </c>
      <c r="N611" s="517">
        <f t="shared" si="485"/>
        <v>31874.21353831036</v>
      </c>
      <c r="O611" s="517">
        <f t="shared" si="485"/>
        <v>31874.21353831036</v>
      </c>
      <c r="P611" s="511">
        <f t="shared" si="435"/>
        <v>-3.6655692383646965E-6</v>
      </c>
      <c r="Q611" s="530">
        <v>35426</v>
      </c>
      <c r="R611" s="480"/>
      <c r="U611" s="513"/>
    </row>
    <row r="612" spans="1:21" s="479" customFormat="1" ht="27" x14ac:dyDescent="0.15">
      <c r="A612" s="579"/>
      <c r="B612" s="528" t="s">
        <v>407</v>
      </c>
      <c r="C612" s="517">
        <f>FCISAN!I53</f>
        <v>58172.075958863126</v>
      </c>
      <c r="D612" s="517">
        <f t="shared" ref="D612:O612" si="486">$C612*D$24%</f>
        <v>4847.6729965525374</v>
      </c>
      <c r="E612" s="517">
        <f t="shared" si="486"/>
        <v>4847.6729965525374</v>
      </c>
      <c r="F612" s="517">
        <f t="shared" si="486"/>
        <v>4847.6729965525374</v>
      </c>
      <c r="G612" s="517">
        <f t="shared" si="486"/>
        <v>4847.6729965525374</v>
      </c>
      <c r="H612" s="517">
        <f t="shared" si="486"/>
        <v>4847.6729965525374</v>
      </c>
      <c r="I612" s="517">
        <f t="shared" si="486"/>
        <v>4847.6729965525374</v>
      </c>
      <c r="J612" s="517">
        <f t="shared" si="486"/>
        <v>4847.6729965525374</v>
      </c>
      <c r="K612" s="517">
        <f t="shared" si="486"/>
        <v>4847.6729965525374</v>
      </c>
      <c r="L612" s="517">
        <f t="shared" si="486"/>
        <v>4847.6729965525374</v>
      </c>
      <c r="M612" s="517">
        <f t="shared" si="486"/>
        <v>4847.6729965525374</v>
      </c>
      <c r="N612" s="517">
        <f t="shared" si="486"/>
        <v>4847.6729965525374</v>
      </c>
      <c r="O612" s="517">
        <f t="shared" si="486"/>
        <v>4847.6729965525374</v>
      </c>
      <c r="P612" s="511">
        <f t="shared" ref="P612:P675" si="487">C612-D612-E612-F612-G612-H612-I612-J612-K612-L612-M612-N612-O612</f>
        <v>2.3267784854397178E-7</v>
      </c>
      <c r="Q612" s="530">
        <v>4212</v>
      </c>
      <c r="R612" s="480"/>
      <c r="U612" s="513"/>
    </row>
    <row r="613" spans="1:21" s="479" customFormat="1" ht="27" x14ac:dyDescent="0.15">
      <c r="A613" s="579"/>
      <c r="B613" s="528" t="s">
        <v>242</v>
      </c>
      <c r="C613" s="517">
        <f>ISAN!I53</f>
        <v>290576.34157026553</v>
      </c>
      <c r="D613" s="517">
        <f t="shared" ref="D613:O613" si="488">$C613*D$25%</f>
        <v>27963.209610723276</v>
      </c>
      <c r="E613" s="517">
        <f t="shared" si="488"/>
        <v>31231.985066274829</v>
      </c>
      <c r="F613" s="517">
        <f t="shared" si="488"/>
        <v>24238.77795556554</v>
      </c>
      <c r="G613" s="517">
        <f t="shared" si="488"/>
        <v>22496.086190244674</v>
      </c>
      <c r="H613" s="517">
        <f t="shared" si="488"/>
        <v>24053.289738124851</v>
      </c>
      <c r="I613" s="517">
        <f t="shared" si="488"/>
        <v>20891.014021049283</v>
      </c>
      <c r="J613" s="517">
        <f t="shared" si="488"/>
        <v>22632.210602849063</v>
      </c>
      <c r="K613" s="517">
        <f t="shared" si="488"/>
        <v>23339.75826644124</v>
      </c>
      <c r="L613" s="517">
        <f t="shared" si="488"/>
        <v>22934.376625098732</v>
      </c>
      <c r="M613" s="517">
        <f t="shared" si="488"/>
        <v>23496.825085512228</v>
      </c>
      <c r="N613" s="517">
        <f t="shared" si="488"/>
        <v>22750.384206038671</v>
      </c>
      <c r="O613" s="517">
        <f t="shared" si="488"/>
        <v>24548.424198856232</v>
      </c>
      <c r="P613" s="511">
        <f t="shared" si="487"/>
        <v>3.4869372029788792E-6</v>
      </c>
      <c r="Q613" s="530">
        <v>18103</v>
      </c>
      <c r="R613" s="480"/>
      <c r="U613" s="513"/>
    </row>
    <row r="614" spans="1:21" s="479" customFormat="1" ht="18" x14ac:dyDescent="0.15">
      <c r="A614" s="579"/>
      <c r="B614" s="528" t="s">
        <v>403</v>
      </c>
      <c r="C614" s="517">
        <f>LOT!I53</f>
        <v>14065.927520185876</v>
      </c>
      <c r="D614" s="517">
        <f t="shared" ref="D614:O614" si="489">$C614*D$26%</f>
        <v>1063.5302506453015</v>
      </c>
      <c r="E614" s="517">
        <f t="shared" si="489"/>
        <v>1048.4554172139628</v>
      </c>
      <c r="F614" s="517">
        <f t="shared" si="489"/>
        <v>1030.5029800580153</v>
      </c>
      <c r="G614" s="517">
        <f t="shared" si="489"/>
        <v>1133.7833860998544</v>
      </c>
      <c r="H614" s="517">
        <f t="shared" si="489"/>
        <v>927.64118012642791</v>
      </c>
      <c r="I614" s="517">
        <f t="shared" si="489"/>
        <v>1258.8563764125602</v>
      </c>
      <c r="J614" s="517">
        <f t="shared" si="489"/>
        <v>2889.0740303180223</v>
      </c>
      <c r="K614" s="517">
        <f t="shared" si="489"/>
        <v>1051.7265608204882</v>
      </c>
      <c r="L614" s="517">
        <f t="shared" si="489"/>
        <v>1276.1395451045751</v>
      </c>
      <c r="M614" s="517">
        <f t="shared" si="489"/>
        <v>790.10525801349695</v>
      </c>
      <c r="N614" s="517">
        <f t="shared" si="489"/>
        <v>798.05626760219047</v>
      </c>
      <c r="O614" s="517">
        <f t="shared" si="489"/>
        <v>798.05626760219047</v>
      </c>
      <c r="P614" s="511">
        <f t="shared" si="487"/>
        <v>1.6879130271263421E-7</v>
      </c>
      <c r="Q614" s="530">
        <v>885</v>
      </c>
      <c r="R614" s="480"/>
      <c r="U614" s="513"/>
    </row>
    <row r="615" spans="1:21" s="479" customFormat="1" ht="45" x14ac:dyDescent="0.15">
      <c r="A615" s="579"/>
      <c r="B615" s="518" t="s">
        <v>301</v>
      </c>
      <c r="C615" s="517">
        <f>'ENAJENAC DE INMUE'!I53</f>
        <v>55308.896620262232</v>
      </c>
      <c r="D615" s="517">
        <f t="shared" ref="D615:O615" si="490">$C615*D$27%</f>
        <v>2388.5543928097568</v>
      </c>
      <c r="E615" s="517">
        <f t="shared" si="490"/>
        <v>2423.7354059138074</v>
      </c>
      <c r="F615" s="517">
        <f t="shared" si="490"/>
        <v>2391.0602111535854</v>
      </c>
      <c r="G615" s="517">
        <f t="shared" si="490"/>
        <v>2377.0540464571377</v>
      </c>
      <c r="H615" s="517">
        <f t="shared" si="490"/>
        <v>3297.4279222654418</v>
      </c>
      <c r="I615" s="517">
        <f t="shared" si="490"/>
        <v>2373.4147210595243</v>
      </c>
      <c r="J615" s="517">
        <f t="shared" si="490"/>
        <v>2727.7157045201352</v>
      </c>
      <c r="K615" s="517">
        <f t="shared" si="490"/>
        <v>2724.9079646440223</v>
      </c>
      <c r="L615" s="517">
        <f t="shared" si="490"/>
        <v>2721.4560387857496</v>
      </c>
      <c r="M615" s="517">
        <f t="shared" si="490"/>
        <v>2376.6649321085984</v>
      </c>
      <c r="N615" s="517">
        <f t="shared" si="490"/>
        <v>9881.2987692183724</v>
      </c>
      <c r="O615" s="517">
        <f t="shared" si="490"/>
        <v>19625.606511215483</v>
      </c>
      <c r="P615" s="511">
        <f t="shared" si="487"/>
        <v>1.1061638360843062E-7</v>
      </c>
      <c r="Q615" s="530">
        <v>12903</v>
      </c>
      <c r="R615" s="480"/>
      <c r="U615" s="513"/>
    </row>
    <row r="616" spans="1:21" s="479" customFormat="1" ht="27" x14ac:dyDescent="0.15">
      <c r="A616" s="579"/>
      <c r="B616" s="518" t="s">
        <v>248</v>
      </c>
      <c r="C616" s="517">
        <f>'IMP BEBIDAS AL'!I53</f>
        <v>21617.639567113216</v>
      </c>
      <c r="D616" s="517">
        <f t="shared" ref="D616:O616" si="491">$C616*D$28%</f>
        <v>4915.6479326028139</v>
      </c>
      <c r="E616" s="517">
        <f t="shared" si="491"/>
        <v>1690.8043764954093</v>
      </c>
      <c r="F616" s="517">
        <f t="shared" si="491"/>
        <v>1817.0281119949973</v>
      </c>
      <c r="G616" s="517">
        <f t="shared" si="491"/>
        <v>1803.9842721371385</v>
      </c>
      <c r="H616" s="517">
        <f t="shared" si="491"/>
        <v>1148.7858776453193</v>
      </c>
      <c r="I616" s="517">
        <f t="shared" si="491"/>
        <v>1879.9899367890387</v>
      </c>
      <c r="J616" s="517">
        <f t="shared" si="491"/>
        <v>1869.4077515456079</v>
      </c>
      <c r="K616" s="517">
        <f t="shared" si="491"/>
        <v>1709.709788920205</v>
      </c>
      <c r="L616" s="517">
        <f t="shared" si="491"/>
        <v>1239.9296492683491</v>
      </c>
      <c r="M616" s="517">
        <f t="shared" si="491"/>
        <v>1152.624443605675</v>
      </c>
      <c r="N616" s="517">
        <f t="shared" si="491"/>
        <v>1160.7718948705385</v>
      </c>
      <c r="O616" s="517">
        <f t="shared" si="491"/>
        <v>1228.9555312381249</v>
      </c>
      <c r="P616" s="511">
        <f t="shared" si="487"/>
        <v>-2.0463630789890885E-12</v>
      </c>
      <c r="Q616" s="530">
        <v>552</v>
      </c>
      <c r="R616" s="480"/>
      <c r="U616" s="513"/>
    </row>
    <row r="617" spans="1:21" s="479" customFormat="1" ht="18" x14ac:dyDescent="0.15">
      <c r="A617" s="579"/>
      <c r="B617" s="518" t="s">
        <v>253</v>
      </c>
      <c r="C617" s="517">
        <f>'FOND GASO Y D'!Q54</f>
        <v>0</v>
      </c>
      <c r="D617" s="517">
        <f t="shared" ref="D617:O617" si="492">$C617*D$29%</f>
        <v>0</v>
      </c>
      <c r="E617" s="517">
        <f t="shared" si="492"/>
        <v>0</v>
      </c>
      <c r="F617" s="517">
        <f t="shared" si="492"/>
        <v>0</v>
      </c>
      <c r="G617" s="517">
        <f t="shared" si="492"/>
        <v>0</v>
      </c>
      <c r="H617" s="517">
        <f t="shared" si="492"/>
        <v>0</v>
      </c>
      <c r="I617" s="517">
        <f t="shared" si="492"/>
        <v>0</v>
      </c>
      <c r="J617" s="517">
        <f t="shared" si="492"/>
        <v>0</v>
      </c>
      <c r="K617" s="517">
        <f t="shared" si="492"/>
        <v>0</v>
      </c>
      <c r="L617" s="517">
        <f t="shared" si="492"/>
        <v>0</v>
      </c>
      <c r="M617" s="517">
        <f t="shared" si="492"/>
        <v>0</v>
      </c>
      <c r="N617" s="517">
        <f t="shared" si="492"/>
        <v>0</v>
      </c>
      <c r="O617" s="517">
        <f t="shared" si="492"/>
        <v>0</v>
      </c>
      <c r="P617" s="511">
        <f t="shared" si="487"/>
        <v>0</v>
      </c>
      <c r="Q617" s="530">
        <v>27496</v>
      </c>
      <c r="R617" s="480"/>
      <c r="U617" s="513"/>
    </row>
    <row r="618" spans="1:21" s="479" customFormat="1" ht="18" x14ac:dyDescent="0.15">
      <c r="A618" s="579"/>
      <c r="B618" s="528" t="s">
        <v>408</v>
      </c>
      <c r="C618" s="519">
        <f>'FOND GASO Y D'!H54</f>
        <v>890564.8777498547</v>
      </c>
      <c r="D618" s="517">
        <f t="shared" ref="D618:O618" si="493">$C618*D$30%</f>
        <v>69277.756625343376</v>
      </c>
      <c r="E618" s="517">
        <f t="shared" si="493"/>
        <v>76169.316719940078</v>
      </c>
      <c r="F618" s="517">
        <f t="shared" si="493"/>
        <v>74158.688835383291</v>
      </c>
      <c r="G618" s="517">
        <f t="shared" si="493"/>
        <v>69100.447781787501</v>
      </c>
      <c r="H618" s="517">
        <f t="shared" si="493"/>
        <v>76138.816590776783</v>
      </c>
      <c r="I618" s="517">
        <f t="shared" si="493"/>
        <v>73483.005117110661</v>
      </c>
      <c r="J618" s="517">
        <f t="shared" si="493"/>
        <v>75015.023735288472</v>
      </c>
      <c r="K618" s="517">
        <f t="shared" si="493"/>
        <v>74970.447541606816</v>
      </c>
      <c r="L618" s="517">
        <f t="shared" si="493"/>
        <v>78015.71509901424</v>
      </c>
      <c r="M618" s="517">
        <f t="shared" si="493"/>
        <v>77330.647338323106</v>
      </c>
      <c r="N618" s="517">
        <f t="shared" si="493"/>
        <v>72272.406284727331</v>
      </c>
      <c r="O618" s="517">
        <f t="shared" si="493"/>
        <v>74632.606081443591</v>
      </c>
      <c r="P618" s="511">
        <f t="shared" si="487"/>
        <v>-8.9044624473899603E-7</v>
      </c>
      <c r="Q618" s="530">
        <v>54428</v>
      </c>
      <c r="R618" s="480"/>
      <c r="U618" s="513"/>
    </row>
    <row r="619" spans="1:21" s="479" customFormat="1" x14ac:dyDescent="0.15">
      <c r="A619" s="579"/>
      <c r="B619" s="534"/>
      <c r="C619" s="521"/>
      <c r="D619" s="522"/>
      <c r="E619" s="522"/>
      <c r="F619" s="522"/>
      <c r="G619" s="522"/>
      <c r="H619" s="522"/>
      <c r="I619" s="522"/>
      <c r="J619" s="522"/>
      <c r="K619" s="522"/>
      <c r="L619" s="522"/>
      <c r="M619" s="522"/>
      <c r="N619" s="522"/>
      <c r="O619" s="522"/>
      <c r="P619" s="511">
        <f t="shared" si="487"/>
        <v>0</v>
      </c>
      <c r="Q619" s="530">
        <v>0</v>
      </c>
      <c r="R619" s="480"/>
      <c r="U619" s="513"/>
    </row>
    <row r="620" spans="1:21" s="479" customFormat="1" x14ac:dyDescent="0.15">
      <c r="A620" s="591"/>
      <c r="B620" s="532"/>
      <c r="C620" s="521"/>
      <c r="D620" s="521"/>
      <c r="E620" s="521"/>
      <c r="F620" s="521"/>
      <c r="G620" s="521"/>
      <c r="H620" s="521"/>
      <c r="I620" s="521"/>
      <c r="J620" s="521"/>
      <c r="K620" s="521"/>
      <c r="L620" s="521"/>
      <c r="M620" s="521"/>
      <c r="N620" s="521"/>
      <c r="O620" s="521"/>
      <c r="P620" s="511">
        <f t="shared" si="487"/>
        <v>0</v>
      </c>
      <c r="Q620" s="530">
        <v>0</v>
      </c>
      <c r="R620" s="480"/>
      <c r="U620" s="513"/>
    </row>
    <row r="621" spans="1:21" s="479" customFormat="1" x14ac:dyDescent="0.15">
      <c r="A621" s="576">
        <v>40</v>
      </c>
      <c r="B621" s="533" t="s">
        <v>96</v>
      </c>
      <c r="C621" s="524">
        <f t="shared" ref="C621:O621" si="494">SUM(C622:C633)</f>
        <v>45637966.581923619</v>
      </c>
      <c r="D621" s="524">
        <f t="shared" si="494"/>
        <v>3557598.5418260158</v>
      </c>
      <c r="E621" s="524">
        <f t="shared" si="494"/>
        <v>4765652.220895282</v>
      </c>
      <c r="F621" s="524">
        <f t="shared" si="494"/>
        <v>3197257.6333313156</v>
      </c>
      <c r="G621" s="524">
        <f t="shared" si="494"/>
        <v>4039854.6946719573</v>
      </c>
      <c r="H621" s="524">
        <f t="shared" si="494"/>
        <v>4566792.4532186752</v>
      </c>
      <c r="I621" s="524">
        <f t="shared" si="494"/>
        <v>4485351.2138645146</v>
      </c>
      <c r="J621" s="524">
        <f t="shared" si="494"/>
        <v>3900433.5212654416</v>
      </c>
      <c r="K621" s="524">
        <f t="shared" si="494"/>
        <v>3787236.487734308</v>
      </c>
      <c r="L621" s="524">
        <f t="shared" si="494"/>
        <v>3593101.7044903962</v>
      </c>
      <c r="M621" s="524">
        <f t="shared" si="494"/>
        <v>2706538.3759956029</v>
      </c>
      <c r="N621" s="524">
        <f t="shared" si="494"/>
        <v>3498438.9118106021</v>
      </c>
      <c r="O621" s="524">
        <f t="shared" si="494"/>
        <v>3539710.8226903491</v>
      </c>
      <c r="P621" s="511">
        <f t="shared" si="487"/>
        <v>1.2916047126054764E-4</v>
      </c>
      <c r="Q621" s="530">
        <v>2657458</v>
      </c>
      <c r="R621" s="480"/>
      <c r="T621" s="512"/>
      <c r="U621" s="513"/>
    </row>
    <row r="622" spans="1:21" s="479" customFormat="1" x14ac:dyDescent="0.15">
      <c r="A622" s="579"/>
      <c r="B622" s="528" t="s">
        <v>294</v>
      </c>
      <c r="C622" s="517">
        <f>'FG1'!I55</f>
        <v>30551210.234147802</v>
      </c>
      <c r="D622" s="517">
        <f t="shared" ref="D622:O622" si="495">$C622*D$19%</f>
        <v>2310731.5775278388</v>
      </c>
      <c r="E622" s="517">
        <f t="shared" si="495"/>
        <v>3310699.9929940682</v>
      </c>
      <c r="F622" s="517">
        <f t="shared" si="495"/>
        <v>2140022.4295200026</v>
      </c>
      <c r="G622" s="517">
        <f t="shared" si="495"/>
        <v>2628800.7277349266</v>
      </c>
      <c r="H622" s="517">
        <f t="shared" si="495"/>
        <v>3210340.0889274864</v>
      </c>
      <c r="I622" s="517">
        <f t="shared" si="495"/>
        <v>3147266.3305079462</v>
      </c>
      <c r="J622" s="517">
        <f t="shared" si="495"/>
        <v>2439772.1714962912</v>
      </c>
      <c r="K622" s="517">
        <f t="shared" si="495"/>
        <v>2590390.8456705315</v>
      </c>
      <c r="L622" s="517">
        <f t="shared" si="495"/>
        <v>2434324.8932167422</v>
      </c>
      <c r="M622" s="517">
        <f t="shared" si="495"/>
        <v>1613770.322557834</v>
      </c>
      <c r="N622" s="517">
        <f t="shared" si="495"/>
        <v>2355215.5309308721</v>
      </c>
      <c r="O622" s="517">
        <f t="shared" si="495"/>
        <v>2369875.3230327126</v>
      </c>
      <c r="P622" s="511">
        <f t="shared" si="487"/>
        <v>3.0551105737686157E-5</v>
      </c>
      <c r="Q622" s="530">
        <v>1827360</v>
      </c>
      <c r="R622" s="480"/>
      <c r="U622" s="513"/>
    </row>
    <row r="623" spans="1:21" s="479" customFormat="1" x14ac:dyDescent="0.15">
      <c r="A623" s="579"/>
      <c r="B623" s="528" t="s">
        <v>296</v>
      </c>
      <c r="C623" s="517">
        <f>FFM!J55</f>
        <v>8212039.9166407138</v>
      </c>
      <c r="D623" s="517">
        <f t="shared" ref="D623:O623" si="496">$C623*D$20%</f>
        <v>621020.24380898662</v>
      </c>
      <c r="E623" s="517">
        <f t="shared" si="496"/>
        <v>890333.42324905994</v>
      </c>
      <c r="F623" s="517">
        <f t="shared" si="496"/>
        <v>575044.57106438023</v>
      </c>
      <c r="G623" s="517">
        <f t="shared" si="496"/>
        <v>706683.16572144534</v>
      </c>
      <c r="H623" s="517">
        <f t="shared" si="496"/>
        <v>863304.32696667453</v>
      </c>
      <c r="I623" s="517">
        <f t="shared" si="496"/>
        <v>846317.19351909659</v>
      </c>
      <c r="J623" s="517">
        <f t="shared" si="496"/>
        <v>655716.18012400263</v>
      </c>
      <c r="K623" s="517">
        <f t="shared" si="496"/>
        <v>696281.05559835746</v>
      </c>
      <c r="L623" s="517">
        <f t="shared" si="496"/>
        <v>654249.10645233805</v>
      </c>
      <c r="M623" s="517">
        <f t="shared" si="496"/>
        <v>433255.96557070996</v>
      </c>
      <c r="N623" s="517">
        <f t="shared" si="496"/>
        <v>632943.24156939914</v>
      </c>
      <c r="O623" s="517">
        <f t="shared" si="496"/>
        <v>636891.44289771921</v>
      </c>
      <c r="P623" s="511">
        <f t="shared" si="487"/>
        <v>9.8543358035385609E-5</v>
      </c>
      <c r="Q623" s="530">
        <v>559478</v>
      </c>
      <c r="R623" s="480"/>
      <c r="U623" s="513"/>
    </row>
    <row r="624" spans="1:21" s="479" customFormat="1" ht="18" x14ac:dyDescent="0.15">
      <c r="A624" s="579"/>
      <c r="B624" s="528" t="s">
        <v>297</v>
      </c>
      <c r="C624" s="517">
        <f>IEPS!I54</f>
        <v>738850.4870182547</v>
      </c>
      <c r="D624" s="517">
        <f t="shared" ref="D624:O624" si="497">$C624*D$21%</f>
        <v>51896.725899250094</v>
      </c>
      <c r="E624" s="517">
        <f t="shared" si="497"/>
        <v>118620.69295492952</v>
      </c>
      <c r="F624" s="517">
        <f t="shared" si="497"/>
        <v>49270.268980318397</v>
      </c>
      <c r="G624" s="517">
        <f t="shared" si="497"/>
        <v>47883.802048339276</v>
      </c>
      <c r="H624" s="517">
        <f t="shared" si="497"/>
        <v>52866.35167521963</v>
      </c>
      <c r="I624" s="517">
        <f t="shared" si="497"/>
        <v>54823.45993566457</v>
      </c>
      <c r="J624" s="517">
        <f t="shared" si="497"/>
        <v>56458.02912703406</v>
      </c>
      <c r="K624" s="517">
        <f t="shared" si="497"/>
        <v>62538.96755443322</v>
      </c>
      <c r="L624" s="517">
        <f t="shared" si="497"/>
        <v>62670.015132025808</v>
      </c>
      <c r="M624" s="517">
        <f t="shared" si="497"/>
        <v>61973.484682055845</v>
      </c>
      <c r="N624" s="517">
        <f t="shared" si="497"/>
        <v>59969.827660245683</v>
      </c>
      <c r="O624" s="517">
        <f t="shared" si="497"/>
        <v>59878.861367999729</v>
      </c>
      <c r="P624" s="511">
        <f t="shared" si="487"/>
        <v>7.3880073614418507E-7</v>
      </c>
      <c r="Q624" s="530">
        <v>47192</v>
      </c>
      <c r="R624" s="480"/>
      <c r="U624" s="513"/>
    </row>
    <row r="625" spans="1:21" s="479" customFormat="1" x14ac:dyDescent="0.15">
      <c r="A625" s="579"/>
      <c r="B625" s="528" t="s">
        <v>236</v>
      </c>
      <c r="C625" s="517">
        <f>ISR!C45</f>
        <v>2821895.12</v>
      </c>
      <c r="D625" s="517">
        <f>ISR!D45</f>
        <v>221084.16662411892</v>
      </c>
      <c r="E625" s="517">
        <f>ISR!E45</f>
        <v>229405.86746339648</v>
      </c>
      <c r="F625" s="517">
        <f>ISR!F45</f>
        <v>229822.80122548668</v>
      </c>
      <c r="G625" s="517">
        <f>ISR!G45</f>
        <v>232012.49915157925</v>
      </c>
      <c r="H625" s="517">
        <f>ISR!H45</f>
        <v>234595.79103628622</v>
      </c>
      <c r="I625" s="517">
        <f>ISR!I45</f>
        <v>239550.1947741019</v>
      </c>
      <c r="J625" s="517">
        <f>ISR!J45</f>
        <v>244054.77684492947</v>
      </c>
      <c r="K625" s="517">
        <f>ISR!K45</f>
        <v>234850.40707420389</v>
      </c>
      <c r="L625" s="517">
        <f>ISR!L45</f>
        <v>235601.52438606124</v>
      </c>
      <c r="M625" s="517">
        <f>ISR!M45</f>
        <v>235885.84562840266</v>
      </c>
      <c r="N625" s="517">
        <f>ISR!N45</f>
        <v>241779.85327281235</v>
      </c>
      <c r="O625" s="517">
        <f>ISR!O45</f>
        <v>243251.39251862161</v>
      </c>
      <c r="P625" s="511">
        <f t="shared" si="487"/>
        <v>-6.9849193096160889E-10</v>
      </c>
      <c r="Q625" s="530">
        <v>0</v>
      </c>
      <c r="R625" s="480"/>
      <c r="U625" s="513"/>
    </row>
    <row r="626" spans="1:21" s="479" customFormat="1" ht="18" x14ac:dyDescent="0.15">
      <c r="A626" s="579"/>
      <c r="B626" s="528" t="s">
        <v>298</v>
      </c>
      <c r="C626" s="517">
        <f>FOFIR!I54</f>
        <v>1428933.205514668</v>
      </c>
      <c r="D626" s="517">
        <f t="shared" ref="D626:O626" si="498">$C626*D$23%</f>
        <v>195357.31135265835</v>
      </c>
      <c r="E626" s="517">
        <f t="shared" si="498"/>
        <v>49702.965944196367</v>
      </c>
      <c r="F626" s="517">
        <f t="shared" si="498"/>
        <v>49702.965944196367</v>
      </c>
      <c r="G626" s="517">
        <f t="shared" si="498"/>
        <v>280490.45795378229</v>
      </c>
      <c r="H626" s="517">
        <f t="shared" si="498"/>
        <v>49702.965944196367</v>
      </c>
      <c r="I626" s="517">
        <f t="shared" si="498"/>
        <v>49702.965944196367</v>
      </c>
      <c r="J626" s="517">
        <f t="shared" si="498"/>
        <v>348884.93377252185</v>
      </c>
      <c r="K626" s="517">
        <f t="shared" si="498"/>
        <v>49702.965944196367</v>
      </c>
      <c r="L626" s="517">
        <f t="shared" si="498"/>
        <v>49702.965944196367</v>
      </c>
      <c r="M626" s="517">
        <f t="shared" si="498"/>
        <v>206576.77488785033</v>
      </c>
      <c r="N626" s="517">
        <f t="shared" si="498"/>
        <v>49702.965944196367</v>
      </c>
      <c r="O626" s="517">
        <f t="shared" si="498"/>
        <v>49702.965944196367</v>
      </c>
      <c r="P626" s="511">
        <f t="shared" si="487"/>
        <v>-5.7155993999913335E-6</v>
      </c>
      <c r="Q626" s="530">
        <v>55589</v>
      </c>
      <c r="R626" s="480"/>
      <c r="U626" s="513"/>
    </row>
    <row r="627" spans="1:21" s="479" customFormat="1" ht="27" x14ac:dyDescent="0.15">
      <c r="A627" s="579"/>
      <c r="B627" s="528" t="s">
        <v>407</v>
      </c>
      <c r="C627" s="517">
        <f>FCISAN!I54</f>
        <v>90710.464332286268</v>
      </c>
      <c r="D627" s="517">
        <f t="shared" ref="D627:O627" si="499">$C627*D$24%</f>
        <v>7559.2053609936202</v>
      </c>
      <c r="E627" s="517">
        <f t="shared" si="499"/>
        <v>7559.2053609936202</v>
      </c>
      <c r="F627" s="517">
        <f t="shared" si="499"/>
        <v>7559.2053609936202</v>
      </c>
      <c r="G627" s="517">
        <f t="shared" si="499"/>
        <v>7559.2053609936202</v>
      </c>
      <c r="H627" s="517">
        <f t="shared" si="499"/>
        <v>7559.2053609936202</v>
      </c>
      <c r="I627" s="517">
        <f t="shared" si="499"/>
        <v>7559.2053609936202</v>
      </c>
      <c r="J627" s="517">
        <f t="shared" si="499"/>
        <v>7559.2053609936202</v>
      </c>
      <c r="K627" s="517">
        <f t="shared" si="499"/>
        <v>7559.2053609936202</v>
      </c>
      <c r="L627" s="517">
        <f t="shared" si="499"/>
        <v>7559.2053609936202</v>
      </c>
      <c r="M627" s="517">
        <f t="shared" si="499"/>
        <v>7559.2053609936202</v>
      </c>
      <c r="N627" s="517">
        <f t="shared" si="499"/>
        <v>7559.2053609936202</v>
      </c>
      <c r="O627" s="517">
        <f t="shared" si="499"/>
        <v>7559.2053609936202</v>
      </c>
      <c r="P627" s="511">
        <f t="shared" si="487"/>
        <v>3.6281380744185299E-7</v>
      </c>
      <c r="Q627" s="530">
        <v>6611</v>
      </c>
      <c r="R627" s="480"/>
      <c r="U627" s="513"/>
    </row>
    <row r="628" spans="1:21" s="479" customFormat="1" ht="27" x14ac:dyDescent="0.15">
      <c r="A628" s="579"/>
      <c r="B628" s="528" t="s">
        <v>242</v>
      </c>
      <c r="C628" s="517">
        <f>ISAN!I54</f>
        <v>453109.40744929423</v>
      </c>
      <c r="D628" s="517">
        <f t="shared" ref="D628:O628" si="500">$C628*D$25%</f>
        <v>43604.35288236069</v>
      </c>
      <c r="E628" s="517">
        <f t="shared" si="500"/>
        <v>48701.508768300591</v>
      </c>
      <c r="F628" s="517">
        <f t="shared" si="500"/>
        <v>37796.670772955942</v>
      </c>
      <c r="G628" s="517">
        <f t="shared" si="500"/>
        <v>35079.209231234527</v>
      </c>
      <c r="H628" s="517">
        <f t="shared" si="500"/>
        <v>37507.430238646812</v>
      </c>
      <c r="I628" s="517">
        <f t="shared" si="500"/>
        <v>32576.344422739396</v>
      </c>
      <c r="J628" s="517">
        <f t="shared" si="500"/>
        <v>35291.474454209128</v>
      </c>
      <c r="K628" s="517">
        <f t="shared" si="500"/>
        <v>36394.786929202419</v>
      </c>
      <c r="L628" s="517">
        <f t="shared" si="500"/>
        <v>35762.656197887838</v>
      </c>
      <c r="M628" s="517">
        <f t="shared" si="500"/>
        <v>36639.708635266332</v>
      </c>
      <c r="N628" s="517">
        <f t="shared" si="500"/>
        <v>35475.7481326099</v>
      </c>
      <c r="O628" s="517">
        <f t="shared" si="500"/>
        <v>38279.516778443343</v>
      </c>
      <c r="P628" s="511">
        <f t="shared" si="487"/>
        <v>5.4373595048673451E-6</v>
      </c>
      <c r="Q628" s="530">
        <v>28405</v>
      </c>
      <c r="R628" s="480"/>
      <c r="U628" s="513"/>
    </row>
    <row r="629" spans="1:21" s="479" customFormat="1" ht="18" x14ac:dyDescent="0.15">
      <c r="A629" s="579"/>
      <c r="B629" s="528" t="s">
        <v>403</v>
      </c>
      <c r="C629" s="517">
        <f>LOT!I54</f>
        <v>21933.664831260743</v>
      </c>
      <c r="D629" s="517">
        <f t="shared" ref="D629:O629" si="501">$C629*D$26%</f>
        <v>1658.4129288370252</v>
      </c>
      <c r="E629" s="517">
        <f t="shared" si="501"/>
        <v>1634.9060293883001</v>
      </c>
      <c r="F629" s="517">
        <f t="shared" si="501"/>
        <v>1606.9119466008162</v>
      </c>
      <c r="G629" s="517">
        <f t="shared" si="501"/>
        <v>1767.961959584836</v>
      </c>
      <c r="H629" s="517">
        <f t="shared" si="501"/>
        <v>1446.5146858868054</v>
      </c>
      <c r="I629" s="517">
        <f t="shared" si="501"/>
        <v>1962.9941780450488</v>
      </c>
      <c r="J629" s="517">
        <f t="shared" si="501"/>
        <v>4505.0695279608381</v>
      </c>
      <c r="K629" s="517">
        <f t="shared" si="501"/>
        <v>1640.006878043853</v>
      </c>
      <c r="L629" s="517">
        <f t="shared" si="501"/>
        <v>1989.9446389207199</v>
      </c>
      <c r="M629" s="517">
        <f t="shared" si="501"/>
        <v>1232.0484294985067</v>
      </c>
      <c r="N629" s="517">
        <f t="shared" si="501"/>
        <v>1244.4468141153952</v>
      </c>
      <c r="O629" s="517">
        <f t="shared" si="501"/>
        <v>1244.4468141153952</v>
      </c>
      <c r="P629" s="511">
        <f t="shared" si="487"/>
        <v>2.6320458346162923E-7</v>
      </c>
      <c r="Q629" s="530">
        <v>1387</v>
      </c>
      <c r="R629" s="480"/>
      <c r="U629" s="513"/>
    </row>
    <row r="630" spans="1:21" s="479" customFormat="1" ht="45" x14ac:dyDescent="0.15">
      <c r="A630" s="579"/>
      <c r="B630" s="518" t="s">
        <v>301</v>
      </c>
      <c r="C630" s="517">
        <f>'ENAJENAC DE INMUE'!I54</f>
        <v>86245.773619602085</v>
      </c>
      <c r="D630" s="517">
        <f t="shared" ref="D630:O630" si="502">$C630*D$27%</f>
        <v>3724.5856277832163</v>
      </c>
      <c r="E630" s="517">
        <f t="shared" si="502"/>
        <v>3779.445042403479</v>
      </c>
      <c r="F630" s="517">
        <f t="shared" si="502"/>
        <v>3728.4930686258258</v>
      </c>
      <c r="G630" s="517">
        <f t="shared" si="502"/>
        <v>3706.6525947870082</v>
      </c>
      <c r="H630" s="517">
        <f t="shared" si="502"/>
        <v>5141.8350299628846</v>
      </c>
      <c r="I630" s="517">
        <f t="shared" si="502"/>
        <v>3700.9776228828382</v>
      </c>
      <c r="J630" s="517">
        <f t="shared" si="502"/>
        <v>4253.4558728566726</v>
      </c>
      <c r="K630" s="517">
        <f t="shared" si="502"/>
        <v>4249.0776315151306</v>
      </c>
      <c r="L630" s="517">
        <f t="shared" si="502"/>
        <v>4243.6948805597413</v>
      </c>
      <c r="M630" s="517">
        <f t="shared" si="502"/>
        <v>3706.0458304133367</v>
      </c>
      <c r="N630" s="517">
        <f t="shared" si="502"/>
        <v>15408.375664566274</v>
      </c>
      <c r="O630" s="517">
        <f t="shared" si="502"/>
        <v>30603.134753073184</v>
      </c>
      <c r="P630" s="511">
        <f t="shared" si="487"/>
        <v>1.7249476513825357E-7</v>
      </c>
      <c r="Q630" s="530">
        <v>20246</v>
      </c>
      <c r="R630" s="480"/>
      <c r="U630" s="513"/>
    </row>
    <row r="631" spans="1:21" s="479" customFormat="1" ht="27" x14ac:dyDescent="0.15">
      <c r="A631" s="579"/>
      <c r="B631" s="518" t="s">
        <v>248</v>
      </c>
      <c r="C631" s="517">
        <f>'IMP BEBIDAS AL'!I54</f>
        <v>33709.405940533106</v>
      </c>
      <c r="D631" s="517">
        <f t="shared" ref="D631:O631" si="503">$C631*D$28%</f>
        <v>7665.2018878570998</v>
      </c>
      <c r="E631" s="517">
        <f t="shared" si="503"/>
        <v>2636.5510867348075</v>
      </c>
      <c r="F631" s="517">
        <f t="shared" si="503"/>
        <v>2833.3777164913276</v>
      </c>
      <c r="G631" s="517">
        <f t="shared" si="503"/>
        <v>2813.0378412044447</v>
      </c>
      <c r="H631" s="517">
        <f t="shared" si="503"/>
        <v>1791.3560529156757</v>
      </c>
      <c r="I631" s="517">
        <f t="shared" si="503"/>
        <v>2931.5570623051908</v>
      </c>
      <c r="J631" s="517">
        <f t="shared" si="503"/>
        <v>2915.0557612727043</v>
      </c>
      <c r="K631" s="517">
        <f t="shared" si="503"/>
        <v>2666.0311888487381</v>
      </c>
      <c r="L631" s="517">
        <f t="shared" si="503"/>
        <v>1933.4808388828717</v>
      </c>
      <c r="M631" s="517">
        <f t="shared" si="503"/>
        <v>1797.3417100354284</v>
      </c>
      <c r="N631" s="517">
        <f t="shared" si="503"/>
        <v>1810.0464154319329</v>
      </c>
      <c r="O631" s="517">
        <f t="shared" si="503"/>
        <v>1916.3683785528858</v>
      </c>
      <c r="P631" s="511">
        <f t="shared" si="487"/>
        <v>0</v>
      </c>
      <c r="Q631" s="530">
        <v>865</v>
      </c>
      <c r="R631" s="480"/>
      <c r="U631" s="513"/>
    </row>
    <row r="632" spans="1:21" s="479" customFormat="1" ht="18" x14ac:dyDescent="0.15">
      <c r="A632" s="579"/>
      <c r="B632" s="518" t="s">
        <v>253</v>
      </c>
      <c r="C632" s="517">
        <f>'FOND GASO Y D'!Q55</f>
        <v>0</v>
      </c>
      <c r="D632" s="517">
        <f t="shared" ref="D632:O632" si="504">$C632*D$29%</f>
        <v>0</v>
      </c>
      <c r="E632" s="517">
        <f t="shared" si="504"/>
        <v>0</v>
      </c>
      <c r="F632" s="517">
        <f t="shared" si="504"/>
        <v>0</v>
      </c>
      <c r="G632" s="517">
        <f t="shared" si="504"/>
        <v>0</v>
      </c>
      <c r="H632" s="517">
        <f t="shared" si="504"/>
        <v>0</v>
      </c>
      <c r="I632" s="517">
        <f t="shared" si="504"/>
        <v>0</v>
      </c>
      <c r="J632" s="517">
        <f t="shared" si="504"/>
        <v>0</v>
      </c>
      <c r="K632" s="517">
        <f t="shared" si="504"/>
        <v>0</v>
      </c>
      <c r="L632" s="517">
        <f t="shared" si="504"/>
        <v>0</v>
      </c>
      <c r="M632" s="517">
        <f t="shared" si="504"/>
        <v>0</v>
      </c>
      <c r="N632" s="517">
        <f t="shared" si="504"/>
        <v>0</v>
      </c>
      <c r="O632" s="517">
        <f t="shared" si="504"/>
        <v>0</v>
      </c>
      <c r="P632" s="511">
        <f t="shared" si="487"/>
        <v>0</v>
      </c>
      <c r="Q632" s="530">
        <v>37029</v>
      </c>
      <c r="R632" s="480"/>
      <c r="U632" s="513"/>
    </row>
    <row r="633" spans="1:21" s="479" customFormat="1" ht="18" x14ac:dyDescent="0.15">
      <c r="A633" s="579"/>
      <c r="B633" s="528" t="s">
        <v>408</v>
      </c>
      <c r="C633" s="519">
        <f>'FOND GASO Y D'!H55</f>
        <v>1199328.9024291979</v>
      </c>
      <c r="D633" s="517">
        <f t="shared" ref="D633:O633" si="505">$C633*D$30%</f>
        <v>93296.757925330981</v>
      </c>
      <c r="E633" s="517">
        <f t="shared" si="505"/>
        <v>102577.66200180983</v>
      </c>
      <c r="F633" s="517">
        <f t="shared" si="505"/>
        <v>99869.937731263926</v>
      </c>
      <c r="G633" s="517">
        <f t="shared" si="505"/>
        <v>93057.975074080256</v>
      </c>
      <c r="H633" s="517">
        <f t="shared" si="505"/>
        <v>102536.58730040707</v>
      </c>
      <c r="I633" s="517">
        <f t="shared" si="505"/>
        <v>98959.990536543308</v>
      </c>
      <c r="J633" s="517">
        <f t="shared" si="505"/>
        <v>101023.1689233698</v>
      </c>
      <c r="K633" s="517">
        <f t="shared" si="505"/>
        <v>100963.13790398157</v>
      </c>
      <c r="L633" s="517">
        <f t="shared" si="505"/>
        <v>105064.21744178762</v>
      </c>
      <c r="M633" s="517">
        <f t="shared" si="505"/>
        <v>104141.63270254293</v>
      </c>
      <c r="N633" s="517">
        <f t="shared" si="505"/>
        <v>97329.670045359293</v>
      </c>
      <c r="O633" s="517">
        <f t="shared" si="505"/>
        <v>100508.16484392063</v>
      </c>
      <c r="P633" s="511">
        <f t="shared" si="487"/>
        <v>-1.1992087820544839E-6</v>
      </c>
      <c r="Q633" s="530">
        <v>73296</v>
      </c>
      <c r="R633" s="480"/>
      <c r="U633" s="513"/>
    </row>
    <row r="634" spans="1:21" s="479" customFormat="1" x14ac:dyDescent="0.15">
      <c r="A634" s="579"/>
      <c r="B634" s="534"/>
      <c r="C634" s="521"/>
      <c r="D634" s="522"/>
      <c r="E634" s="522"/>
      <c r="F634" s="522"/>
      <c r="G634" s="522"/>
      <c r="H634" s="522"/>
      <c r="I634" s="522"/>
      <c r="J634" s="522"/>
      <c r="K634" s="522"/>
      <c r="L634" s="522"/>
      <c r="M634" s="522"/>
      <c r="N634" s="522"/>
      <c r="O634" s="522"/>
      <c r="P634" s="511">
        <f t="shared" si="487"/>
        <v>0</v>
      </c>
      <c r="Q634" s="530">
        <v>0</v>
      </c>
      <c r="R634" s="480"/>
      <c r="U634" s="513"/>
    </row>
    <row r="635" spans="1:21" s="479" customFormat="1" x14ac:dyDescent="0.15">
      <c r="A635" s="591"/>
      <c r="B635" s="532"/>
      <c r="C635" s="521"/>
      <c r="D635" s="521"/>
      <c r="E635" s="521"/>
      <c r="F635" s="521"/>
      <c r="G635" s="521"/>
      <c r="H635" s="521"/>
      <c r="I635" s="521"/>
      <c r="J635" s="521"/>
      <c r="K635" s="521"/>
      <c r="L635" s="521"/>
      <c r="M635" s="521"/>
      <c r="N635" s="521"/>
      <c r="O635" s="521"/>
      <c r="P635" s="511">
        <f t="shared" si="487"/>
        <v>0</v>
      </c>
      <c r="Q635" s="530">
        <v>0</v>
      </c>
      <c r="R635" s="480"/>
      <c r="U635" s="513"/>
    </row>
    <row r="636" spans="1:21" s="479" customFormat="1" x14ac:dyDescent="0.15">
      <c r="A636" s="576">
        <v>41</v>
      </c>
      <c r="B636" s="533" t="s">
        <v>98</v>
      </c>
      <c r="C636" s="524">
        <f t="shared" ref="C636:O636" si="506">SUM(C637:C648)</f>
        <v>41712741.633768402</v>
      </c>
      <c r="D636" s="524">
        <f t="shared" si="506"/>
        <v>3251309.805578229</v>
      </c>
      <c r="E636" s="524">
        <f t="shared" si="506"/>
        <v>4417026.1672228677</v>
      </c>
      <c r="F636" s="524">
        <f t="shared" si="506"/>
        <v>2892352.6348020434</v>
      </c>
      <c r="G636" s="524">
        <f t="shared" si="506"/>
        <v>3709415.1474737199</v>
      </c>
      <c r="H636" s="524">
        <f t="shared" si="506"/>
        <v>4218706.0601668404</v>
      </c>
      <c r="I636" s="524">
        <f t="shared" si="506"/>
        <v>4134865.4650904806</v>
      </c>
      <c r="J636" s="524">
        <f t="shared" si="506"/>
        <v>3561914.6410223274</v>
      </c>
      <c r="K636" s="524">
        <f t="shared" si="506"/>
        <v>3460843.442731584</v>
      </c>
      <c r="L636" s="524">
        <f t="shared" si="506"/>
        <v>3271279.6189804203</v>
      </c>
      <c r="M636" s="524">
        <f t="shared" si="506"/>
        <v>2409361.0730095701</v>
      </c>
      <c r="N636" s="524">
        <f t="shared" si="506"/>
        <v>3173549.893679094</v>
      </c>
      <c r="O636" s="524">
        <f t="shared" si="506"/>
        <v>3212117.683885654</v>
      </c>
      <c r="P636" s="511">
        <f t="shared" si="487"/>
        <v>1.2557301670312881E-4</v>
      </c>
      <c r="Q636" s="530">
        <v>2589515</v>
      </c>
      <c r="R636" s="480"/>
      <c r="T636" s="512"/>
      <c r="U636" s="513"/>
    </row>
    <row r="637" spans="1:21" s="479" customFormat="1" x14ac:dyDescent="0.15">
      <c r="A637" s="579"/>
      <c r="B637" s="528" t="s">
        <v>294</v>
      </c>
      <c r="C637" s="517">
        <f>'FG1'!I56</f>
        <v>29693574.978569921</v>
      </c>
      <c r="D637" s="517">
        <f t="shared" ref="D637:O637" si="507">$C637*D$19%</f>
        <v>2245864.593474621</v>
      </c>
      <c r="E637" s="517">
        <f t="shared" si="507"/>
        <v>3217761.840532287</v>
      </c>
      <c r="F637" s="517">
        <f t="shared" si="507"/>
        <v>2079947.6020674272</v>
      </c>
      <c r="G637" s="517">
        <f t="shared" si="507"/>
        <v>2555004.8889869642</v>
      </c>
      <c r="H637" s="517">
        <f t="shared" si="507"/>
        <v>3120219.2452176092</v>
      </c>
      <c r="I637" s="517">
        <f t="shared" si="507"/>
        <v>3058916.0968167167</v>
      </c>
      <c r="J637" s="517">
        <f t="shared" si="507"/>
        <v>2371282.7527853339</v>
      </c>
      <c r="K637" s="517">
        <f t="shared" si="507"/>
        <v>2517673.2512463965</v>
      </c>
      <c r="L637" s="517">
        <f t="shared" si="507"/>
        <v>2365988.3908015285</v>
      </c>
      <c r="M637" s="517">
        <f t="shared" si="507"/>
        <v>1568468.4732227812</v>
      </c>
      <c r="N637" s="517">
        <f t="shared" si="507"/>
        <v>2289099.7908888231</v>
      </c>
      <c r="O637" s="517">
        <f t="shared" si="507"/>
        <v>2303348.0524997399</v>
      </c>
      <c r="P637" s="511">
        <f t="shared" si="487"/>
        <v>2.9690563678741455E-5</v>
      </c>
      <c r="Q637" s="530">
        <v>1783704</v>
      </c>
      <c r="R637" s="480"/>
      <c r="U637" s="513"/>
    </row>
    <row r="638" spans="1:21" s="479" customFormat="1" x14ac:dyDescent="0.15">
      <c r="A638" s="579"/>
      <c r="B638" s="528" t="s">
        <v>296</v>
      </c>
      <c r="C638" s="517">
        <f>FFM!J56</f>
        <v>7981511.0800170228</v>
      </c>
      <c r="D638" s="517">
        <f t="shared" ref="D638:O638" si="508">$C638*D$20%</f>
        <v>603586.9293367879</v>
      </c>
      <c r="E638" s="517">
        <f t="shared" si="508"/>
        <v>865339.93437756959</v>
      </c>
      <c r="F638" s="517">
        <f t="shared" si="508"/>
        <v>558901.8882084901</v>
      </c>
      <c r="G638" s="517">
        <f t="shared" si="508"/>
        <v>686845.11698946182</v>
      </c>
      <c r="H638" s="517">
        <f t="shared" si="508"/>
        <v>839069.60037401109</v>
      </c>
      <c r="I638" s="517">
        <f t="shared" si="508"/>
        <v>822559.3306717379</v>
      </c>
      <c r="J638" s="517">
        <f t="shared" si="508"/>
        <v>637308.87941751117</v>
      </c>
      <c r="K638" s="517">
        <f t="shared" si="508"/>
        <v>676735.01547439932</v>
      </c>
      <c r="L638" s="517">
        <f t="shared" si="508"/>
        <v>635882.98951872182</v>
      </c>
      <c r="M638" s="517">
        <f t="shared" si="508"/>
        <v>421093.58025389008</v>
      </c>
      <c r="N638" s="517">
        <f t="shared" si="508"/>
        <v>615175.22404769307</v>
      </c>
      <c r="O638" s="517">
        <f t="shared" si="508"/>
        <v>619012.59125097084</v>
      </c>
      <c r="P638" s="511">
        <f t="shared" si="487"/>
        <v>9.5778144896030426E-5</v>
      </c>
      <c r="Q638" s="530">
        <v>546113</v>
      </c>
      <c r="R638" s="480"/>
      <c r="U638" s="513"/>
    </row>
    <row r="639" spans="1:21" s="479" customFormat="1" ht="18" x14ac:dyDescent="0.15">
      <c r="A639" s="579"/>
      <c r="B639" s="528" t="s">
        <v>297</v>
      </c>
      <c r="C639" s="517">
        <f>IEPS!I55</f>
        <v>718109.43547197315</v>
      </c>
      <c r="D639" s="517">
        <f t="shared" ref="D639:O639" si="509">$C639*D$21%</f>
        <v>50439.878152822341</v>
      </c>
      <c r="E639" s="517">
        <f t="shared" si="509"/>
        <v>115290.76633207132</v>
      </c>
      <c r="F639" s="517">
        <f t="shared" si="509"/>
        <v>47887.151277108853</v>
      </c>
      <c r="G639" s="517">
        <f t="shared" si="509"/>
        <v>46539.605321171104</v>
      </c>
      <c r="H639" s="517">
        <f t="shared" si="509"/>
        <v>51382.284540629669</v>
      </c>
      <c r="I639" s="517">
        <f t="shared" si="509"/>
        <v>53284.452750245975</v>
      </c>
      <c r="J639" s="517">
        <f t="shared" si="509"/>
        <v>54873.136225290131</v>
      </c>
      <c r="K639" s="517">
        <f t="shared" si="509"/>
        <v>60783.370214391565</v>
      </c>
      <c r="L639" s="517">
        <f t="shared" si="509"/>
        <v>60910.739017171632</v>
      </c>
      <c r="M639" s="517">
        <f t="shared" si="509"/>
        <v>60233.761608338158</v>
      </c>
      <c r="N639" s="517">
        <f t="shared" si="509"/>
        <v>58286.351356748237</v>
      </c>
      <c r="O639" s="517">
        <f t="shared" si="509"/>
        <v>58197.938675266028</v>
      </c>
      <c r="P639" s="511">
        <f t="shared" si="487"/>
        <v>7.1812246460467577E-7</v>
      </c>
      <c r="Q639" s="530">
        <v>46066</v>
      </c>
      <c r="R639" s="480"/>
      <c r="U639" s="513"/>
    </row>
    <row r="640" spans="1:21" s="479" customFormat="1" x14ac:dyDescent="0.15">
      <c r="A640" s="579"/>
      <c r="B640" s="528" t="s">
        <v>236</v>
      </c>
      <c r="C640" s="517">
        <f>ISR!C46</f>
        <v>142112.19</v>
      </c>
      <c r="D640" s="517">
        <f>ISR!D46</f>
        <v>11842.682499999995</v>
      </c>
      <c r="E640" s="517">
        <f>ISR!E46</f>
        <v>11842.682499999995</v>
      </c>
      <c r="F640" s="517">
        <f>ISR!F46</f>
        <v>11842.682499999995</v>
      </c>
      <c r="G640" s="517">
        <f>ISR!G46</f>
        <v>11842.682499999995</v>
      </c>
      <c r="H640" s="517">
        <f>ISR!H46</f>
        <v>11842.682499999995</v>
      </c>
      <c r="I640" s="517">
        <f>ISR!I46</f>
        <v>11842.682499999995</v>
      </c>
      <c r="J640" s="517">
        <f>ISR!J46</f>
        <v>11842.682499999995</v>
      </c>
      <c r="K640" s="517">
        <f>ISR!K46</f>
        <v>11842.682499999995</v>
      </c>
      <c r="L640" s="517">
        <f>ISR!L46</f>
        <v>11842.682499999995</v>
      </c>
      <c r="M640" s="517">
        <f>ISR!M46</f>
        <v>11842.682499999995</v>
      </c>
      <c r="N640" s="517">
        <f>ISR!N46</f>
        <v>11842.682499999995</v>
      </c>
      <c r="O640" s="517">
        <f>ISR!O46</f>
        <v>11842.682499999995</v>
      </c>
      <c r="P640" s="511">
        <f t="shared" si="487"/>
        <v>5.8207660913467407E-11</v>
      </c>
      <c r="Q640" s="530">
        <v>0</v>
      </c>
      <c r="R640" s="480"/>
      <c r="U640" s="513"/>
    </row>
    <row r="641" spans="1:21" s="479" customFormat="1" ht="18" x14ac:dyDescent="0.15">
      <c r="A641" s="579"/>
      <c r="B641" s="528" t="s">
        <v>298</v>
      </c>
      <c r="C641" s="517">
        <f>FOFIR!I55</f>
        <v>1388820.1139047809</v>
      </c>
      <c r="D641" s="517">
        <f t="shared" ref="D641:O641" si="510">$C641*D$23%</f>
        <v>189873.2301536859</v>
      </c>
      <c r="E641" s="517">
        <f t="shared" si="510"/>
        <v>48307.701547996301</v>
      </c>
      <c r="F641" s="517">
        <f t="shared" si="510"/>
        <v>48307.701547996301</v>
      </c>
      <c r="G641" s="517">
        <f t="shared" si="510"/>
        <v>272616.51437672978</v>
      </c>
      <c r="H641" s="517">
        <f t="shared" si="510"/>
        <v>48307.701547996301</v>
      </c>
      <c r="I641" s="517">
        <f t="shared" si="510"/>
        <v>48307.701547996301</v>
      </c>
      <c r="J641" s="517">
        <f t="shared" si="510"/>
        <v>339091.01670507854</v>
      </c>
      <c r="K641" s="517">
        <f t="shared" si="510"/>
        <v>48307.701547996301</v>
      </c>
      <c r="L641" s="517">
        <f t="shared" si="510"/>
        <v>48307.701547996301</v>
      </c>
      <c r="M641" s="517">
        <f t="shared" si="510"/>
        <v>200777.74029087153</v>
      </c>
      <c r="N641" s="517">
        <f t="shared" si="510"/>
        <v>48307.701547996301</v>
      </c>
      <c r="O641" s="517">
        <f t="shared" si="510"/>
        <v>48307.701547996301</v>
      </c>
      <c r="P641" s="511">
        <f t="shared" si="487"/>
        <v>-5.5552518460899591E-6</v>
      </c>
      <c r="Q641" s="530">
        <v>54261</v>
      </c>
      <c r="R641" s="480"/>
      <c r="U641" s="513"/>
    </row>
    <row r="642" spans="1:21" s="479" customFormat="1" ht="27" x14ac:dyDescent="0.15">
      <c r="A642" s="579"/>
      <c r="B642" s="528" t="s">
        <v>407</v>
      </c>
      <c r="C642" s="517">
        <f>FCISAN!I55</f>
        <v>88164.03518381824</v>
      </c>
      <c r="D642" s="517">
        <f t="shared" ref="D642:O642" si="511">$C642*D$24%</f>
        <v>7347.002931955466</v>
      </c>
      <c r="E642" s="517">
        <f t="shared" si="511"/>
        <v>7347.002931955466</v>
      </c>
      <c r="F642" s="517">
        <f t="shared" si="511"/>
        <v>7347.002931955466</v>
      </c>
      <c r="G642" s="517">
        <f t="shared" si="511"/>
        <v>7347.002931955466</v>
      </c>
      <c r="H642" s="517">
        <f t="shared" si="511"/>
        <v>7347.002931955466</v>
      </c>
      <c r="I642" s="517">
        <f t="shared" si="511"/>
        <v>7347.002931955466</v>
      </c>
      <c r="J642" s="517">
        <f t="shared" si="511"/>
        <v>7347.002931955466</v>
      </c>
      <c r="K642" s="517">
        <f t="shared" si="511"/>
        <v>7347.002931955466</v>
      </c>
      <c r="L642" s="517">
        <f t="shared" si="511"/>
        <v>7347.002931955466</v>
      </c>
      <c r="M642" s="517">
        <f t="shared" si="511"/>
        <v>7347.002931955466</v>
      </c>
      <c r="N642" s="517">
        <f t="shared" si="511"/>
        <v>7347.002931955466</v>
      </c>
      <c r="O642" s="517">
        <f t="shared" si="511"/>
        <v>7347.002931955466</v>
      </c>
      <c r="P642" s="511">
        <f t="shared" si="487"/>
        <v>3.5266020859126002E-7</v>
      </c>
      <c r="Q642" s="530">
        <v>6453</v>
      </c>
      <c r="R642" s="480"/>
      <c r="U642" s="513"/>
    </row>
    <row r="643" spans="1:21" s="479" customFormat="1" ht="27" x14ac:dyDescent="0.15">
      <c r="A643" s="579"/>
      <c r="B643" s="528" t="s">
        <v>242</v>
      </c>
      <c r="C643" s="517">
        <f>ISAN!I55</f>
        <v>440389.69521910022</v>
      </c>
      <c r="D643" s="517">
        <f t="shared" ref="D643:O643" si="512">$C643*D$25%</f>
        <v>42380.289087769263</v>
      </c>
      <c r="E643" s="517">
        <f t="shared" si="512"/>
        <v>47334.357333073822</v>
      </c>
      <c r="F643" s="517">
        <f t="shared" si="512"/>
        <v>36735.640550260367</v>
      </c>
      <c r="G643" s="517">
        <f t="shared" si="512"/>
        <v>34094.463738538041</v>
      </c>
      <c r="H643" s="517">
        <f t="shared" si="512"/>
        <v>36454.51959215344</v>
      </c>
      <c r="I643" s="517">
        <f t="shared" si="512"/>
        <v>31661.859488733033</v>
      </c>
      <c r="J643" s="517">
        <f t="shared" si="512"/>
        <v>34300.770240487815</v>
      </c>
      <c r="K643" s="517">
        <f t="shared" si="512"/>
        <v>35373.110466944272</v>
      </c>
      <c r="L643" s="517">
        <f t="shared" si="512"/>
        <v>34758.724944318797</v>
      </c>
      <c r="M643" s="517">
        <f t="shared" si="512"/>
        <v>35611.156717392296</v>
      </c>
      <c r="N643" s="517">
        <f t="shared" si="512"/>
        <v>34479.870978044011</v>
      </c>
      <c r="O643" s="517">
        <f t="shared" si="512"/>
        <v>37204.932076100406</v>
      </c>
      <c r="P643" s="511">
        <f t="shared" si="487"/>
        <v>5.2846880862489343E-6</v>
      </c>
      <c r="Q643" s="530">
        <v>27729</v>
      </c>
      <c r="R643" s="480"/>
      <c r="U643" s="513"/>
    </row>
    <row r="644" spans="1:21" s="479" customFormat="1" ht="18" x14ac:dyDescent="0.15">
      <c r="A644" s="579"/>
      <c r="B644" s="528" t="s">
        <v>403</v>
      </c>
      <c r="C644" s="517">
        <f>LOT!I55</f>
        <v>21317.941784640083</v>
      </c>
      <c r="D644" s="517">
        <f t="shared" ref="D644:O644" si="513">$C644*D$26%</f>
        <v>1611.8578698008682</v>
      </c>
      <c r="E644" s="517">
        <f t="shared" si="513"/>
        <v>1589.0108573275538</v>
      </c>
      <c r="F644" s="517">
        <f t="shared" si="513"/>
        <v>1561.8026259731919</v>
      </c>
      <c r="G644" s="517">
        <f t="shared" si="513"/>
        <v>1718.3316341267061</v>
      </c>
      <c r="H644" s="517">
        <f t="shared" si="513"/>
        <v>1405.9080459920278</v>
      </c>
      <c r="I644" s="517">
        <f t="shared" si="513"/>
        <v>1907.88889741352</v>
      </c>
      <c r="J644" s="517">
        <f t="shared" si="513"/>
        <v>4378.6029681618338</v>
      </c>
      <c r="K644" s="517">
        <f t="shared" si="513"/>
        <v>1593.9685146788397</v>
      </c>
      <c r="L644" s="517">
        <f t="shared" si="513"/>
        <v>1934.0828034678304</v>
      </c>
      <c r="M644" s="517">
        <f t="shared" si="513"/>
        <v>1197.4622981597149</v>
      </c>
      <c r="N644" s="517">
        <f t="shared" si="513"/>
        <v>1209.5126346410907</v>
      </c>
      <c r="O644" s="517">
        <f t="shared" si="513"/>
        <v>1209.5126346410907</v>
      </c>
      <c r="P644" s="511">
        <f t="shared" si="487"/>
        <v>2.558144842623733E-7</v>
      </c>
      <c r="Q644" s="530">
        <v>1354</v>
      </c>
      <c r="R644" s="480"/>
      <c r="U644" s="513"/>
    </row>
    <row r="645" spans="1:21" s="479" customFormat="1" ht="45" x14ac:dyDescent="0.15">
      <c r="A645" s="579"/>
      <c r="B645" s="518" t="s">
        <v>301</v>
      </c>
      <c r="C645" s="517">
        <f>'ENAJENAC DE INMUE'!I55</f>
        <v>83824.677514607713</v>
      </c>
      <c r="D645" s="517">
        <f t="shared" ref="D645:O645" si="514">$C645*D$27%</f>
        <v>3620.0288549966776</v>
      </c>
      <c r="E645" s="517">
        <f t="shared" si="514"/>
        <v>3673.3482531096365</v>
      </c>
      <c r="F645" s="517">
        <f t="shared" si="514"/>
        <v>3623.8266059448438</v>
      </c>
      <c r="G645" s="517">
        <f t="shared" si="514"/>
        <v>3602.5992390899764</v>
      </c>
      <c r="H645" s="517">
        <f t="shared" si="514"/>
        <v>4997.4931539368881</v>
      </c>
      <c r="I645" s="517">
        <f t="shared" si="514"/>
        <v>3597.0835753095157</v>
      </c>
      <c r="J645" s="517">
        <f t="shared" si="514"/>
        <v>4134.0526254354199</v>
      </c>
      <c r="K645" s="517">
        <f t="shared" si="514"/>
        <v>4129.7972903258451</v>
      </c>
      <c r="L645" s="517">
        <f t="shared" si="514"/>
        <v>4124.5656442516029</v>
      </c>
      <c r="M645" s="517">
        <f t="shared" si="514"/>
        <v>3602.009507839206</v>
      </c>
      <c r="N645" s="517">
        <f t="shared" si="514"/>
        <v>14975.830894658933</v>
      </c>
      <c r="O645" s="517">
        <f t="shared" si="514"/>
        <v>29744.041869541517</v>
      </c>
      <c r="P645" s="511">
        <f t="shared" si="487"/>
        <v>1.6764170140959322E-7</v>
      </c>
      <c r="Q645" s="530">
        <v>19763</v>
      </c>
      <c r="R645" s="480"/>
      <c r="U645" s="513"/>
    </row>
    <row r="646" spans="1:21" s="479" customFormat="1" ht="27" x14ac:dyDescent="0.15">
      <c r="A646" s="579"/>
      <c r="B646" s="518" t="s">
        <v>248</v>
      </c>
      <c r="C646" s="517">
        <f>'IMP BEBIDAS AL'!I55</f>
        <v>32763.113641222688</v>
      </c>
      <c r="D646" s="517">
        <f t="shared" ref="D646:O646" si="515">$C646*D$28%</f>
        <v>7450.0239184815846</v>
      </c>
      <c r="E646" s="517">
        <f t="shared" si="515"/>
        <v>2562.5376794823328</v>
      </c>
      <c r="F646" s="517">
        <f t="shared" si="515"/>
        <v>2753.8389812527594</v>
      </c>
      <c r="G646" s="517">
        <f t="shared" si="515"/>
        <v>2734.0700880646673</v>
      </c>
      <c r="H646" s="517">
        <f t="shared" si="515"/>
        <v>1741.0690071816862</v>
      </c>
      <c r="I646" s="517">
        <f t="shared" si="515"/>
        <v>2849.2622310660322</v>
      </c>
      <c r="J646" s="517">
        <f t="shared" si="515"/>
        <v>2833.2241554645479</v>
      </c>
      <c r="K646" s="517">
        <f t="shared" si="515"/>
        <v>2591.1902145468021</v>
      </c>
      <c r="L646" s="517">
        <f t="shared" si="515"/>
        <v>1879.2040583330518</v>
      </c>
      <c r="M646" s="517">
        <f t="shared" si="515"/>
        <v>1746.8866346052546</v>
      </c>
      <c r="N646" s="517">
        <f t="shared" si="515"/>
        <v>1759.2346928124575</v>
      </c>
      <c r="O646" s="517">
        <f t="shared" si="515"/>
        <v>1862.5719799315132</v>
      </c>
      <c r="P646" s="511">
        <f t="shared" si="487"/>
        <v>0</v>
      </c>
      <c r="Q646" s="530">
        <v>845</v>
      </c>
      <c r="R646" s="480"/>
      <c r="U646" s="513"/>
    </row>
    <row r="647" spans="1:21" s="479" customFormat="1" ht="18" x14ac:dyDescent="0.15">
      <c r="A647" s="579"/>
      <c r="B647" s="518" t="s">
        <v>253</v>
      </c>
      <c r="C647" s="517">
        <f>'FOND GASO Y D'!Q56</f>
        <v>0</v>
      </c>
      <c r="D647" s="517">
        <f t="shared" ref="D647:O647" si="516">$C647*D$29%</f>
        <v>0</v>
      </c>
      <c r="E647" s="517">
        <f t="shared" si="516"/>
        <v>0</v>
      </c>
      <c r="F647" s="517">
        <f t="shared" si="516"/>
        <v>0</v>
      </c>
      <c r="G647" s="517">
        <f t="shared" si="516"/>
        <v>0</v>
      </c>
      <c r="H647" s="517">
        <f t="shared" si="516"/>
        <v>0</v>
      </c>
      <c r="I647" s="517">
        <f t="shared" si="516"/>
        <v>0</v>
      </c>
      <c r="J647" s="517">
        <f t="shared" si="516"/>
        <v>0</v>
      </c>
      <c r="K647" s="517">
        <f t="shared" si="516"/>
        <v>0</v>
      </c>
      <c r="L647" s="517">
        <f t="shared" si="516"/>
        <v>0</v>
      </c>
      <c r="M647" s="517">
        <f t="shared" si="516"/>
        <v>0</v>
      </c>
      <c r="N647" s="517">
        <f t="shared" si="516"/>
        <v>0</v>
      </c>
      <c r="O647" s="517">
        <f t="shared" si="516"/>
        <v>0</v>
      </c>
      <c r="P647" s="511">
        <f t="shared" si="487"/>
        <v>0</v>
      </c>
      <c r="Q647" s="530">
        <v>34648</v>
      </c>
      <c r="R647" s="480"/>
      <c r="U647" s="513"/>
    </row>
    <row r="648" spans="1:21" s="479" customFormat="1" ht="18" x14ac:dyDescent="0.15">
      <c r="A648" s="579"/>
      <c r="B648" s="528" t="s">
        <v>408</v>
      </c>
      <c r="C648" s="519">
        <f>'FOND GASO Y D'!H56</f>
        <v>1122154.3724613194</v>
      </c>
      <c r="D648" s="517">
        <f t="shared" ref="D648:O648" si="517">$C648*D$30%</f>
        <v>87293.289297308467</v>
      </c>
      <c r="E648" s="517">
        <f t="shared" si="517"/>
        <v>95976.984877995652</v>
      </c>
      <c r="F648" s="517">
        <f t="shared" si="517"/>
        <v>93443.49750563399</v>
      </c>
      <c r="G648" s="517">
        <f t="shared" si="517"/>
        <v>87069.871667618194</v>
      </c>
      <c r="H648" s="517">
        <f t="shared" si="517"/>
        <v>95938.553255374616</v>
      </c>
      <c r="I648" s="517">
        <f t="shared" si="517"/>
        <v>92592.103679306252</v>
      </c>
      <c r="J648" s="517">
        <f t="shared" si="517"/>
        <v>94522.520467608178</v>
      </c>
      <c r="K648" s="517">
        <f t="shared" si="517"/>
        <v>94466.352329949383</v>
      </c>
      <c r="L648" s="517">
        <f t="shared" si="517"/>
        <v>98303.53521267607</v>
      </c>
      <c r="M648" s="517">
        <f t="shared" si="517"/>
        <v>97440.317043737945</v>
      </c>
      <c r="N648" s="517">
        <f t="shared" si="517"/>
        <v>91066.691205722149</v>
      </c>
      <c r="O648" s="517">
        <f t="shared" si="517"/>
        <v>94040.655919510682</v>
      </c>
      <c r="P648" s="511">
        <f t="shared" si="487"/>
        <v>-1.1221272870898247E-6</v>
      </c>
      <c r="Q648" s="530">
        <v>68579</v>
      </c>
      <c r="R648" s="480"/>
      <c r="U648" s="513"/>
    </row>
    <row r="649" spans="1:21" s="479" customFormat="1" x14ac:dyDescent="0.15">
      <c r="A649" s="579"/>
      <c r="B649" s="534"/>
      <c r="C649" s="521"/>
      <c r="D649" s="522"/>
      <c r="E649" s="522"/>
      <c r="F649" s="522"/>
      <c r="G649" s="522"/>
      <c r="H649" s="522"/>
      <c r="I649" s="522"/>
      <c r="J649" s="522"/>
      <c r="K649" s="522"/>
      <c r="L649" s="522"/>
      <c r="M649" s="522"/>
      <c r="N649" s="522"/>
      <c r="O649" s="522"/>
      <c r="P649" s="511">
        <f t="shared" si="487"/>
        <v>0</v>
      </c>
      <c r="Q649" s="530">
        <v>0</v>
      </c>
      <c r="R649" s="480"/>
      <c r="U649" s="513"/>
    </row>
    <row r="650" spans="1:21" s="479" customFormat="1" x14ac:dyDescent="0.15">
      <c r="A650" s="591"/>
      <c r="B650" s="532"/>
      <c r="C650" s="521"/>
      <c r="D650" s="521"/>
      <c r="E650" s="521"/>
      <c r="F650" s="521"/>
      <c r="G650" s="521"/>
      <c r="H650" s="521"/>
      <c r="I650" s="521"/>
      <c r="J650" s="521"/>
      <c r="K650" s="521"/>
      <c r="L650" s="521"/>
      <c r="M650" s="521"/>
      <c r="N650" s="521"/>
      <c r="O650" s="521"/>
      <c r="P650" s="511">
        <f t="shared" si="487"/>
        <v>0</v>
      </c>
      <c r="Q650" s="530">
        <v>0</v>
      </c>
      <c r="R650" s="480"/>
      <c r="U650" s="513"/>
    </row>
    <row r="651" spans="1:21" s="479" customFormat="1" x14ac:dyDescent="0.15">
      <c r="A651" s="576">
        <v>42</v>
      </c>
      <c r="B651" s="533" t="s">
        <v>122</v>
      </c>
      <c r="C651" s="524">
        <f t="shared" ref="C651:O651" si="518">SUM(C652:C663)</f>
        <v>38882214.908823274</v>
      </c>
      <c r="D651" s="524">
        <f t="shared" si="518"/>
        <v>3044734.6075604162</v>
      </c>
      <c r="E651" s="524">
        <f t="shared" si="518"/>
        <v>4056549.2530392837</v>
      </c>
      <c r="F651" s="524">
        <f t="shared" si="518"/>
        <v>2733887.3631234639</v>
      </c>
      <c r="G651" s="524">
        <f t="shared" si="518"/>
        <v>3442063.0224059513</v>
      </c>
      <c r="H651" s="524">
        <f t="shared" si="518"/>
        <v>3884529.2984882649</v>
      </c>
      <c r="I651" s="524">
        <f t="shared" si="518"/>
        <v>3811535.7653041701</v>
      </c>
      <c r="J651" s="524">
        <f t="shared" si="518"/>
        <v>3314733.0059236116</v>
      </c>
      <c r="K651" s="524">
        <f t="shared" si="518"/>
        <v>3227062.3480576221</v>
      </c>
      <c r="L651" s="524">
        <f t="shared" si="518"/>
        <v>3062953.2107488587</v>
      </c>
      <c r="M651" s="524">
        <f t="shared" si="518"/>
        <v>2315280.9517472396</v>
      </c>
      <c r="N651" s="524">
        <f t="shared" si="518"/>
        <v>2977595.5805507302</v>
      </c>
      <c r="O651" s="524">
        <f t="shared" si="518"/>
        <v>3011290.50176482</v>
      </c>
      <c r="P651" s="511">
        <f t="shared" si="487"/>
        <v>1.0883621871471405E-4</v>
      </c>
      <c r="Q651" s="530">
        <v>2238922</v>
      </c>
      <c r="R651" s="480"/>
      <c r="T651" s="512"/>
      <c r="U651" s="513"/>
    </row>
    <row r="652" spans="1:21" s="479" customFormat="1" x14ac:dyDescent="0.15">
      <c r="A652" s="579"/>
      <c r="B652" s="528" t="s">
        <v>294</v>
      </c>
      <c r="C652" s="517">
        <f>'FG1'!I57</f>
        <v>25755302.789657634</v>
      </c>
      <c r="D652" s="517">
        <f t="shared" ref="D652:O652" si="519">$C652*D$19%</f>
        <v>1947994.5635126755</v>
      </c>
      <c r="E652" s="517">
        <f t="shared" si="519"/>
        <v>2790988.6420791768</v>
      </c>
      <c r="F652" s="517">
        <f t="shared" si="519"/>
        <v>1804083.2172121599</v>
      </c>
      <c r="G652" s="517">
        <f t="shared" si="519"/>
        <v>2216133.442753416</v>
      </c>
      <c r="H652" s="517">
        <f t="shared" si="519"/>
        <v>2706383.1650009984</v>
      </c>
      <c r="I652" s="517">
        <f t="shared" si="519"/>
        <v>2653210.6807122664</v>
      </c>
      <c r="J652" s="517">
        <f t="shared" si="519"/>
        <v>2056778.4560113114</v>
      </c>
      <c r="K652" s="517">
        <f t="shared" si="519"/>
        <v>2183753.1168971979</v>
      </c>
      <c r="L652" s="517">
        <f t="shared" si="519"/>
        <v>2052186.2876358505</v>
      </c>
      <c r="M652" s="517">
        <f t="shared" si="519"/>
        <v>1360441.7950024246</v>
      </c>
      <c r="N652" s="517">
        <f t="shared" si="519"/>
        <v>1985495.4572709058</v>
      </c>
      <c r="O652" s="517">
        <f t="shared" si="519"/>
        <v>1997853.9655434953</v>
      </c>
      <c r="P652" s="511">
        <f t="shared" si="487"/>
        <v>2.5755958631634712E-5</v>
      </c>
      <c r="Q652" s="530">
        <v>1535964</v>
      </c>
      <c r="R652" s="480"/>
      <c r="U652" s="513"/>
    </row>
    <row r="653" spans="1:21" s="479" customFormat="1" x14ac:dyDescent="0.15">
      <c r="A653" s="579"/>
      <c r="B653" s="528" t="s">
        <v>296</v>
      </c>
      <c r="C653" s="517">
        <f>FFM!J57</f>
        <v>6922919.6798702898</v>
      </c>
      <c r="D653" s="517">
        <f t="shared" ref="D653:O653" si="520">$C653*D$20%</f>
        <v>523532.92374421092</v>
      </c>
      <c r="E653" s="517">
        <f t="shared" si="520"/>
        <v>750569.51013684052</v>
      </c>
      <c r="F653" s="517">
        <f t="shared" si="520"/>
        <v>484774.4796950114</v>
      </c>
      <c r="G653" s="517">
        <f t="shared" si="520"/>
        <v>595748.54056570644</v>
      </c>
      <c r="H653" s="517">
        <f t="shared" si="520"/>
        <v>727783.42233382608</v>
      </c>
      <c r="I653" s="517">
        <f t="shared" si="520"/>
        <v>713462.91711921827</v>
      </c>
      <c r="J653" s="517">
        <f t="shared" si="520"/>
        <v>552782.31643652113</v>
      </c>
      <c r="K653" s="517">
        <f t="shared" si="520"/>
        <v>586979.34635643603</v>
      </c>
      <c r="L653" s="517">
        <f t="shared" si="520"/>
        <v>551545.5429555733</v>
      </c>
      <c r="M653" s="517">
        <f t="shared" si="520"/>
        <v>365243.74953326222</v>
      </c>
      <c r="N653" s="517">
        <f t="shared" si="520"/>
        <v>533584.2577216978</v>
      </c>
      <c r="O653" s="517">
        <f t="shared" si="520"/>
        <v>536912.6731889107</v>
      </c>
      <c r="P653" s="511">
        <f t="shared" si="487"/>
        <v>8.307374082505703E-5</v>
      </c>
      <c r="Q653" s="530">
        <v>470261</v>
      </c>
      <c r="R653" s="480"/>
      <c r="U653" s="513"/>
    </row>
    <row r="654" spans="1:21" s="479" customFormat="1" ht="18" x14ac:dyDescent="0.15">
      <c r="A654" s="579"/>
      <c r="B654" s="528" t="s">
        <v>297</v>
      </c>
      <c r="C654" s="517">
        <f>IEPS!I56</f>
        <v>622866.25844273902</v>
      </c>
      <c r="D654" s="517">
        <f t="shared" ref="D654:O654" si="521">$C654*D$21%</f>
        <v>43750.014453865624</v>
      </c>
      <c r="E654" s="517">
        <f t="shared" si="521"/>
        <v>99999.700200368752</v>
      </c>
      <c r="F654" s="517">
        <f t="shared" si="521"/>
        <v>41535.856890461851</v>
      </c>
      <c r="G654" s="517">
        <f t="shared" si="521"/>
        <v>40367.036560029985</v>
      </c>
      <c r="H654" s="517">
        <f t="shared" si="521"/>
        <v>44567.429059092596</v>
      </c>
      <c r="I654" s="517">
        <f t="shared" si="521"/>
        <v>46217.311844539814</v>
      </c>
      <c r="J654" s="517">
        <f t="shared" si="521"/>
        <v>47595.287516590688</v>
      </c>
      <c r="K654" s="517">
        <f t="shared" si="521"/>
        <v>52721.644516611457</v>
      </c>
      <c r="L654" s="517">
        <f t="shared" si="521"/>
        <v>52832.1203378598</v>
      </c>
      <c r="M654" s="517">
        <f t="shared" si="521"/>
        <v>52244.930746884398</v>
      </c>
      <c r="N654" s="517">
        <f t="shared" si="521"/>
        <v>50555.806391815</v>
      </c>
      <c r="O654" s="517">
        <f t="shared" si="521"/>
        <v>50479.119923996179</v>
      </c>
      <c r="P654" s="511">
        <f t="shared" si="487"/>
        <v>6.2290200730785728E-7</v>
      </c>
      <c r="Q654" s="530">
        <v>39668</v>
      </c>
      <c r="R654" s="480"/>
      <c r="U654" s="513"/>
    </row>
    <row r="655" spans="1:21" s="479" customFormat="1" x14ac:dyDescent="0.15">
      <c r="A655" s="579"/>
      <c r="B655" s="528" t="s">
        <v>236</v>
      </c>
      <c r="C655" s="517">
        <f>ISR!C47</f>
        <v>2733655.02</v>
      </c>
      <c r="D655" s="517">
        <f>ISR!D47</f>
        <v>227804.5849999999</v>
      </c>
      <c r="E655" s="517">
        <f>ISR!E47</f>
        <v>227804.5849999999</v>
      </c>
      <c r="F655" s="517">
        <f>ISR!F47</f>
        <v>227804.5849999999</v>
      </c>
      <c r="G655" s="517">
        <f>ISR!G47</f>
        <v>227804.5849999999</v>
      </c>
      <c r="H655" s="517">
        <f>ISR!H47</f>
        <v>227804.5849999999</v>
      </c>
      <c r="I655" s="517">
        <f>ISR!I47</f>
        <v>227804.5849999999</v>
      </c>
      <c r="J655" s="517">
        <f>ISR!J47</f>
        <v>227804.5849999999</v>
      </c>
      <c r="K655" s="517">
        <f>ISR!K47</f>
        <v>227804.5849999999</v>
      </c>
      <c r="L655" s="517">
        <f>ISR!L47</f>
        <v>227804.5849999999</v>
      </c>
      <c r="M655" s="517">
        <f>ISR!M47</f>
        <v>227804.5849999999</v>
      </c>
      <c r="N655" s="517">
        <f>ISR!N47</f>
        <v>227804.5849999999</v>
      </c>
      <c r="O655" s="517">
        <f>ISR!O47</f>
        <v>227804.5849999999</v>
      </c>
      <c r="P655" s="511">
        <f t="shared" si="487"/>
        <v>6.4028427004814148E-10</v>
      </c>
      <c r="Q655" s="530">
        <v>0</v>
      </c>
      <c r="R655" s="480"/>
      <c r="U655" s="513"/>
    </row>
    <row r="656" spans="1:21" s="479" customFormat="1" ht="18" x14ac:dyDescent="0.15">
      <c r="A656" s="579"/>
      <c r="B656" s="528" t="s">
        <v>298</v>
      </c>
      <c r="C656" s="517">
        <f>FOFIR!I56</f>
        <v>1204620.2782857753</v>
      </c>
      <c r="D656" s="517">
        <f t="shared" ref="D656:O656" si="522">$C656*D$23%</f>
        <v>164690.25833998964</v>
      </c>
      <c r="E656" s="517">
        <f t="shared" si="522"/>
        <v>41900.629389994006</v>
      </c>
      <c r="F656" s="517">
        <f t="shared" si="522"/>
        <v>41900.629389994006</v>
      </c>
      <c r="G656" s="517">
        <f t="shared" si="522"/>
        <v>236459.26360504149</v>
      </c>
      <c r="H656" s="517">
        <f t="shared" si="522"/>
        <v>41900.629389994006</v>
      </c>
      <c r="I656" s="517">
        <f t="shared" si="522"/>
        <v>41900.629389994006</v>
      </c>
      <c r="J656" s="517">
        <f t="shared" si="522"/>
        <v>294117.22282665886</v>
      </c>
      <c r="K656" s="517">
        <f t="shared" si="522"/>
        <v>41900.629389994006</v>
      </c>
      <c r="L656" s="517">
        <f t="shared" si="522"/>
        <v>41900.629389994006</v>
      </c>
      <c r="M656" s="517">
        <f t="shared" si="522"/>
        <v>174148.49839895181</v>
      </c>
      <c r="N656" s="517">
        <f t="shared" si="522"/>
        <v>41900.629389994006</v>
      </c>
      <c r="O656" s="517">
        <f t="shared" si="522"/>
        <v>41900.629389994006</v>
      </c>
      <c r="P656" s="511">
        <f t="shared" si="487"/>
        <v>-4.8183719627559185E-6</v>
      </c>
      <c r="Q656" s="530">
        <v>46728</v>
      </c>
      <c r="R656" s="480"/>
      <c r="U656" s="513"/>
    </row>
    <row r="657" spans="1:21" s="479" customFormat="1" ht="27" x14ac:dyDescent="0.15">
      <c r="A657" s="579"/>
      <c r="B657" s="528" t="s">
        <v>407</v>
      </c>
      <c r="C657" s="517">
        <f>FCISAN!I56</f>
        <v>76470.799590687326</v>
      </c>
      <c r="D657" s="517">
        <f t="shared" ref="D657:O657" si="523">$C657*D$24%</f>
        <v>6372.5666325317879</v>
      </c>
      <c r="E657" s="517">
        <f t="shared" si="523"/>
        <v>6372.5666325317879</v>
      </c>
      <c r="F657" s="517">
        <f t="shared" si="523"/>
        <v>6372.5666325317879</v>
      </c>
      <c r="G657" s="517">
        <f t="shared" si="523"/>
        <v>6372.5666325317879</v>
      </c>
      <c r="H657" s="517">
        <f t="shared" si="523"/>
        <v>6372.5666325317879</v>
      </c>
      <c r="I657" s="517">
        <f t="shared" si="523"/>
        <v>6372.5666325317879</v>
      </c>
      <c r="J657" s="517">
        <f t="shared" si="523"/>
        <v>6372.5666325317879</v>
      </c>
      <c r="K657" s="517">
        <f t="shared" si="523"/>
        <v>6372.5666325317879</v>
      </c>
      <c r="L657" s="517">
        <f t="shared" si="523"/>
        <v>6372.5666325317879</v>
      </c>
      <c r="M657" s="517">
        <f t="shared" si="523"/>
        <v>6372.5666325317879</v>
      </c>
      <c r="N657" s="517">
        <f t="shared" si="523"/>
        <v>6372.5666325317879</v>
      </c>
      <c r="O657" s="517">
        <f t="shared" si="523"/>
        <v>6372.5666325317879</v>
      </c>
      <c r="P657" s="511">
        <f t="shared" si="487"/>
        <v>3.0587943911086768E-7</v>
      </c>
      <c r="Q657" s="530">
        <v>5563</v>
      </c>
      <c r="R657" s="480"/>
      <c r="U657" s="513"/>
    </row>
    <row r="658" spans="1:21" s="479" customFormat="1" ht="27" x14ac:dyDescent="0.15">
      <c r="A658" s="579"/>
      <c r="B658" s="528" t="s">
        <v>242</v>
      </c>
      <c r="C658" s="517">
        <f>ISAN!I56</f>
        <v>381980.61210207402</v>
      </c>
      <c r="D658" s="517">
        <f t="shared" ref="D658:O658" si="524">$C658*D$25%</f>
        <v>36759.372307190257</v>
      </c>
      <c r="E658" s="517">
        <f t="shared" si="524"/>
        <v>41056.380255560638</v>
      </c>
      <c r="F658" s="517">
        <f t="shared" si="524"/>
        <v>31863.376041006031</v>
      </c>
      <c r="G658" s="517">
        <f t="shared" si="524"/>
        <v>29572.499696341409</v>
      </c>
      <c r="H658" s="517">
        <f t="shared" si="524"/>
        <v>31619.540281863254</v>
      </c>
      <c r="I658" s="517">
        <f t="shared" si="524"/>
        <v>27462.532841008138</v>
      </c>
      <c r="J658" s="517">
        <f t="shared" si="524"/>
        <v>29751.443674256712</v>
      </c>
      <c r="K658" s="517">
        <f t="shared" si="524"/>
        <v>30681.558934741461</v>
      </c>
      <c r="L658" s="517">
        <f t="shared" si="524"/>
        <v>30148.659639987589</v>
      </c>
      <c r="M658" s="517">
        <f t="shared" si="524"/>
        <v>30888.033004052962</v>
      </c>
      <c r="N658" s="517">
        <f t="shared" si="524"/>
        <v>29906.790200531839</v>
      </c>
      <c r="O658" s="517">
        <f t="shared" si="524"/>
        <v>32270.425220949968</v>
      </c>
      <c r="P658" s="511">
        <f t="shared" si="487"/>
        <v>4.5838314690627158E-6</v>
      </c>
      <c r="Q658" s="530">
        <v>23876</v>
      </c>
      <c r="R658" s="480"/>
      <c r="U658" s="513"/>
    </row>
    <row r="659" spans="1:21" s="479" customFormat="1" ht="18" x14ac:dyDescent="0.15">
      <c r="A659" s="579"/>
      <c r="B659" s="528" t="s">
        <v>403</v>
      </c>
      <c r="C659" s="517">
        <f>LOT!I56</f>
        <v>18490.53358889771</v>
      </c>
      <c r="D659" s="517">
        <f t="shared" ref="D659:O659" si="525">$C659*D$26%</f>
        <v>1398.0764364201614</v>
      </c>
      <c r="E659" s="517">
        <f t="shared" si="525"/>
        <v>1378.2596334749462</v>
      </c>
      <c r="F659" s="517">
        <f t="shared" si="525"/>
        <v>1354.6600420681052</v>
      </c>
      <c r="G659" s="517">
        <f t="shared" si="525"/>
        <v>1490.4285375513225</v>
      </c>
      <c r="H659" s="517">
        <f t="shared" si="525"/>
        <v>1219.4418302637293</v>
      </c>
      <c r="I659" s="517">
        <f t="shared" si="525"/>
        <v>1654.8447358519379</v>
      </c>
      <c r="J659" s="517">
        <f t="shared" si="525"/>
        <v>3797.8668894563975</v>
      </c>
      <c r="K659" s="517">
        <f t="shared" si="525"/>
        <v>1382.5597545045591</v>
      </c>
      <c r="L659" s="517">
        <f t="shared" si="525"/>
        <v>1677.5645323789477</v>
      </c>
      <c r="M659" s="517">
        <f t="shared" si="525"/>
        <v>1038.6423356083237</v>
      </c>
      <c r="N659" s="517">
        <f t="shared" si="525"/>
        <v>1049.0944305486964</v>
      </c>
      <c r="O659" s="517">
        <f t="shared" si="525"/>
        <v>1049.0944305486964</v>
      </c>
      <c r="P659" s="511">
        <f t="shared" si="487"/>
        <v>2.2188532966538332E-7</v>
      </c>
      <c r="Q659" s="530">
        <v>1166</v>
      </c>
      <c r="R659" s="480"/>
      <c r="U659" s="513"/>
    </row>
    <row r="660" spans="1:21" s="479" customFormat="1" ht="45" x14ac:dyDescent="0.15">
      <c r="A660" s="579"/>
      <c r="B660" s="518" t="s">
        <v>301</v>
      </c>
      <c r="C660" s="517">
        <f>'ENAJENAC DE INMUE'!I56</f>
        <v>72706.972878551795</v>
      </c>
      <c r="D660" s="517">
        <f t="shared" ref="D660:O660" si="526">$C660*D$27%</f>
        <v>3139.9028017012242</v>
      </c>
      <c r="E660" s="517">
        <f t="shared" si="526"/>
        <v>3186.1504240893209</v>
      </c>
      <c r="F660" s="517">
        <f t="shared" si="526"/>
        <v>3143.1968552350377</v>
      </c>
      <c r="G660" s="517">
        <f t="shared" si="526"/>
        <v>3124.7848835822874</v>
      </c>
      <c r="H660" s="517">
        <f t="shared" si="526"/>
        <v>4334.6733918626524</v>
      </c>
      <c r="I660" s="517">
        <f t="shared" si="526"/>
        <v>3120.000764766879</v>
      </c>
      <c r="J660" s="517">
        <f t="shared" si="526"/>
        <v>3585.7513685472786</v>
      </c>
      <c r="K660" s="517">
        <f t="shared" si="526"/>
        <v>3582.0604204449482</v>
      </c>
      <c r="L660" s="517">
        <f t="shared" si="526"/>
        <v>3577.5226499397913</v>
      </c>
      <c r="M660" s="517">
        <f t="shared" si="526"/>
        <v>3124.273368652237</v>
      </c>
      <c r="N660" s="517">
        <f t="shared" si="526"/>
        <v>12989.57971537674</v>
      </c>
      <c r="O660" s="517">
        <f t="shared" si="526"/>
        <v>25799.076234207983</v>
      </c>
      <c r="P660" s="511">
        <f t="shared" si="487"/>
        <v>1.453954610042274E-7</v>
      </c>
      <c r="Q660" s="530">
        <v>17018</v>
      </c>
      <c r="R660" s="480"/>
      <c r="U660" s="513"/>
    </row>
    <row r="661" spans="1:21" s="479" customFormat="1" ht="27" x14ac:dyDescent="0.15">
      <c r="A661" s="579"/>
      <c r="B661" s="518" t="s">
        <v>248</v>
      </c>
      <c r="C661" s="517">
        <f>'IMP BEBIDAS AL'!I56</f>
        <v>28417.727160527047</v>
      </c>
      <c r="D661" s="517">
        <f t="shared" ref="D661:O661" si="527">$C661*D$28%</f>
        <v>6461.9238993339259</v>
      </c>
      <c r="E661" s="517">
        <f t="shared" si="527"/>
        <v>2222.6671558613625</v>
      </c>
      <c r="F661" s="517">
        <f t="shared" si="527"/>
        <v>2388.5960800380194</v>
      </c>
      <c r="G661" s="517">
        <f t="shared" si="527"/>
        <v>2371.4491440344168</v>
      </c>
      <c r="H661" s="517">
        <f t="shared" si="527"/>
        <v>1510.1502426035115</v>
      </c>
      <c r="I661" s="517">
        <f t="shared" si="527"/>
        <v>2471.3633013607359</v>
      </c>
      <c r="J661" s="517">
        <f t="shared" si="527"/>
        <v>2457.4523629312021</v>
      </c>
      <c r="K661" s="517">
        <f t="shared" si="527"/>
        <v>2247.5194923284025</v>
      </c>
      <c r="L661" s="517">
        <f t="shared" si="527"/>
        <v>1629.9643798650538</v>
      </c>
      <c r="M661" s="517">
        <f t="shared" si="527"/>
        <v>1515.1962754883884</v>
      </c>
      <c r="N661" s="517">
        <f t="shared" si="527"/>
        <v>1525.9066051883437</v>
      </c>
      <c r="O661" s="517">
        <f t="shared" si="527"/>
        <v>1615.5382214936853</v>
      </c>
      <c r="P661" s="511">
        <f t="shared" si="487"/>
        <v>-5.0022208597511053E-12</v>
      </c>
      <c r="Q661" s="530">
        <v>727</v>
      </c>
      <c r="R661" s="480"/>
      <c r="U661" s="513"/>
    </row>
    <row r="662" spans="1:21" s="479" customFormat="1" ht="18" x14ac:dyDescent="0.15">
      <c r="A662" s="579"/>
      <c r="B662" s="518" t="s">
        <v>253</v>
      </c>
      <c r="C662" s="517">
        <f>'FOND GASO Y D'!Q57</f>
        <v>0</v>
      </c>
      <c r="D662" s="517">
        <f t="shared" ref="D662:O662" si="528">$C662*D$29%</f>
        <v>0</v>
      </c>
      <c r="E662" s="517">
        <f t="shared" si="528"/>
        <v>0</v>
      </c>
      <c r="F662" s="517">
        <f t="shared" si="528"/>
        <v>0</v>
      </c>
      <c r="G662" s="517">
        <f t="shared" si="528"/>
        <v>0</v>
      </c>
      <c r="H662" s="517">
        <f t="shared" si="528"/>
        <v>0</v>
      </c>
      <c r="I662" s="517">
        <f t="shared" si="528"/>
        <v>0</v>
      </c>
      <c r="J662" s="517">
        <f t="shared" si="528"/>
        <v>0</v>
      </c>
      <c r="K662" s="517">
        <f t="shared" si="528"/>
        <v>0</v>
      </c>
      <c r="L662" s="517">
        <f t="shared" si="528"/>
        <v>0</v>
      </c>
      <c r="M662" s="517">
        <f t="shared" si="528"/>
        <v>0</v>
      </c>
      <c r="N662" s="517">
        <f t="shared" si="528"/>
        <v>0</v>
      </c>
      <c r="O662" s="517">
        <f t="shared" si="528"/>
        <v>0</v>
      </c>
      <c r="P662" s="511">
        <f t="shared" si="487"/>
        <v>0</v>
      </c>
      <c r="Q662" s="530">
        <v>32876</v>
      </c>
      <c r="R662" s="480"/>
      <c r="U662" s="513"/>
    </row>
    <row r="663" spans="1:21" s="479" customFormat="1" ht="18" x14ac:dyDescent="0.15">
      <c r="A663" s="579"/>
      <c r="B663" s="528" t="s">
        <v>408</v>
      </c>
      <c r="C663" s="519">
        <f>'FOND GASO Y D'!H57</f>
        <v>1064784.2372460859</v>
      </c>
      <c r="D663" s="517">
        <f t="shared" ref="D663:O663" si="529">$C663*D$30%</f>
        <v>82830.420432497529</v>
      </c>
      <c r="E663" s="517">
        <f t="shared" si="529"/>
        <v>91070.162131385689</v>
      </c>
      <c r="F663" s="517">
        <f t="shared" si="529"/>
        <v>88666.199284958609</v>
      </c>
      <c r="G663" s="517">
        <f t="shared" si="529"/>
        <v>82618.425027716177</v>
      </c>
      <c r="H663" s="517">
        <f t="shared" si="529"/>
        <v>91033.695325228779</v>
      </c>
      <c r="I663" s="517">
        <f t="shared" si="529"/>
        <v>87858.332962632572</v>
      </c>
      <c r="J663" s="517">
        <f t="shared" si="529"/>
        <v>89690.057204806712</v>
      </c>
      <c r="K663" s="517">
        <f t="shared" si="529"/>
        <v>89636.760662831497</v>
      </c>
      <c r="L663" s="517">
        <f t="shared" si="529"/>
        <v>93277.767594877922</v>
      </c>
      <c r="M663" s="517">
        <f t="shared" si="529"/>
        <v>92458.681449382886</v>
      </c>
      <c r="N663" s="517">
        <f t="shared" si="529"/>
        <v>86410.907192140468</v>
      </c>
      <c r="O663" s="517">
        <f t="shared" si="529"/>
        <v>89232.827978691828</v>
      </c>
      <c r="P663" s="511">
        <f t="shared" si="487"/>
        <v>-1.0646908776834607E-6</v>
      </c>
      <c r="Q663" s="530">
        <v>65075</v>
      </c>
      <c r="R663" s="480"/>
      <c r="U663" s="513"/>
    </row>
    <row r="664" spans="1:21" s="479" customFormat="1" x14ac:dyDescent="0.15">
      <c r="A664" s="579"/>
      <c r="B664" s="534"/>
      <c r="C664" s="521"/>
      <c r="D664" s="522"/>
      <c r="E664" s="522"/>
      <c r="F664" s="522"/>
      <c r="G664" s="522"/>
      <c r="H664" s="522"/>
      <c r="I664" s="522"/>
      <c r="J664" s="522"/>
      <c r="K664" s="522"/>
      <c r="L664" s="522"/>
      <c r="M664" s="522"/>
      <c r="N664" s="522"/>
      <c r="O664" s="522"/>
      <c r="P664" s="511">
        <f t="shared" si="487"/>
        <v>0</v>
      </c>
      <c r="Q664" s="530">
        <v>0</v>
      </c>
      <c r="R664" s="480"/>
      <c r="U664" s="513"/>
    </row>
    <row r="665" spans="1:21" s="479" customFormat="1" x14ac:dyDescent="0.15">
      <c r="A665" s="591"/>
      <c r="B665" s="532"/>
      <c r="C665" s="521"/>
      <c r="D665" s="521"/>
      <c r="E665" s="521"/>
      <c r="F665" s="521"/>
      <c r="G665" s="521"/>
      <c r="H665" s="521"/>
      <c r="I665" s="521"/>
      <c r="J665" s="521"/>
      <c r="K665" s="521"/>
      <c r="L665" s="521"/>
      <c r="M665" s="521"/>
      <c r="N665" s="521"/>
      <c r="O665" s="521"/>
      <c r="P665" s="511">
        <f t="shared" si="487"/>
        <v>0</v>
      </c>
      <c r="Q665" s="530">
        <v>0</v>
      </c>
      <c r="R665" s="480"/>
      <c r="U665" s="513"/>
    </row>
    <row r="666" spans="1:21" s="479" customFormat="1" x14ac:dyDescent="0.15">
      <c r="A666" s="576">
        <v>43</v>
      </c>
      <c r="B666" s="533" t="s">
        <v>63</v>
      </c>
      <c r="C666" s="524">
        <f t="shared" ref="C666:O666" si="530">SUM(C667:C678)</f>
        <v>143383178.81930861</v>
      </c>
      <c r="D666" s="524">
        <f t="shared" si="530"/>
        <v>11170069.409898169</v>
      </c>
      <c r="E666" s="524">
        <f t="shared" si="530"/>
        <v>15152012.502686676</v>
      </c>
      <c r="F666" s="524">
        <f t="shared" si="530"/>
        <v>9958783.2353989296</v>
      </c>
      <c r="G666" s="524">
        <f t="shared" si="530"/>
        <v>12753847.36558298</v>
      </c>
      <c r="H666" s="524">
        <f t="shared" si="530"/>
        <v>14489814.015209612</v>
      </c>
      <c r="I666" s="524">
        <f t="shared" si="530"/>
        <v>14202792.763333566</v>
      </c>
      <c r="J666" s="524">
        <f t="shared" si="530"/>
        <v>12264789.484433714</v>
      </c>
      <c r="K666" s="524">
        <f t="shared" si="530"/>
        <v>11899425.403368436</v>
      </c>
      <c r="L666" s="524">
        <f t="shared" si="530"/>
        <v>11249019.149524545</v>
      </c>
      <c r="M666" s="524">
        <f t="shared" si="530"/>
        <v>8272791.28881511</v>
      </c>
      <c r="N666" s="524">
        <f t="shared" si="530"/>
        <v>10919040.98151643</v>
      </c>
      <c r="O666" s="524">
        <f t="shared" si="530"/>
        <v>11050793.219108619</v>
      </c>
      <c r="P666" s="511">
        <f t="shared" si="487"/>
        <v>4.3180398643016815E-4</v>
      </c>
      <c r="Q666" s="530">
        <v>9019006</v>
      </c>
      <c r="R666" s="480"/>
      <c r="T666" s="512"/>
      <c r="U666" s="513"/>
    </row>
    <row r="667" spans="1:21" s="479" customFormat="1" x14ac:dyDescent="0.15">
      <c r="A667" s="579"/>
      <c r="B667" s="528" t="s">
        <v>294</v>
      </c>
      <c r="C667" s="517">
        <f>'FG1'!I58</f>
        <v>101883110.13149329</v>
      </c>
      <c r="D667" s="517">
        <f t="shared" ref="D667:O667" si="531">$C667*D$19%</f>
        <v>7705898.325901621</v>
      </c>
      <c r="E667" s="517">
        <f t="shared" si="531"/>
        <v>11040623.576395532</v>
      </c>
      <c r="F667" s="517">
        <f t="shared" si="531"/>
        <v>7136612.2389139477</v>
      </c>
      <c r="G667" s="517">
        <f t="shared" si="531"/>
        <v>8766605.0544278249</v>
      </c>
      <c r="H667" s="517">
        <f t="shared" si="531"/>
        <v>10705940.29935229</v>
      </c>
      <c r="I667" s="517">
        <f t="shared" si="531"/>
        <v>10495600.00100684</v>
      </c>
      <c r="J667" s="517">
        <f t="shared" si="531"/>
        <v>8136226.8446725849</v>
      </c>
      <c r="K667" s="517">
        <f t="shared" si="531"/>
        <v>8638514.6051620729</v>
      </c>
      <c r="L667" s="517">
        <f t="shared" si="531"/>
        <v>8118061.094490556</v>
      </c>
      <c r="M667" s="517">
        <f t="shared" si="531"/>
        <v>5381650.6200570641</v>
      </c>
      <c r="N667" s="517">
        <f t="shared" si="531"/>
        <v>7854244.7740099095</v>
      </c>
      <c r="O667" s="517">
        <f t="shared" si="531"/>
        <v>7903132.6970011629</v>
      </c>
      <c r="P667" s="511">
        <f t="shared" si="487"/>
        <v>1.0186806321144104E-4</v>
      </c>
      <c r="Q667" s="530">
        <v>6281643</v>
      </c>
      <c r="R667" s="480"/>
      <c r="U667" s="513"/>
    </row>
    <row r="668" spans="1:21" s="479" customFormat="1" x14ac:dyDescent="0.15">
      <c r="A668" s="579"/>
      <c r="B668" s="528" t="s">
        <v>296</v>
      </c>
      <c r="C668" s="517">
        <f>FFM!J58</f>
        <v>27385761.834605206</v>
      </c>
      <c r="D668" s="517">
        <f t="shared" ref="D668:O668" si="532">$C668*D$20%</f>
        <v>2070997.2995818607</v>
      </c>
      <c r="E668" s="517">
        <f t="shared" si="532"/>
        <v>2969111.1258579465</v>
      </c>
      <c r="F668" s="517">
        <f t="shared" si="532"/>
        <v>1917676.2201971672</v>
      </c>
      <c r="G668" s="517">
        <f t="shared" si="532"/>
        <v>2356668.6311102426</v>
      </c>
      <c r="H668" s="517">
        <f t="shared" si="532"/>
        <v>2878973.6690374962</v>
      </c>
      <c r="I668" s="517">
        <f t="shared" si="532"/>
        <v>2822324.4569573961</v>
      </c>
      <c r="J668" s="517">
        <f t="shared" si="532"/>
        <v>2186702.3689917452</v>
      </c>
      <c r="K668" s="517">
        <f t="shared" si="532"/>
        <v>2321979.3561797878</v>
      </c>
      <c r="L668" s="517">
        <f t="shared" si="532"/>
        <v>2181809.9268490067</v>
      </c>
      <c r="M668" s="517">
        <f t="shared" si="532"/>
        <v>1444835.2427632853</v>
      </c>
      <c r="N668" s="517">
        <f t="shared" si="532"/>
        <v>2110758.4771133452</v>
      </c>
      <c r="O668" s="517">
        <f t="shared" si="532"/>
        <v>2123925.0596372979</v>
      </c>
      <c r="P668" s="511">
        <f t="shared" si="487"/>
        <v>3.2862881198525429E-4</v>
      </c>
      <c r="Q668" s="530">
        <v>1923234</v>
      </c>
      <c r="R668" s="480"/>
      <c r="U668" s="513"/>
    </row>
    <row r="669" spans="1:21" s="479" customFormat="1" ht="18" x14ac:dyDescent="0.15">
      <c r="A669" s="579"/>
      <c r="B669" s="528" t="s">
        <v>297</v>
      </c>
      <c r="C669" s="517">
        <f>IEPS!I57</f>
        <v>2463941.1978334691</v>
      </c>
      <c r="D669" s="517">
        <f t="shared" ref="D669:O669" si="533">$C669*D$21%</f>
        <v>173066.78850801679</v>
      </c>
      <c r="E669" s="517">
        <f t="shared" si="533"/>
        <v>395579.91423504869</v>
      </c>
      <c r="F669" s="517">
        <f t="shared" si="533"/>
        <v>164307.99965885864</v>
      </c>
      <c r="G669" s="517">
        <f t="shared" si="533"/>
        <v>159684.36733654179</v>
      </c>
      <c r="H669" s="517">
        <f t="shared" si="533"/>
        <v>176300.32619645249</v>
      </c>
      <c r="I669" s="517">
        <f t="shared" si="533"/>
        <v>182826.95067089953</v>
      </c>
      <c r="J669" s="517">
        <f t="shared" si="533"/>
        <v>188277.96199469006</v>
      </c>
      <c r="K669" s="517">
        <f t="shared" si="533"/>
        <v>208556.86141482033</v>
      </c>
      <c r="L669" s="517">
        <f t="shared" si="533"/>
        <v>208993.88288395375</v>
      </c>
      <c r="M669" s="517">
        <f t="shared" si="533"/>
        <v>206671.07183979717</v>
      </c>
      <c r="N669" s="517">
        <f t="shared" si="533"/>
        <v>199989.21513250854</v>
      </c>
      <c r="O669" s="517">
        <f t="shared" si="533"/>
        <v>199685.85795941728</v>
      </c>
      <c r="P669" s="511">
        <f t="shared" si="487"/>
        <v>2.4639302864670753E-6</v>
      </c>
      <c r="Q669" s="530">
        <v>162228</v>
      </c>
      <c r="R669" s="480"/>
      <c r="U669" s="513"/>
    </row>
    <row r="670" spans="1:21" s="479" customFormat="1" x14ac:dyDescent="0.15">
      <c r="A670" s="579"/>
      <c r="B670" s="528" t="s">
        <v>236</v>
      </c>
      <c r="C670" s="517">
        <f>ISR!C48</f>
        <v>1738394.86</v>
      </c>
      <c r="D670" s="517">
        <f>ISR!D48</f>
        <v>132006.56425931025</v>
      </c>
      <c r="E670" s="517">
        <f>ISR!E48</f>
        <v>121865.15977872454</v>
      </c>
      <c r="F670" s="517">
        <f>ISR!F48</f>
        <v>157783.74231780137</v>
      </c>
      <c r="G670" s="517">
        <f>ISR!G48</f>
        <v>143759.20861910211</v>
      </c>
      <c r="H670" s="517">
        <f>ISR!H48</f>
        <v>140098.79468370636</v>
      </c>
      <c r="I670" s="517">
        <f>ISR!I48</f>
        <v>137794.01796320314</v>
      </c>
      <c r="J670" s="517">
        <f>ISR!J48</f>
        <v>167374.52497564172</v>
      </c>
      <c r="K670" s="517">
        <f>ISR!K48</f>
        <v>148751.3196901406</v>
      </c>
      <c r="L670" s="517">
        <f>ISR!L48</f>
        <v>152153.22913343494</v>
      </c>
      <c r="M670" s="517">
        <f>ISR!M48</f>
        <v>132535.42237364678</v>
      </c>
      <c r="N670" s="517">
        <f>ISR!N48</f>
        <v>151114.0201175423</v>
      </c>
      <c r="O670" s="517">
        <f>ISR!O48</f>
        <v>153158.85608774627</v>
      </c>
      <c r="P670" s="511">
        <f t="shared" si="487"/>
        <v>-4.6566128730773926E-10</v>
      </c>
      <c r="Q670" s="530">
        <v>0</v>
      </c>
      <c r="R670" s="480"/>
      <c r="U670" s="513"/>
    </row>
    <row r="671" spans="1:21" s="479" customFormat="1" ht="18" x14ac:dyDescent="0.15">
      <c r="A671" s="579"/>
      <c r="B671" s="528" t="s">
        <v>298</v>
      </c>
      <c r="C671" s="517">
        <f>FOFIR!I57</f>
        <v>4765250.1499032537</v>
      </c>
      <c r="D671" s="517">
        <f t="shared" ref="D671:O671" si="534">$C671*D$23%</f>
        <v>651483.53584004939</v>
      </c>
      <c r="E671" s="517">
        <f t="shared" si="534"/>
        <v>165750.97072568297</v>
      </c>
      <c r="F671" s="517">
        <f t="shared" si="534"/>
        <v>165750.97072568297</v>
      </c>
      <c r="G671" s="517">
        <f t="shared" si="534"/>
        <v>935388.15645989485</v>
      </c>
      <c r="H671" s="517">
        <f t="shared" si="534"/>
        <v>165750.97072568297</v>
      </c>
      <c r="I671" s="517">
        <f t="shared" si="534"/>
        <v>165750.97072568297</v>
      </c>
      <c r="J671" s="517">
        <f t="shared" si="534"/>
        <v>1163472.1458934075</v>
      </c>
      <c r="K671" s="517">
        <f t="shared" si="534"/>
        <v>165750.97072568297</v>
      </c>
      <c r="L671" s="517">
        <f t="shared" si="534"/>
        <v>165750.97072568297</v>
      </c>
      <c r="M671" s="517">
        <f t="shared" si="534"/>
        <v>688898.54592349916</v>
      </c>
      <c r="N671" s="517">
        <f t="shared" si="534"/>
        <v>165750.97072568297</v>
      </c>
      <c r="O671" s="517">
        <f t="shared" si="534"/>
        <v>165750.97072568297</v>
      </c>
      <c r="P671" s="511">
        <f t="shared" si="487"/>
        <v>-1.9061495549976826E-5</v>
      </c>
      <c r="Q671" s="530">
        <v>191091</v>
      </c>
      <c r="R671" s="480"/>
      <c r="U671" s="513"/>
    </row>
    <row r="672" spans="1:21" s="479" customFormat="1" ht="27" x14ac:dyDescent="0.15">
      <c r="A672" s="579"/>
      <c r="B672" s="528" t="s">
        <v>407</v>
      </c>
      <c r="C672" s="517">
        <f>FCISAN!I57</f>
        <v>302504.03034166445</v>
      </c>
      <c r="D672" s="517">
        <f t="shared" ref="D672:O672" si="535">$C672*D$24%</f>
        <v>25208.669195037874</v>
      </c>
      <c r="E672" s="517">
        <f t="shared" si="535"/>
        <v>25208.669195037874</v>
      </c>
      <c r="F672" s="517">
        <f t="shared" si="535"/>
        <v>25208.669195037874</v>
      </c>
      <c r="G672" s="517">
        <f t="shared" si="535"/>
        <v>25208.669195037874</v>
      </c>
      <c r="H672" s="517">
        <f t="shared" si="535"/>
        <v>25208.669195037874</v>
      </c>
      <c r="I672" s="517">
        <f t="shared" si="535"/>
        <v>25208.669195037874</v>
      </c>
      <c r="J672" s="517">
        <f t="shared" si="535"/>
        <v>25208.669195037874</v>
      </c>
      <c r="K672" s="517">
        <f t="shared" si="535"/>
        <v>25208.669195037874</v>
      </c>
      <c r="L672" s="517">
        <f t="shared" si="535"/>
        <v>25208.669195037874</v>
      </c>
      <c r="M672" s="517">
        <f t="shared" si="535"/>
        <v>25208.669195037874</v>
      </c>
      <c r="N672" s="517">
        <f t="shared" si="535"/>
        <v>25208.669195037874</v>
      </c>
      <c r="O672" s="517">
        <f t="shared" si="535"/>
        <v>25208.669195037874</v>
      </c>
      <c r="P672" s="511">
        <f t="shared" si="487"/>
        <v>1.2100499588996172E-6</v>
      </c>
      <c r="Q672" s="530">
        <v>22726</v>
      </c>
      <c r="R672" s="480"/>
      <c r="U672" s="513"/>
    </row>
    <row r="673" spans="1:21" s="479" customFormat="1" ht="27" x14ac:dyDescent="0.15">
      <c r="A673" s="579"/>
      <c r="B673" s="528" t="s">
        <v>242</v>
      </c>
      <c r="C673" s="517">
        <f>ISAN!I57</f>
        <v>1511043.1078495644</v>
      </c>
      <c r="D673" s="517">
        <f t="shared" ref="D673:O673" si="536">$C673*D$25%</f>
        <v>145413.12939415124</v>
      </c>
      <c r="E673" s="517">
        <f t="shared" si="536"/>
        <v>162411.28071138298</v>
      </c>
      <c r="F673" s="517">
        <f t="shared" si="536"/>
        <v>126045.49349932748</v>
      </c>
      <c r="G673" s="517">
        <f t="shared" si="536"/>
        <v>116983.21965120856</v>
      </c>
      <c r="H673" s="517">
        <f t="shared" si="536"/>
        <v>125080.92532066426</v>
      </c>
      <c r="I673" s="517">
        <f t="shared" si="536"/>
        <v>108636.58955132699</v>
      </c>
      <c r="J673" s="517">
        <f t="shared" si="536"/>
        <v>117691.08820776203</v>
      </c>
      <c r="K673" s="517">
        <f t="shared" si="536"/>
        <v>121370.44838818295</v>
      </c>
      <c r="L673" s="517">
        <f t="shared" si="536"/>
        <v>119262.3994951136</v>
      </c>
      <c r="M673" s="517">
        <f t="shared" si="536"/>
        <v>122187.22078316363</v>
      </c>
      <c r="N673" s="517">
        <f t="shared" si="536"/>
        <v>118305.60970550148</v>
      </c>
      <c r="O673" s="517">
        <f t="shared" si="536"/>
        <v>127655.70312364669</v>
      </c>
      <c r="P673" s="511">
        <f t="shared" si="487"/>
        <v>1.8132297554984689E-5</v>
      </c>
      <c r="Q673" s="530">
        <v>97647</v>
      </c>
      <c r="R673" s="480"/>
      <c r="U673" s="513"/>
    </row>
    <row r="674" spans="1:21" s="479" customFormat="1" ht="18" x14ac:dyDescent="0.15">
      <c r="A674" s="579"/>
      <c r="B674" s="528" t="s">
        <v>403</v>
      </c>
      <c r="C674" s="517">
        <f>LOT!I57</f>
        <v>73145.056201173225</v>
      </c>
      <c r="D674" s="517">
        <f t="shared" ref="D674:O674" si="537">$C674*D$26%</f>
        <v>5530.5261486283016</v>
      </c>
      <c r="E674" s="517">
        <f t="shared" si="537"/>
        <v>5452.1346215159811</v>
      </c>
      <c r="F674" s="517">
        <f t="shared" si="537"/>
        <v>5358.7790981894632</v>
      </c>
      <c r="G674" s="517">
        <f t="shared" si="537"/>
        <v>5895.8536063275851</v>
      </c>
      <c r="H674" s="517">
        <f t="shared" si="537"/>
        <v>4823.8814082822446</v>
      </c>
      <c r="I674" s="517">
        <f t="shared" si="537"/>
        <v>6546.2530124487084</v>
      </c>
      <c r="J674" s="517">
        <f t="shared" si="537"/>
        <v>15023.643624901122</v>
      </c>
      <c r="K674" s="517">
        <f t="shared" si="537"/>
        <v>5469.1450875942419</v>
      </c>
      <c r="L674" s="517">
        <f t="shared" si="537"/>
        <v>6636.1282335102123</v>
      </c>
      <c r="M674" s="517">
        <f t="shared" si="537"/>
        <v>4108.6727781941536</v>
      </c>
      <c r="N674" s="517">
        <f t="shared" si="537"/>
        <v>4150.0192903517373</v>
      </c>
      <c r="O674" s="517">
        <f t="shared" si="537"/>
        <v>4150.0192903517373</v>
      </c>
      <c r="P674" s="511">
        <f t="shared" si="487"/>
        <v>8.7774242274463177E-7</v>
      </c>
      <c r="Q674" s="530">
        <v>4770</v>
      </c>
      <c r="R674" s="480"/>
      <c r="U674" s="513"/>
    </row>
    <row r="675" spans="1:21" s="479" customFormat="1" ht="45" x14ac:dyDescent="0.15">
      <c r="A675" s="579"/>
      <c r="B675" s="518" t="s">
        <v>301</v>
      </c>
      <c r="C675" s="517">
        <f>'ENAJENAC DE INMUE'!I57</f>
        <v>287615.04322471441</v>
      </c>
      <c r="D675" s="517">
        <f t="shared" ref="D675:O675" si="538">$C675*D$27%</f>
        <v>12420.862047732215</v>
      </c>
      <c r="E675" s="517">
        <f t="shared" si="538"/>
        <v>12603.80890118479</v>
      </c>
      <c r="F675" s="517">
        <f t="shared" si="538"/>
        <v>12433.892700941982</v>
      </c>
      <c r="G675" s="517">
        <f t="shared" si="538"/>
        <v>12361.058420912148</v>
      </c>
      <c r="H675" s="517">
        <f t="shared" si="538"/>
        <v>17147.14869298831</v>
      </c>
      <c r="I675" s="517">
        <f t="shared" si="538"/>
        <v>12342.133351067961</v>
      </c>
      <c r="J675" s="517">
        <f t="shared" si="538"/>
        <v>14184.55471362414</v>
      </c>
      <c r="K675" s="517">
        <f t="shared" si="538"/>
        <v>14169.954020513658</v>
      </c>
      <c r="L675" s="517">
        <f t="shared" si="538"/>
        <v>14152.003458025454</v>
      </c>
      <c r="M675" s="517">
        <f t="shared" si="538"/>
        <v>12359.034964524239</v>
      </c>
      <c r="N675" s="517">
        <f t="shared" si="538"/>
        <v>51384.322347589528</v>
      </c>
      <c r="O675" s="517">
        <f t="shared" si="538"/>
        <v>102056.26960503474</v>
      </c>
      <c r="P675" s="511">
        <f t="shared" si="487"/>
        <v>5.7522265706211329E-7</v>
      </c>
      <c r="Q675" s="530">
        <v>69598</v>
      </c>
      <c r="R675" s="480"/>
      <c r="U675" s="513"/>
    </row>
    <row r="676" spans="1:21" s="479" customFormat="1" ht="27" x14ac:dyDescent="0.15">
      <c r="A676" s="579"/>
      <c r="B676" s="518" t="s">
        <v>248</v>
      </c>
      <c r="C676" s="517">
        <f>'IMP BEBIDAS AL'!I57</f>
        <v>112415.15774939147</v>
      </c>
      <c r="D676" s="517">
        <f t="shared" ref="D676:O676" si="539">$C676*D$28%</f>
        <v>25562.149654149671</v>
      </c>
      <c r="E676" s="517">
        <f t="shared" si="539"/>
        <v>8792.4511886232194</v>
      </c>
      <c r="F676" s="517">
        <f t="shared" si="539"/>
        <v>9448.8346524075805</v>
      </c>
      <c r="G676" s="517">
        <f t="shared" si="539"/>
        <v>9381.0046143163872</v>
      </c>
      <c r="H676" s="517">
        <f t="shared" si="539"/>
        <v>5973.8689441484184</v>
      </c>
      <c r="I676" s="517">
        <f t="shared" si="539"/>
        <v>9776.2461371091395</v>
      </c>
      <c r="J676" s="517">
        <f t="shared" si="539"/>
        <v>9721.2170938234303</v>
      </c>
      <c r="K676" s="517">
        <f t="shared" si="539"/>
        <v>8890.762334641393</v>
      </c>
      <c r="L676" s="517">
        <f t="shared" si="539"/>
        <v>6447.8310265056662</v>
      </c>
      <c r="M676" s="517">
        <f t="shared" si="539"/>
        <v>5993.8300965501485</v>
      </c>
      <c r="N676" s="517">
        <f t="shared" si="539"/>
        <v>6036.1981366107502</v>
      </c>
      <c r="O676" s="517">
        <f t="shared" si="539"/>
        <v>6390.7638705056706</v>
      </c>
      <c r="P676" s="511">
        <f t="shared" ref="P676:P739" si="540">C676-D676-E676-F676-G676-H676-I676-J676-K676-L676-M676-N676-O676</f>
        <v>-1.0913936421275139E-11</v>
      </c>
      <c r="Q676" s="530">
        <v>2978</v>
      </c>
      <c r="R676" s="480"/>
      <c r="U676" s="513"/>
    </row>
    <row r="677" spans="1:21" s="479" customFormat="1" ht="18" x14ac:dyDescent="0.15">
      <c r="A677" s="579"/>
      <c r="B677" s="518" t="s">
        <v>253</v>
      </c>
      <c r="C677" s="517">
        <f>'FOND GASO Y D'!Q58</f>
        <v>0</v>
      </c>
      <c r="D677" s="517">
        <f t="shared" ref="D677:O677" si="541">$C677*D$29%</f>
        <v>0</v>
      </c>
      <c r="E677" s="517">
        <f t="shared" si="541"/>
        <v>0</v>
      </c>
      <c r="F677" s="517">
        <f t="shared" si="541"/>
        <v>0</v>
      </c>
      <c r="G677" s="517">
        <f t="shared" si="541"/>
        <v>0</v>
      </c>
      <c r="H677" s="517">
        <f t="shared" si="541"/>
        <v>0</v>
      </c>
      <c r="I677" s="517">
        <f t="shared" si="541"/>
        <v>0</v>
      </c>
      <c r="J677" s="517">
        <f t="shared" si="541"/>
        <v>0</v>
      </c>
      <c r="K677" s="517">
        <f t="shared" si="541"/>
        <v>0</v>
      </c>
      <c r="L677" s="517">
        <f t="shared" si="541"/>
        <v>0</v>
      </c>
      <c r="M677" s="517">
        <f t="shared" si="541"/>
        <v>0</v>
      </c>
      <c r="N677" s="517">
        <f t="shared" si="541"/>
        <v>0</v>
      </c>
      <c r="O677" s="517">
        <f t="shared" si="541"/>
        <v>0</v>
      </c>
      <c r="P677" s="511">
        <f t="shared" si="540"/>
        <v>0</v>
      </c>
      <c r="Q677" s="530">
        <v>88304</v>
      </c>
      <c r="R677" s="480"/>
      <c r="U677" s="513"/>
    </row>
    <row r="678" spans="1:21" s="479" customFormat="1" ht="18" x14ac:dyDescent="0.15">
      <c r="A678" s="579"/>
      <c r="B678" s="528" t="s">
        <v>408</v>
      </c>
      <c r="C678" s="519">
        <f>'FOND GASO Y D'!H58</f>
        <v>2859998.2501069116</v>
      </c>
      <c r="D678" s="517">
        <f t="shared" ref="D678:O678" si="542">$C678*D$30%</f>
        <v>222481.55936761215</v>
      </c>
      <c r="E678" s="517">
        <f t="shared" si="542"/>
        <v>244613.41107599423</v>
      </c>
      <c r="F678" s="517">
        <f t="shared" si="542"/>
        <v>238156.39443956703</v>
      </c>
      <c r="G678" s="517">
        <f t="shared" si="542"/>
        <v>221912.14214157069</v>
      </c>
      <c r="H678" s="517">
        <f t="shared" si="542"/>
        <v>244515.46165286467</v>
      </c>
      <c r="I678" s="517">
        <f t="shared" si="542"/>
        <v>235986.47476255475</v>
      </c>
      <c r="J678" s="517">
        <f t="shared" si="542"/>
        <v>240906.46507049326</v>
      </c>
      <c r="K678" s="517">
        <f t="shared" si="542"/>
        <v>240763.31116996211</v>
      </c>
      <c r="L678" s="517">
        <f t="shared" si="542"/>
        <v>250543.0140337201</v>
      </c>
      <c r="M678" s="517">
        <f t="shared" si="542"/>
        <v>248342.95804034683</v>
      </c>
      <c r="N678" s="517">
        <f t="shared" si="542"/>
        <v>232098.70574235058</v>
      </c>
      <c r="O678" s="517">
        <f t="shared" si="542"/>
        <v>239678.35261273521</v>
      </c>
      <c r="P678" s="511">
        <f t="shared" si="540"/>
        <v>-2.8600916266441345E-6</v>
      </c>
      <c r="Q678" s="530">
        <v>174787</v>
      </c>
      <c r="R678" s="480"/>
      <c r="U678" s="513"/>
    </row>
    <row r="679" spans="1:21" s="479" customFormat="1" x14ac:dyDescent="0.15">
      <c r="A679" s="579"/>
      <c r="B679" s="534"/>
      <c r="C679" s="521"/>
      <c r="D679" s="522"/>
      <c r="E679" s="522"/>
      <c r="F679" s="522"/>
      <c r="G679" s="522"/>
      <c r="H679" s="522"/>
      <c r="I679" s="522"/>
      <c r="J679" s="522"/>
      <c r="K679" s="522"/>
      <c r="L679" s="522"/>
      <c r="M679" s="522"/>
      <c r="N679" s="522"/>
      <c r="O679" s="522"/>
      <c r="P679" s="511">
        <f t="shared" si="540"/>
        <v>0</v>
      </c>
      <c r="Q679" s="530">
        <v>0</v>
      </c>
      <c r="R679" s="480"/>
      <c r="U679" s="513"/>
    </row>
    <row r="680" spans="1:21" s="479" customFormat="1" x14ac:dyDescent="0.15">
      <c r="A680" s="591"/>
      <c r="B680" s="532"/>
      <c r="C680" s="521"/>
      <c r="D680" s="522"/>
      <c r="E680" s="522"/>
      <c r="F680" s="522"/>
      <c r="G680" s="522"/>
      <c r="H680" s="522"/>
      <c r="I680" s="522"/>
      <c r="J680" s="522"/>
      <c r="K680" s="522"/>
      <c r="L680" s="522"/>
      <c r="M680" s="522"/>
      <c r="N680" s="522"/>
      <c r="O680" s="522"/>
      <c r="P680" s="511">
        <f t="shared" si="540"/>
        <v>0</v>
      </c>
      <c r="Q680" s="530">
        <v>0</v>
      </c>
      <c r="R680" s="480"/>
      <c r="U680" s="513"/>
    </row>
    <row r="681" spans="1:21" s="479" customFormat="1" x14ac:dyDescent="0.15">
      <c r="A681" s="576">
        <v>44</v>
      </c>
      <c r="B681" s="533" t="s">
        <v>102</v>
      </c>
      <c r="C681" s="524">
        <f t="shared" ref="C681:O681" si="543">SUM(C682:C693)</f>
        <v>35012275.163546018</v>
      </c>
      <c r="D681" s="524">
        <f t="shared" si="543"/>
        <v>2723508.4552957891</v>
      </c>
      <c r="E681" s="524">
        <f t="shared" si="543"/>
        <v>3674183.6723694005</v>
      </c>
      <c r="F681" s="524">
        <f t="shared" si="543"/>
        <v>2432404.8580172239</v>
      </c>
      <c r="G681" s="524">
        <f t="shared" si="543"/>
        <v>3106194.9589899075</v>
      </c>
      <c r="H681" s="524">
        <f t="shared" si="543"/>
        <v>3522404.8245386761</v>
      </c>
      <c r="I681" s="524">
        <f t="shared" si="543"/>
        <v>3456048.5651370287</v>
      </c>
      <c r="J681" s="524">
        <f t="shared" si="543"/>
        <v>2985231.5964759691</v>
      </c>
      <c r="K681" s="524">
        <f t="shared" si="543"/>
        <v>2903885.3060147162</v>
      </c>
      <c r="L681" s="524">
        <f t="shared" si="543"/>
        <v>2751342.3064775951</v>
      </c>
      <c r="M681" s="524">
        <f t="shared" si="543"/>
        <v>2057219.2873019793</v>
      </c>
      <c r="N681" s="524">
        <f t="shared" si="543"/>
        <v>2685820.4507581545</v>
      </c>
      <c r="O681" s="524">
        <f t="shared" si="543"/>
        <v>2714030.8820673963</v>
      </c>
      <c r="P681" s="511">
        <f t="shared" si="540"/>
        <v>1.0217633098363876E-4</v>
      </c>
      <c r="Q681" s="530">
        <v>2119161</v>
      </c>
      <c r="R681" s="480"/>
      <c r="T681" s="512"/>
      <c r="U681" s="513"/>
    </row>
    <row r="682" spans="1:21" s="479" customFormat="1" x14ac:dyDescent="0.15">
      <c r="A682" s="579"/>
      <c r="B682" s="528" t="s">
        <v>294</v>
      </c>
      <c r="C682" s="517">
        <f>'FG1'!I59</f>
        <v>24186474.99391612</v>
      </c>
      <c r="D682" s="517">
        <f t="shared" ref="D682:O682" si="544">$C682*D$19%</f>
        <v>1829336.7460468586</v>
      </c>
      <c r="E682" s="517">
        <f t="shared" si="544"/>
        <v>2620981.6887518433</v>
      </c>
      <c r="F682" s="517">
        <f t="shared" si="544"/>
        <v>1694191.4438516172</v>
      </c>
      <c r="G682" s="517">
        <f t="shared" si="544"/>
        <v>2081142.5334071661</v>
      </c>
      <c r="H682" s="517">
        <f t="shared" si="544"/>
        <v>2541529.7687953273</v>
      </c>
      <c r="I682" s="517">
        <f t="shared" si="544"/>
        <v>2491596.1697956584</v>
      </c>
      <c r="J682" s="517">
        <f t="shared" si="544"/>
        <v>1931494.3062645418</v>
      </c>
      <c r="K682" s="517">
        <f t="shared" si="544"/>
        <v>2050734.5841000914</v>
      </c>
      <c r="L682" s="517">
        <f t="shared" si="544"/>
        <v>1927181.8597564178</v>
      </c>
      <c r="M682" s="517">
        <f t="shared" si="544"/>
        <v>1277573.4661025859</v>
      </c>
      <c r="N682" s="517">
        <f t="shared" si="544"/>
        <v>1864553.3550900714</v>
      </c>
      <c r="O682" s="517">
        <f t="shared" si="544"/>
        <v>1876159.0719297554</v>
      </c>
      <c r="P682" s="511">
        <f t="shared" si="540"/>
        <v>2.4185748770833015E-5</v>
      </c>
      <c r="Q682" s="530">
        <v>1453001</v>
      </c>
      <c r="R682" s="480"/>
      <c r="U682" s="513"/>
    </row>
    <row r="683" spans="1:21" s="479" customFormat="1" x14ac:dyDescent="0.15">
      <c r="A683" s="579"/>
      <c r="B683" s="528" t="s">
        <v>296</v>
      </c>
      <c r="C683" s="517">
        <f>FFM!J59</f>
        <v>6501225.207467203</v>
      </c>
      <c r="D683" s="517">
        <f t="shared" ref="D683:O683" si="545">$C683*D$20%</f>
        <v>491643.06364574784</v>
      </c>
      <c r="E683" s="517">
        <f t="shared" si="545"/>
        <v>704850.21420172881</v>
      </c>
      <c r="F683" s="517">
        <f t="shared" si="545"/>
        <v>455245.50523010775</v>
      </c>
      <c r="G683" s="517">
        <f t="shared" si="545"/>
        <v>559459.82451585168</v>
      </c>
      <c r="H683" s="517">
        <f t="shared" si="545"/>
        <v>683452.09097414662</v>
      </c>
      <c r="I683" s="517">
        <f t="shared" si="545"/>
        <v>670003.88793409371</v>
      </c>
      <c r="J683" s="517">
        <f t="shared" si="545"/>
        <v>519110.79371739255</v>
      </c>
      <c r="K683" s="517">
        <f t="shared" si="545"/>
        <v>551224.78654361388</v>
      </c>
      <c r="L683" s="517">
        <f t="shared" si="545"/>
        <v>517949.35558116157</v>
      </c>
      <c r="M683" s="517">
        <f t="shared" si="545"/>
        <v>342995.72740095289</v>
      </c>
      <c r="N683" s="517">
        <f t="shared" si="545"/>
        <v>501082.14265357092</v>
      </c>
      <c r="O683" s="517">
        <f t="shared" si="545"/>
        <v>504207.81499082013</v>
      </c>
      <c r="P683" s="511">
        <f t="shared" si="540"/>
        <v>7.8015786129981279E-5</v>
      </c>
      <c r="Q683" s="530">
        <v>444861</v>
      </c>
      <c r="R683" s="480"/>
      <c r="U683" s="513"/>
    </row>
    <row r="684" spans="1:21" s="479" customFormat="1" ht="18" x14ac:dyDescent="0.15">
      <c r="A684" s="579"/>
      <c r="B684" s="528" t="s">
        <v>297</v>
      </c>
      <c r="C684" s="517">
        <f>IEPS!I58</f>
        <v>584925.7260694647</v>
      </c>
      <c r="D684" s="517">
        <f t="shared" ref="D684:O684" si="546">$C684*D$21%</f>
        <v>41085.078254129723</v>
      </c>
      <c r="E684" s="517">
        <f t="shared" si="546"/>
        <v>93908.437732153659</v>
      </c>
      <c r="F684" s="517">
        <f t="shared" si="546"/>
        <v>39005.791243714135</v>
      </c>
      <c r="G684" s="517">
        <f t="shared" si="546"/>
        <v>37908.167040836459</v>
      </c>
      <c r="H684" s="517">
        <f t="shared" si="546"/>
        <v>41852.701841025511</v>
      </c>
      <c r="I684" s="517">
        <f t="shared" si="546"/>
        <v>43402.08563429764</v>
      </c>
      <c r="J684" s="517">
        <f t="shared" si="546"/>
        <v>44696.124939774818</v>
      </c>
      <c r="K684" s="517">
        <f t="shared" si="546"/>
        <v>49510.221143709896</v>
      </c>
      <c r="L684" s="517">
        <f t="shared" si="546"/>
        <v>49613.967572547394</v>
      </c>
      <c r="M684" s="517">
        <f t="shared" si="546"/>
        <v>49062.545347974767</v>
      </c>
      <c r="N684" s="517">
        <f t="shared" si="546"/>
        <v>47476.310299248958</v>
      </c>
      <c r="O684" s="517">
        <f t="shared" si="546"/>
        <v>47404.295019466786</v>
      </c>
      <c r="P684" s="511">
        <f t="shared" si="540"/>
        <v>5.8490695664659142E-7</v>
      </c>
      <c r="Q684" s="530">
        <v>37524</v>
      </c>
      <c r="R684" s="480"/>
      <c r="U684" s="513"/>
    </row>
    <row r="685" spans="1:21" s="479" customFormat="1" x14ac:dyDescent="0.15">
      <c r="A685" s="579"/>
      <c r="B685" s="528" t="s">
        <v>236</v>
      </c>
      <c r="C685" s="517">
        <f>ISR!C49</f>
        <v>1045450</v>
      </c>
      <c r="D685" s="517">
        <f>ISR!D49</f>
        <v>76596.077129291545</v>
      </c>
      <c r="E685" s="517">
        <f>ISR!E49</f>
        <v>76932.992576693752</v>
      </c>
      <c r="F685" s="517">
        <f>ISR!F49</f>
        <v>77294.569619502538</v>
      </c>
      <c r="G685" s="517">
        <f>ISR!G49</f>
        <v>86160.572035637742</v>
      </c>
      <c r="H685" s="517">
        <f>ISR!H49</f>
        <v>86696.571927156692</v>
      </c>
      <c r="I685" s="517">
        <f>ISR!I49</f>
        <v>88947.771471536253</v>
      </c>
      <c r="J685" s="517">
        <f>ISR!J49</f>
        <v>84637.203922899731</v>
      </c>
      <c r="K685" s="517">
        <f>ISR!K49</f>
        <v>85622.315302470335</v>
      </c>
      <c r="L685" s="517">
        <f>ISR!L49</f>
        <v>87123.114998723337</v>
      </c>
      <c r="M685" s="517">
        <f>ISR!M49</f>
        <v>95145.058638319329</v>
      </c>
      <c r="N685" s="517">
        <f>ISR!N49</f>
        <v>101889.62990486379</v>
      </c>
      <c r="O685" s="517">
        <f>ISR!O49</f>
        <v>98404.122472904943</v>
      </c>
      <c r="P685" s="511">
        <f t="shared" si="540"/>
        <v>0</v>
      </c>
      <c r="Q685" s="530">
        <v>0</v>
      </c>
      <c r="R685" s="480"/>
      <c r="U685" s="513"/>
    </row>
    <row r="686" spans="1:21" s="479" customFormat="1" ht="18" x14ac:dyDescent="0.15">
      <c r="A686" s="579"/>
      <c r="B686" s="528" t="s">
        <v>298</v>
      </c>
      <c r="C686" s="517">
        <f>FOFIR!I58</f>
        <v>1131243.4754066614</v>
      </c>
      <c r="D686" s="517">
        <f t="shared" ref="D686:O686" si="547">$C686*D$23%</f>
        <v>154658.51236978197</v>
      </c>
      <c r="E686" s="517">
        <f t="shared" si="547"/>
        <v>39348.344426274496</v>
      </c>
      <c r="F686" s="517">
        <f t="shared" si="547"/>
        <v>39348.344426274496</v>
      </c>
      <c r="G686" s="517">
        <f t="shared" si="547"/>
        <v>222055.86604711707</v>
      </c>
      <c r="H686" s="517">
        <f t="shared" si="547"/>
        <v>39348.344426274496</v>
      </c>
      <c r="I686" s="517">
        <f t="shared" si="547"/>
        <v>39348.344426274496</v>
      </c>
      <c r="J686" s="517">
        <f t="shared" si="547"/>
        <v>276201.71710944199</v>
      </c>
      <c r="K686" s="517">
        <f t="shared" si="547"/>
        <v>39348.344426274496</v>
      </c>
      <c r="L686" s="517">
        <f t="shared" si="547"/>
        <v>39348.344426274496</v>
      </c>
      <c r="M686" s="517">
        <f t="shared" si="547"/>
        <v>163540.6244746494</v>
      </c>
      <c r="N686" s="517">
        <f t="shared" si="547"/>
        <v>39348.344426274496</v>
      </c>
      <c r="O686" s="517">
        <f t="shared" si="547"/>
        <v>39348.344426274496</v>
      </c>
      <c r="P686" s="511">
        <f t="shared" si="540"/>
        <v>-4.5251072151586413E-6</v>
      </c>
      <c r="Q686" s="530">
        <v>44199</v>
      </c>
      <c r="R686" s="480"/>
      <c r="U686" s="513"/>
    </row>
    <row r="687" spans="1:21" s="479" customFormat="1" ht="27" x14ac:dyDescent="0.15">
      <c r="A687" s="579"/>
      <c r="B687" s="528" t="s">
        <v>407</v>
      </c>
      <c r="C687" s="517">
        <f>FCISAN!I58</f>
        <v>71812.74851125585</v>
      </c>
      <c r="D687" s="517">
        <f t="shared" ref="D687:O687" si="548">$C687*D$24%</f>
        <v>5984.3957092473838</v>
      </c>
      <c r="E687" s="517">
        <f t="shared" si="548"/>
        <v>5984.3957092473838</v>
      </c>
      <c r="F687" s="517">
        <f t="shared" si="548"/>
        <v>5984.3957092473838</v>
      </c>
      <c r="G687" s="517">
        <f t="shared" si="548"/>
        <v>5984.3957092473838</v>
      </c>
      <c r="H687" s="517">
        <f t="shared" si="548"/>
        <v>5984.3957092473838</v>
      </c>
      <c r="I687" s="517">
        <f t="shared" si="548"/>
        <v>5984.3957092473838</v>
      </c>
      <c r="J687" s="517">
        <f t="shared" si="548"/>
        <v>5984.3957092473838</v>
      </c>
      <c r="K687" s="517">
        <f t="shared" si="548"/>
        <v>5984.3957092473838</v>
      </c>
      <c r="L687" s="517">
        <f t="shared" si="548"/>
        <v>5984.3957092473838</v>
      </c>
      <c r="M687" s="517">
        <f t="shared" si="548"/>
        <v>5984.3957092473838</v>
      </c>
      <c r="N687" s="517">
        <f t="shared" si="548"/>
        <v>5984.3957092473838</v>
      </c>
      <c r="O687" s="517">
        <f t="shared" si="548"/>
        <v>5984.3957092473838</v>
      </c>
      <c r="P687" s="511">
        <f t="shared" si="540"/>
        <v>2.8723115974571556E-7</v>
      </c>
      <c r="Q687" s="530">
        <v>5261</v>
      </c>
      <c r="R687" s="480"/>
      <c r="U687" s="513"/>
    </row>
    <row r="688" spans="1:21" s="479" customFormat="1" ht="27" x14ac:dyDescent="0.15">
      <c r="A688" s="579"/>
      <c r="B688" s="528" t="s">
        <v>242</v>
      </c>
      <c r="C688" s="517">
        <f>ISAN!I58</f>
        <v>358713.10068532883</v>
      </c>
      <c r="D688" s="517">
        <f t="shared" ref="D688:O688" si="549">$C688*D$25%</f>
        <v>34520.255745427741</v>
      </c>
      <c r="E688" s="517">
        <f t="shared" si="549"/>
        <v>38555.52087667882</v>
      </c>
      <c r="F688" s="517">
        <f t="shared" si="549"/>
        <v>29922.48835633988</v>
      </c>
      <c r="G688" s="517">
        <f t="shared" si="549"/>
        <v>27771.15572100256</v>
      </c>
      <c r="H688" s="517">
        <f t="shared" si="549"/>
        <v>29693.505317806259</v>
      </c>
      <c r="I688" s="517">
        <f t="shared" si="549"/>
        <v>25789.71287013447</v>
      </c>
      <c r="J688" s="517">
        <f t="shared" si="549"/>
        <v>27939.199718873879</v>
      </c>
      <c r="K688" s="517">
        <f t="shared" si="549"/>
        <v>28812.659047731304</v>
      </c>
      <c r="L688" s="517">
        <f t="shared" si="549"/>
        <v>28312.220145028292</v>
      </c>
      <c r="M688" s="517">
        <f t="shared" si="549"/>
        <v>29006.556201846692</v>
      </c>
      <c r="N688" s="517">
        <f t="shared" si="549"/>
        <v>28085.08365212951</v>
      </c>
      <c r="O688" s="517">
        <f t="shared" si="549"/>
        <v>30304.743028024874</v>
      </c>
      <c r="P688" s="511">
        <f t="shared" si="540"/>
        <v>4.3045401980634779E-6</v>
      </c>
      <c r="Q688" s="530">
        <v>22587</v>
      </c>
      <c r="R688" s="480"/>
      <c r="U688" s="513"/>
    </row>
    <row r="689" spans="1:21" s="479" customFormat="1" ht="18" x14ac:dyDescent="0.15">
      <c r="A689" s="579"/>
      <c r="B689" s="528" t="s">
        <v>403</v>
      </c>
      <c r="C689" s="517">
        <f>LOT!I58</f>
        <v>17364.22327955033</v>
      </c>
      <c r="D689" s="517">
        <f t="shared" ref="D689:O689" si="550">$C689*D$26%</f>
        <v>1312.9156758598954</v>
      </c>
      <c r="E689" s="517">
        <f t="shared" si="550"/>
        <v>1294.3059700137549</v>
      </c>
      <c r="F689" s="517">
        <f t="shared" si="550"/>
        <v>1272.1438959706027</v>
      </c>
      <c r="G689" s="517">
        <f t="shared" si="550"/>
        <v>1399.6423512512404</v>
      </c>
      <c r="H689" s="517">
        <f t="shared" si="550"/>
        <v>1145.1622050451176</v>
      </c>
      <c r="I689" s="517">
        <f t="shared" si="550"/>
        <v>1554.0434973480149</v>
      </c>
      <c r="J689" s="517">
        <f t="shared" si="550"/>
        <v>3566.5281554735016</v>
      </c>
      <c r="K689" s="517">
        <f t="shared" si="550"/>
        <v>1298.3441585997307</v>
      </c>
      <c r="L689" s="517">
        <f t="shared" si="550"/>
        <v>1575.379367287313</v>
      </c>
      <c r="M689" s="517">
        <f t="shared" si="550"/>
        <v>975.3757151673268</v>
      </c>
      <c r="N689" s="517">
        <f t="shared" si="550"/>
        <v>985.19114366273084</v>
      </c>
      <c r="O689" s="517">
        <f t="shared" si="550"/>
        <v>985.19114366273084</v>
      </c>
      <c r="P689" s="511">
        <f t="shared" si="540"/>
        <v>2.0837114789173938E-7</v>
      </c>
      <c r="Q689" s="530">
        <v>1103</v>
      </c>
      <c r="R689" s="480"/>
      <c r="U689" s="513"/>
    </row>
    <row r="690" spans="1:21" s="479" customFormat="1" ht="45" x14ac:dyDescent="0.15">
      <c r="A690" s="579"/>
      <c r="B690" s="518" t="s">
        <v>301</v>
      </c>
      <c r="C690" s="517">
        <f>'ENAJENAC DE INMUE'!I58</f>
        <v>68278.187050341672</v>
      </c>
      <c r="D690" s="517">
        <f t="shared" ref="D690:O690" si="551">$C690*D$27%</f>
        <v>2948.6425074051067</v>
      </c>
      <c r="E690" s="517">
        <f t="shared" si="551"/>
        <v>2992.0730572826628</v>
      </c>
      <c r="F690" s="517">
        <f t="shared" si="551"/>
        <v>2951.735910890784</v>
      </c>
      <c r="G690" s="517">
        <f t="shared" si="551"/>
        <v>2934.4454641193038</v>
      </c>
      <c r="H690" s="517">
        <f t="shared" si="551"/>
        <v>4070.6362668420898</v>
      </c>
      <c r="I690" s="517">
        <f t="shared" si="551"/>
        <v>2929.9527594113915</v>
      </c>
      <c r="J690" s="517">
        <f t="shared" si="551"/>
        <v>3367.3331864145453</v>
      </c>
      <c r="K690" s="517">
        <f t="shared" si="551"/>
        <v>3363.867064322721</v>
      </c>
      <c r="L690" s="517">
        <f t="shared" si="551"/>
        <v>3359.6057021579095</v>
      </c>
      <c r="M690" s="517">
        <f t="shared" si="551"/>
        <v>2933.9651069996175</v>
      </c>
      <c r="N690" s="517">
        <f t="shared" si="551"/>
        <v>12198.3479492852</v>
      </c>
      <c r="O690" s="517">
        <f t="shared" si="551"/>
        <v>24227.582075073784</v>
      </c>
      <c r="P690" s="511">
        <f t="shared" si="540"/>
        <v>1.3655517250299454E-7</v>
      </c>
      <c r="Q690" s="530">
        <v>16099</v>
      </c>
      <c r="R690" s="480"/>
      <c r="U690" s="513"/>
    </row>
    <row r="691" spans="1:21" s="479" customFormat="1" ht="27" x14ac:dyDescent="0.15">
      <c r="A691" s="579"/>
      <c r="B691" s="518" t="s">
        <v>248</v>
      </c>
      <c r="C691" s="517">
        <f>'IMP BEBIDAS AL'!I58</f>
        <v>26686.723622135876</v>
      </c>
      <c r="D691" s="517">
        <f t="shared" ref="D691:O691" si="552">$C691*D$28%</f>
        <v>6068.3099740760817</v>
      </c>
      <c r="E691" s="517">
        <f t="shared" si="552"/>
        <v>2087.2782597076248</v>
      </c>
      <c r="F691" s="517">
        <f t="shared" si="552"/>
        <v>2243.0999873006576</v>
      </c>
      <c r="G691" s="517">
        <f t="shared" si="552"/>
        <v>2226.9975193056025</v>
      </c>
      <c r="H691" s="517">
        <f t="shared" si="552"/>
        <v>1418.1627518839869</v>
      </c>
      <c r="I691" s="517">
        <f t="shared" si="552"/>
        <v>2320.8256248203093</v>
      </c>
      <c r="J691" s="517">
        <f t="shared" si="552"/>
        <v>2307.7620407026752</v>
      </c>
      <c r="K691" s="517">
        <f t="shared" si="552"/>
        <v>2110.6167705925295</v>
      </c>
      <c r="L691" s="517">
        <f t="shared" si="552"/>
        <v>1530.6786736908782</v>
      </c>
      <c r="M691" s="517">
        <f t="shared" si="552"/>
        <v>1422.9014167401253</v>
      </c>
      <c r="N691" s="517">
        <f t="shared" si="552"/>
        <v>1432.9593501909637</v>
      </c>
      <c r="O691" s="517">
        <f t="shared" si="552"/>
        <v>1517.1312531244428</v>
      </c>
      <c r="P691" s="511">
        <f t="shared" si="540"/>
        <v>0</v>
      </c>
      <c r="Q691" s="530">
        <v>688</v>
      </c>
      <c r="R691" s="480"/>
      <c r="U691" s="513"/>
    </row>
    <row r="692" spans="1:21" s="479" customFormat="1" ht="18" x14ac:dyDescent="0.15">
      <c r="A692" s="579"/>
      <c r="B692" s="518" t="s">
        <v>253</v>
      </c>
      <c r="C692" s="517">
        <f>'FOND GASO Y D'!Q59</f>
        <v>0</v>
      </c>
      <c r="D692" s="517">
        <f t="shared" ref="D692:O692" si="553">$C692*D$29%</f>
        <v>0</v>
      </c>
      <c r="E692" s="517">
        <f t="shared" si="553"/>
        <v>0</v>
      </c>
      <c r="F692" s="517">
        <f t="shared" si="553"/>
        <v>0</v>
      </c>
      <c r="G692" s="517">
        <f t="shared" si="553"/>
        <v>0</v>
      </c>
      <c r="H692" s="517">
        <f t="shared" si="553"/>
        <v>0</v>
      </c>
      <c r="I692" s="517">
        <f t="shared" si="553"/>
        <v>0</v>
      </c>
      <c r="J692" s="517">
        <f t="shared" si="553"/>
        <v>0</v>
      </c>
      <c r="K692" s="517">
        <f t="shared" si="553"/>
        <v>0</v>
      </c>
      <c r="L692" s="517">
        <f t="shared" si="553"/>
        <v>0</v>
      </c>
      <c r="M692" s="517">
        <f t="shared" si="553"/>
        <v>0</v>
      </c>
      <c r="N692" s="517">
        <f t="shared" si="553"/>
        <v>0</v>
      </c>
      <c r="O692" s="517">
        <f t="shared" si="553"/>
        <v>0</v>
      </c>
      <c r="P692" s="511">
        <f t="shared" si="540"/>
        <v>0</v>
      </c>
      <c r="Q692" s="530">
        <v>31496</v>
      </c>
      <c r="R692" s="480"/>
      <c r="U692" s="513"/>
    </row>
    <row r="693" spans="1:21" s="479" customFormat="1" ht="18" x14ac:dyDescent="0.15">
      <c r="A693" s="579"/>
      <c r="B693" s="528" t="s">
        <v>408</v>
      </c>
      <c r="C693" s="519">
        <f>'FOND GASO Y D'!H59</f>
        <v>1020100.7775379547</v>
      </c>
      <c r="D693" s="517">
        <f t="shared" ref="D693:O693" si="554">$C693*D$30%</f>
        <v>79354.458237963569</v>
      </c>
      <c r="E693" s="517">
        <f t="shared" si="554"/>
        <v>87248.420807776783</v>
      </c>
      <c r="F693" s="517">
        <f t="shared" si="554"/>
        <v>84945.339786259137</v>
      </c>
      <c r="G693" s="517">
        <f t="shared" si="554"/>
        <v>79151.359178372644</v>
      </c>
      <c r="H693" s="517">
        <f t="shared" si="554"/>
        <v>87213.484323920493</v>
      </c>
      <c r="I693" s="517">
        <f t="shared" si="554"/>
        <v>84171.375414206675</v>
      </c>
      <c r="J693" s="517">
        <f t="shared" si="554"/>
        <v>85926.231711206041</v>
      </c>
      <c r="K693" s="517">
        <f t="shared" si="554"/>
        <v>85875.171748063076</v>
      </c>
      <c r="L693" s="517">
        <f t="shared" si="554"/>
        <v>89363.384545059293</v>
      </c>
      <c r="M693" s="517">
        <f t="shared" si="554"/>
        <v>88578.671187495798</v>
      </c>
      <c r="N693" s="517">
        <f t="shared" si="554"/>
        <v>82784.69057960932</v>
      </c>
      <c r="O693" s="517">
        <f t="shared" si="554"/>
        <v>85488.190019041998</v>
      </c>
      <c r="P693" s="511">
        <f t="shared" si="540"/>
        <v>-1.0199873941019177E-6</v>
      </c>
      <c r="Q693" s="530">
        <v>62342</v>
      </c>
      <c r="R693" s="480"/>
      <c r="U693" s="513"/>
    </row>
    <row r="694" spans="1:21" s="479" customFormat="1" x14ac:dyDescent="0.15">
      <c r="A694" s="579"/>
      <c r="B694" s="534"/>
      <c r="C694" s="521"/>
      <c r="D694" s="522"/>
      <c r="E694" s="522"/>
      <c r="F694" s="522"/>
      <c r="G694" s="522"/>
      <c r="H694" s="522"/>
      <c r="I694" s="522"/>
      <c r="J694" s="522"/>
      <c r="K694" s="522"/>
      <c r="L694" s="522"/>
      <c r="M694" s="522"/>
      <c r="N694" s="522"/>
      <c r="O694" s="522"/>
      <c r="P694" s="511">
        <f t="shared" si="540"/>
        <v>0</v>
      </c>
      <c r="Q694" s="530">
        <v>0</v>
      </c>
      <c r="R694" s="480"/>
      <c r="U694" s="513"/>
    </row>
    <row r="695" spans="1:21" s="479" customFormat="1" x14ac:dyDescent="0.15">
      <c r="A695" s="590"/>
      <c r="B695" s="536"/>
      <c r="C695" s="522"/>
      <c r="D695" s="522"/>
      <c r="E695" s="522"/>
      <c r="F695" s="522"/>
      <c r="G695" s="522"/>
      <c r="H695" s="522"/>
      <c r="I695" s="522"/>
      <c r="J695" s="522"/>
      <c r="K695" s="522"/>
      <c r="L695" s="522"/>
      <c r="M695" s="522"/>
      <c r="N695" s="522"/>
      <c r="O695" s="522"/>
      <c r="P695" s="511">
        <f t="shared" si="540"/>
        <v>0</v>
      </c>
      <c r="Q695" s="530">
        <v>0</v>
      </c>
      <c r="R695" s="480"/>
      <c r="U695" s="513"/>
    </row>
    <row r="696" spans="1:21" s="479" customFormat="1" x14ac:dyDescent="0.15">
      <c r="A696" s="576">
        <v>45</v>
      </c>
      <c r="B696" s="533" t="s">
        <v>127</v>
      </c>
      <c r="C696" s="524">
        <f t="shared" ref="C696:O696" si="555">SUM(C697:C708)</f>
        <v>75753058.76925391</v>
      </c>
      <c r="D696" s="524">
        <f t="shared" si="555"/>
        <v>5907780.1454136772</v>
      </c>
      <c r="E696" s="524">
        <f t="shared" si="555"/>
        <v>7876110.0799085824</v>
      </c>
      <c r="F696" s="524">
        <f t="shared" si="555"/>
        <v>5298439.4208292356</v>
      </c>
      <c r="G696" s="524">
        <f t="shared" si="555"/>
        <v>6683713.5597098442</v>
      </c>
      <c r="H696" s="524">
        <f t="shared" si="555"/>
        <v>7564931.4053911092</v>
      </c>
      <c r="I696" s="524">
        <f t="shared" si="555"/>
        <v>7511674.2951645842</v>
      </c>
      <c r="J696" s="524">
        <f t="shared" si="555"/>
        <v>6423791.036533243</v>
      </c>
      <c r="K696" s="524">
        <f t="shared" si="555"/>
        <v>6257989.6328446576</v>
      </c>
      <c r="L696" s="524">
        <f t="shared" si="555"/>
        <v>6025383.0111226998</v>
      </c>
      <c r="M696" s="524">
        <f t="shared" si="555"/>
        <v>4490981.7483014362</v>
      </c>
      <c r="N696" s="524">
        <f t="shared" si="555"/>
        <v>5821424.4344264371</v>
      </c>
      <c r="O696" s="524">
        <f t="shared" si="555"/>
        <v>5890839.9993958808</v>
      </c>
      <c r="P696" s="511">
        <f t="shared" si="540"/>
        <v>2.1251384168863297E-4</v>
      </c>
      <c r="Q696" s="530">
        <v>4328625</v>
      </c>
      <c r="R696" s="480"/>
      <c r="T696" s="512"/>
      <c r="U696" s="513"/>
    </row>
    <row r="697" spans="1:21" s="479" customFormat="1" x14ac:dyDescent="0.15">
      <c r="A697" s="579"/>
      <c r="B697" s="528" t="s">
        <v>294</v>
      </c>
      <c r="C697" s="517">
        <f>'FG1'!I60</f>
        <v>50228557.378010765</v>
      </c>
      <c r="D697" s="517">
        <f t="shared" ref="D697:O697" si="556">$C697*D$19%</f>
        <v>3799021.7977456795</v>
      </c>
      <c r="E697" s="517">
        <f t="shared" si="556"/>
        <v>5443047.3714463292</v>
      </c>
      <c r="F697" s="517">
        <f t="shared" si="556"/>
        <v>3518362.7282702895</v>
      </c>
      <c r="G697" s="517">
        <f t="shared" si="556"/>
        <v>4321952.1314021479</v>
      </c>
      <c r="H697" s="517">
        <f t="shared" si="556"/>
        <v>5278047.9111556998</v>
      </c>
      <c r="I697" s="517">
        <f t="shared" si="556"/>
        <v>5174349.7640269287</v>
      </c>
      <c r="J697" s="517">
        <f t="shared" si="556"/>
        <v>4011174.5350206317</v>
      </c>
      <c r="K697" s="517">
        <f t="shared" si="556"/>
        <v>4258803.3084793268</v>
      </c>
      <c r="L697" s="517">
        <f t="shared" si="556"/>
        <v>4002218.7873588749</v>
      </c>
      <c r="M697" s="517">
        <f t="shared" si="556"/>
        <v>2653163.4792957366</v>
      </c>
      <c r="N697" s="517">
        <f t="shared" si="556"/>
        <v>3872156.8646965655</v>
      </c>
      <c r="O697" s="517">
        <f t="shared" si="556"/>
        <v>3896258.6990623279</v>
      </c>
      <c r="P697" s="511">
        <f t="shared" si="540"/>
        <v>5.0222035497426987E-5</v>
      </c>
      <c r="Q697" s="530">
        <v>2987631</v>
      </c>
      <c r="R697" s="480"/>
      <c r="U697" s="513"/>
    </row>
    <row r="698" spans="1:21" s="479" customFormat="1" x14ac:dyDescent="0.15">
      <c r="A698" s="579"/>
      <c r="B698" s="528" t="s">
        <v>296</v>
      </c>
      <c r="C698" s="517">
        <f>FFM!J60</f>
        <v>13501230.06526483</v>
      </c>
      <c r="D698" s="517">
        <f t="shared" ref="D698:O698" si="557">$C698*D$20%</f>
        <v>1021005.4105876576</v>
      </c>
      <c r="E698" s="517">
        <f t="shared" si="557"/>
        <v>1463777.1496607156</v>
      </c>
      <c r="F698" s="517">
        <f t="shared" si="557"/>
        <v>945417.84142930189</v>
      </c>
      <c r="G698" s="517">
        <f t="shared" si="557"/>
        <v>1161841.8931843021</v>
      </c>
      <c r="H698" s="517">
        <f t="shared" si="557"/>
        <v>1419339.2205871854</v>
      </c>
      <c r="I698" s="517">
        <f t="shared" si="557"/>
        <v>1391411.0566774653</v>
      </c>
      <c r="J698" s="517">
        <f t="shared" si="557"/>
        <v>1078048.2188635373</v>
      </c>
      <c r="K698" s="517">
        <f t="shared" si="557"/>
        <v>1144740.0179667398</v>
      </c>
      <c r="L698" s="517">
        <f t="shared" si="557"/>
        <v>1075636.2360474651</v>
      </c>
      <c r="M698" s="517">
        <f t="shared" si="557"/>
        <v>712306.3852216946</v>
      </c>
      <c r="N698" s="517">
        <f t="shared" si="557"/>
        <v>1040607.7429514799</v>
      </c>
      <c r="O698" s="517">
        <f t="shared" si="557"/>
        <v>1047098.8919252709</v>
      </c>
      <c r="P698" s="511">
        <f t="shared" si="540"/>
        <v>1.6201345715671778E-4</v>
      </c>
      <c r="Q698" s="530">
        <v>914716</v>
      </c>
      <c r="R698" s="480"/>
      <c r="U698" s="513"/>
    </row>
    <row r="699" spans="1:21" s="479" customFormat="1" ht="18" x14ac:dyDescent="0.15">
      <c r="A699" s="579"/>
      <c r="B699" s="528" t="s">
        <v>297</v>
      </c>
      <c r="C699" s="517">
        <f>IEPS!I59</f>
        <v>1214727.4623997491</v>
      </c>
      <c r="D699" s="517">
        <f t="shared" ref="D699:O699" si="558">$C699*D$21%</f>
        <v>85322.239432852759</v>
      </c>
      <c r="E699" s="517">
        <f t="shared" si="558"/>
        <v>195021.61245470122</v>
      </c>
      <c r="F699" s="517">
        <f t="shared" si="558"/>
        <v>81004.140704770936</v>
      </c>
      <c r="G699" s="517">
        <f t="shared" si="558"/>
        <v>78724.68161585441</v>
      </c>
      <c r="H699" s="517">
        <f t="shared" si="558"/>
        <v>86916.379355632249</v>
      </c>
      <c r="I699" s="517">
        <f t="shared" si="558"/>
        <v>90134.017013889796</v>
      </c>
      <c r="J699" s="517">
        <f t="shared" si="558"/>
        <v>92821.375445447571</v>
      </c>
      <c r="K699" s="517">
        <f t="shared" si="558"/>
        <v>102818.90949964276</v>
      </c>
      <c r="L699" s="517">
        <f t="shared" si="558"/>
        <v>103034.36187353927</v>
      </c>
      <c r="M699" s="517">
        <f t="shared" si="558"/>
        <v>101889.21183189728</v>
      </c>
      <c r="N699" s="517">
        <f t="shared" si="558"/>
        <v>98595.044402374057</v>
      </c>
      <c r="O699" s="517">
        <f t="shared" si="558"/>
        <v>98445.488767931995</v>
      </c>
      <c r="P699" s="511">
        <f t="shared" si="540"/>
        <v>1.2148666428402066E-6</v>
      </c>
      <c r="Q699" s="530">
        <v>77157</v>
      </c>
      <c r="R699" s="480"/>
      <c r="U699" s="513"/>
    </row>
    <row r="700" spans="1:21" s="479" customFormat="1" x14ac:dyDescent="0.15">
      <c r="A700" s="579"/>
      <c r="B700" s="528" t="s">
        <v>236</v>
      </c>
      <c r="C700" s="517">
        <f>ISR!C50</f>
        <v>5546916.6799999997</v>
      </c>
      <c r="D700" s="517">
        <f>ISR!D50</f>
        <v>436823.07102991187</v>
      </c>
      <c r="E700" s="517">
        <f>ISR!E50</f>
        <v>434146.17066118633</v>
      </c>
      <c r="F700" s="517">
        <f>ISR!F50</f>
        <v>435301.50424768834</v>
      </c>
      <c r="G700" s="517">
        <f>ISR!G50</f>
        <v>437819.82941826672</v>
      </c>
      <c r="H700" s="517">
        <f>ISR!H50</f>
        <v>458434.6051774238</v>
      </c>
      <c r="I700" s="517">
        <f>ISR!I50</f>
        <v>546661.56641333119</v>
      </c>
      <c r="J700" s="517">
        <f>ISR!J50</f>
        <v>428155.55206450849</v>
      </c>
      <c r="K700" s="517">
        <f>ISR!K50</f>
        <v>433316.79720420932</v>
      </c>
      <c r="L700" s="517">
        <f>ISR!L50</f>
        <v>521756.45057096559</v>
      </c>
      <c r="M700" s="517">
        <f>ISR!M50</f>
        <v>445257.76133136952</v>
      </c>
      <c r="N700" s="517">
        <f>ISR!N50</f>
        <v>482383.823013179</v>
      </c>
      <c r="O700" s="517">
        <f>ISR!O50</f>
        <v>486859.54886796023</v>
      </c>
      <c r="P700" s="511">
        <f t="shared" si="540"/>
        <v>-8.149072527885437E-10</v>
      </c>
      <c r="Q700" s="530">
        <v>0</v>
      </c>
      <c r="R700" s="480"/>
      <c r="U700" s="513"/>
    </row>
    <row r="701" spans="1:21" s="479" customFormat="1" ht="18" x14ac:dyDescent="0.15">
      <c r="A701" s="579"/>
      <c r="B701" s="528" t="s">
        <v>298</v>
      </c>
      <c r="C701" s="517">
        <f>FOFIR!I59</f>
        <v>2349276.9337928127</v>
      </c>
      <c r="D701" s="517">
        <f t="shared" ref="D701:O701" si="559">$C701*D$23%</f>
        <v>321182.56027459219</v>
      </c>
      <c r="E701" s="517">
        <f t="shared" si="559"/>
        <v>81715.528047886517</v>
      </c>
      <c r="F701" s="517">
        <f t="shared" si="559"/>
        <v>81715.528047886517</v>
      </c>
      <c r="G701" s="517">
        <f t="shared" si="559"/>
        <v>461148.05120122142</v>
      </c>
      <c r="H701" s="517">
        <f t="shared" si="559"/>
        <v>81715.528047886517</v>
      </c>
      <c r="I701" s="517">
        <f t="shared" si="559"/>
        <v>81715.528047886517</v>
      </c>
      <c r="J701" s="517">
        <f t="shared" si="559"/>
        <v>573593.87009584415</v>
      </c>
      <c r="K701" s="517">
        <f t="shared" si="559"/>
        <v>81715.528047886517</v>
      </c>
      <c r="L701" s="517">
        <f t="shared" si="559"/>
        <v>81715.528047886517</v>
      </c>
      <c r="M701" s="517">
        <f t="shared" si="559"/>
        <v>339628.22784746002</v>
      </c>
      <c r="N701" s="517">
        <f t="shared" si="559"/>
        <v>81715.528047886517</v>
      </c>
      <c r="O701" s="517">
        <f t="shared" si="559"/>
        <v>81715.528047886517</v>
      </c>
      <c r="P701" s="511">
        <f t="shared" si="540"/>
        <v>-9.396957466378808E-6</v>
      </c>
      <c r="Q701" s="530">
        <v>90882</v>
      </c>
      <c r="R701" s="480"/>
      <c r="U701" s="513"/>
    </row>
    <row r="702" spans="1:21" s="479" customFormat="1" ht="27" x14ac:dyDescent="0.15">
      <c r="A702" s="579"/>
      <c r="B702" s="528" t="s">
        <v>407</v>
      </c>
      <c r="C702" s="517">
        <f>FCISAN!I59</f>
        <v>149135.03352504203</v>
      </c>
      <c r="D702" s="517">
        <f t="shared" ref="D702:O702" si="560">$C702*D$24%</f>
        <v>12427.91946037046</v>
      </c>
      <c r="E702" s="517">
        <f t="shared" si="560"/>
        <v>12427.91946037046</v>
      </c>
      <c r="F702" s="517">
        <f t="shared" si="560"/>
        <v>12427.91946037046</v>
      </c>
      <c r="G702" s="517">
        <f t="shared" si="560"/>
        <v>12427.91946037046</v>
      </c>
      <c r="H702" s="517">
        <f t="shared" si="560"/>
        <v>12427.91946037046</v>
      </c>
      <c r="I702" s="517">
        <f t="shared" si="560"/>
        <v>12427.91946037046</v>
      </c>
      <c r="J702" s="517">
        <f t="shared" si="560"/>
        <v>12427.91946037046</v>
      </c>
      <c r="K702" s="517">
        <f t="shared" si="560"/>
        <v>12427.91946037046</v>
      </c>
      <c r="L702" s="517">
        <f t="shared" si="560"/>
        <v>12427.91946037046</v>
      </c>
      <c r="M702" s="517">
        <f t="shared" si="560"/>
        <v>12427.91946037046</v>
      </c>
      <c r="N702" s="517">
        <f t="shared" si="560"/>
        <v>12427.91946037046</v>
      </c>
      <c r="O702" s="517">
        <f t="shared" si="560"/>
        <v>12427.91946037046</v>
      </c>
      <c r="P702" s="511">
        <f t="shared" si="540"/>
        <v>5.9646845329552889E-7</v>
      </c>
      <c r="Q702" s="530">
        <v>10811</v>
      </c>
      <c r="R702" s="480"/>
      <c r="U702" s="513"/>
    </row>
    <row r="703" spans="1:21" s="479" customFormat="1" ht="27" x14ac:dyDescent="0.15">
      <c r="A703" s="579"/>
      <c r="B703" s="528" t="s">
        <v>242</v>
      </c>
      <c r="C703" s="517">
        <f>ISAN!I59</f>
        <v>744946.98233410856</v>
      </c>
      <c r="D703" s="517">
        <f t="shared" ref="D703:O703" si="561">$C703*D$25%</f>
        <v>71688.935524873712</v>
      </c>
      <c r="E703" s="517">
        <f t="shared" si="561"/>
        <v>80069.054836659096</v>
      </c>
      <c r="F703" s="517">
        <f t="shared" si="561"/>
        <v>62140.656035132568</v>
      </c>
      <c r="G703" s="517">
        <f t="shared" si="561"/>
        <v>57672.938654224068</v>
      </c>
      <c r="H703" s="517">
        <f t="shared" si="561"/>
        <v>61665.12218026242</v>
      </c>
      <c r="I703" s="517">
        <f t="shared" si="561"/>
        <v>53558.034934227187</v>
      </c>
      <c r="J703" s="517">
        <f t="shared" si="561"/>
        <v>58021.919131587267</v>
      </c>
      <c r="K703" s="517">
        <f t="shared" si="561"/>
        <v>59835.850348430962</v>
      </c>
      <c r="L703" s="517">
        <f t="shared" si="561"/>
        <v>58796.578435308867</v>
      </c>
      <c r="M703" s="517">
        <f t="shared" si="561"/>
        <v>60238.520614907065</v>
      </c>
      <c r="N703" s="517">
        <f t="shared" si="561"/>
        <v>58324.879340294967</v>
      </c>
      <c r="O703" s="517">
        <f t="shared" si="561"/>
        <v>62934.492289261034</v>
      </c>
      <c r="P703" s="511">
        <f t="shared" si="540"/>
        <v>8.9393870439380407E-6</v>
      </c>
      <c r="Q703" s="530">
        <v>46443</v>
      </c>
      <c r="R703" s="480"/>
      <c r="U703" s="513"/>
    </row>
    <row r="704" spans="1:21" s="479" customFormat="1" ht="18" x14ac:dyDescent="0.15">
      <c r="A704" s="579"/>
      <c r="B704" s="528" t="s">
        <v>403</v>
      </c>
      <c r="C704" s="517">
        <f>LOT!I59</f>
        <v>36060.644866226794</v>
      </c>
      <c r="D704" s="517">
        <f t="shared" ref="D704:O704" si="562">$C704*D$26%</f>
        <v>2726.5593838708041</v>
      </c>
      <c r="E704" s="517">
        <f t="shared" si="562"/>
        <v>2687.9122193660178</v>
      </c>
      <c r="F704" s="517">
        <f t="shared" si="562"/>
        <v>2641.8877776905688</v>
      </c>
      <c r="G704" s="517">
        <f t="shared" si="562"/>
        <v>2906.6664805930027</v>
      </c>
      <c r="H704" s="517">
        <f t="shared" si="562"/>
        <v>2378.1822501090628</v>
      </c>
      <c r="I704" s="517">
        <f t="shared" si="562"/>
        <v>3227.3145629573505</v>
      </c>
      <c r="J704" s="517">
        <f t="shared" si="562"/>
        <v>7406.6834519107506</v>
      </c>
      <c r="K704" s="517">
        <f t="shared" si="562"/>
        <v>2696.2984098772408</v>
      </c>
      <c r="L704" s="517">
        <f t="shared" si="562"/>
        <v>3271.6232093279104</v>
      </c>
      <c r="M704" s="517">
        <f t="shared" si="562"/>
        <v>2025.5831032311971</v>
      </c>
      <c r="N704" s="517">
        <f t="shared" si="562"/>
        <v>2045.967008430081</v>
      </c>
      <c r="O704" s="517">
        <f t="shared" si="562"/>
        <v>2045.967008430081</v>
      </c>
      <c r="P704" s="511">
        <f t="shared" si="540"/>
        <v>4.3273030314594507E-7</v>
      </c>
      <c r="Q704" s="530">
        <v>2268</v>
      </c>
      <c r="R704" s="480"/>
      <c r="U704" s="513"/>
    </row>
    <row r="705" spans="1:21" s="479" customFormat="1" ht="45" x14ac:dyDescent="0.15">
      <c r="A705" s="579"/>
      <c r="B705" s="518" t="s">
        <v>301</v>
      </c>
      <c r="C705" s="517">
        <f>'ENAJENAC DE INMUE'!I59</f>
        <v>141794.73597484961</v>
      </c>
      <c r="D705" s="517">
        <f t="shared" ref="D705:O705" si="563">$C705*D$27%</f>
        <v>6123.5074316407672</v>
      </c>
      <c r="E705" s="517">
        <f t="shared" si="563"/>
        <v>6213.7005609426651</v>
      </c>
      <c r="F705" s="517">
        <f t="shared" si="563"/>
        <v>6129.9315672170669</v>
      </c>
      <c r="G705" s="517">
        <f t="shared" si="563"/>
        <v>6094.0241355648232</v>
      </c>
      <c r="H705" s="517">
        <f t="shared" si="563"/>
        <v>8453.575287242973</v>
      </c>
      <c r="I705" s="517">
        <f t="shared" si="563"/>
        <v>6084.6940419376779</v>
      </c>
      <c r="J705" s="517">
        <f t="shared" si="563"/>
        <v>6993.0111025789192</v>
      </c>
      <c r="K705" s="517">
        <f t="shared" si="563"/>
        <v>6985.8129344948065</v>
      </c>
      <c r="L705" s="517">
        <f t="shared" si="563"/>
        <v>6976.9632747549085</v>
      </c>
      <c r="M705" s="517">
        <f t="shared" si="563"/>
        <v>6093.0265679095874</v>
      </c>
      <c r="N705" s="517">
        <f t="shared" si="563"/>
        <v>25332.563758949247</v>
      </c>
      <c r="O705" s="517">
        <f t="shared" si="563"/>
        <v>50313.925311332576</v>
      </c>
      <c r="P705" s="511">
        <f t="shared" si="540"/>
        <v>2.8360227588564157E-7</v>
      </c>
      <c r="Q705" s="530">
        <v>33100</v>
      </c>
      <c r="R705" s="480"/>
      <c r="U705" s="513"/>
    </row>
    <row r="706" spans="1:21" s="479" customFormat="1" ht="27" x14ac:dyDescent="0.15">
      <c r="A706" s="579"/>
      <c r="B706" s="518" t="s">
        <v>248</v>
      </c>
      <c r="C706" s="517">
        <f>'IMP BEBIDAS AL'!I59</f>
        <v>55420.875883018962</v>
      </c>
      <c r="D706" s="517">
        <f t="shared" ref="D706:O706" si="564">$C706*D$28%</f>
        <v>12602.185965383782</v>
      </c>
      <c r="E706" s="517">
        <f t="shared" si="564"/>
        <v>4334.6943222594709</v>
      </c>
      <c r="F706" s="517">
        <f t="shared" si="564"/>
        <v>4658.2925558638362</v>
      </c>
      <c r="G706" s="517">
        <f t="shared" si="564"/>
        <v>4624.8522245290451</v>
      </c>
      <c r="H706" s="517">
        <f t="shared" si="564"/>
        <v>2945.1281830973835</v>
      </c>
      <c r="I706" s="517">
        <f t="shared" si="564"/>
        <v>4819.7070093912862</v>
      </c>
      <c r="J706" s="517">
        <f t="shared" si="564"/>
        <v>4792.5775916245339</v>
      </c>
      <c r="K706" s="517">
        <f t="shared" si="564"/>
        <v>4383.1618948757632</v>
      </c>
      <c r="L706" s="517">
        <f t="shared" si="564"/>
        <v>3178.7923460578309</v>
      </c>
      <c r="M706" s="517">
        <f t="shared" si="564"/>
        <v>2954.9690672973993</v>
      </c>
      <c r="N706" s="517">
        <f t="shared" si="564"/>
        <v>2975.8565875981762</v>
      </c>
      <c r="O706" s="517">
        <f t="shared" si="564"/>
        <v>3150.6581350404585</v>
      </c>
      <c r="P706" s="511">
        <f t="shared" si="540"/>
        <v>0</v>
      </c>
      <c r="Q706" s="530">
        <v>1417</v>
      </c>
      <c r="R706" s="480"/>
      <c r="U706" s="513"/>
    </row>
    <row r="707" spans="1:21" s="479" customFormat="1" ht="18" x14ac:dyDescent="0.15">
      <c r="A707" s="579"/>
      <c r="B707" s="518" t="s">
        <v>253</v>
      </c>
      <c r="C707" s="517">
        <f>'FOND GASO Y D'!Q60</f>
        <v>0</v>
      </c>
      <c r="D707" s="517">
        <f t="shared" ref="D707:O707" si="565">$C707*D$29%</f>
        <v>0</v>
      </c>
      <c r="E707" s="517">
        <f t="shared" si="565"/>
        <v>0</v>
      </c>
      <c r="F707" s="517">
        <f t="shared" si="565"/>
        <v>0</v>
      </c>
      <c r="G707" s="517">
        <f t="shared" si="565"/>
        <v>0</v>
      </c>
      <c r="H707" s="517">
        <f t="shared" si="565"/>
        <v>0</v>
      </c>
      <c r="I707" s="517">
        <f t="shared" si="565"/>
        <v>0</v>
      </c>
      <c r="J707" s="517">
        <f t="shared" si="565"/>
        <v>0</v>
      </c>
      <c r="K707" s="517">
        <f t="shared" si="565"/>
        <v>0</v>
      </c>
      <c r="L707" s="517">
        <f t="shared" si="565"/>
        <v>0</v>
      </c>
      <c r="M707" s="517">
        <f t="shared" si="565"/>
        <v>0</v>
      </c>
      <c r="N707" s="517">
        <f t="shared" si="565"/>
        <v>0</v>
      </c>
      <c r="O707" s="517">
        <f t="shared" si="565"/>
        <v>0</v>
      </c>
      <c r="P707" s="511">
        <f t="shared" si="540"/>
        <v>0</v>
      </c>
      <c r="Q707" s="530">
        <v>55111</v>
      </c>
      <c r="R707" s="480"/>
      <c r="U707" s="513"/>
    </row>
    <row r="708" spans="1:21" s="479" customFormat="1" ht="18" x14ac:dyDescent="0.15">
      <c r="A708" s="579"/>
      <c r="B708" s="528" t="s">
        <v>408</v>
      </c>
      <c r="C708" s="519">
        <f>'FOND GASO Y D'!H60</f>
        <v>1784991.9772025133</v>
      </c>
      <c r="D708" s="517">
        <f t="shared" ref="D708:O708" si="566">$C708*D$30%</f>
        <v>138855.95857684425</v>
      </c>
      <c r="E708" s="517">
        <f t="shared" si="566"/>
        <v>152668.96623816746</v>
      </c>
      <c r="F708" s="517">
        <f t="shared" si="566"/>
        <v>148638.99073302338</v>
      </c>
      <c r="G708" s="517">
        <f t="shared" si="566"/>
        <v>138500.57193276958</v>
      </c>
      <c r="H708" s="517">
        <f t="shared" si="566"/>
        <v>152607.83370619777</v>
      </c>
      <c r="I708" s="517">
        <f t="shared" si="566"/>
        <v>147284.69297619924</v>
      </c>
      <c r="J708" s="517">
        <f t="shared" si="566"/>
        <v>150355.37430520219</v>
      </c>
      <c r="K708" s="517">
        <f t="shared" si="566"/>
        <v>150266.028598804</v>
      </c>
      <c r="L708" s="517">
        <f t="shared" si="566"/>
        <v>156369.77049814956</v>
      </c>
      <c r="M708" s="517">
        <f t="shared" si="566"/>
        <v>154996.6639595631</v>
      </c>
      <c r="N708" s="517">
        <f t="shared" si="566"/>
        <v>144858.24515930933</v>
      </c>
      <c r="O708" s="517">
        <f t="shared" si="566"/>
        <v>149588.88052006837</v>
      </c>
      <c r="P708" s="511">
        <f t="shared" si="540"/>
        <v>-1.7848797142505646E-6</v>
      </c>
      <c r="Q708" s="530">
        <v>109089</v>
      </c>
      <c r="R708" s="480"/>
      <c r="U708" s="513"/>
    </row>
    <row r="709" spans="1:21" s="479" customFormat="1" x14ac:dyDescent="0.15">
      <c r="A709" s="579"/>
      <c r="B709" s="534"/>
      <c r="C709" s="521"/>
      <c r="D709" s="522"/>
      <c r="E709" s="522"/>
      <c r="F709" s="522"/>
      <c r="G709" s="522"/>
      <c r="H709" s="522"/>
      <c r="I709" s="522"/>
      <c r="J709" s="522"/>
      <c r="K709" s="522"/>
      <c r="L709" s="522"/>
      <c r="M709" s="522"/>
      <c r="N709" s="522"/>
      <c r="O709" s="522"/>
      <c r="P709" s="511">
        <f t="shared" si="540"/>
        <v>0</v>
      </c>
      <c r="Q709" s="530">
        <v>0</v>
      </c>
      <c r="R709" s="480"/>
      <c r="U709" s="513"/>
    </row>
    <row r="710" spans="1:21" s="479" customFormat="1" x14ac:dyDescent="0.15">
      <c r="A710" s="591"/>
      <c r="B710" s="532"/>
      <c r="C710" s="521"/>
      <c r="D710" s="521"/>
      <c r="E710" s="521"/>
      <c r="F710" s="521"/>
      <c r="G710" s="521"/>
      <c r="H710" s="521"/>
      <c r="I710" s="521"/>
      <c r="J710" s="521"/>
      <c r="K710" s="521"/>
      <c r="L710" s="521"/>
      <c r="M710" s="521"/>
      <c r="N710" s="521"/>
      <c r="O710" s="521"/>
      <c r="P710" s="511">
        <f t="shared" si="540"/>
        <v>0</v>
      </c>
      <c r="Q710" s="530">
        <v>0</v>
      </c>
      <c r="R710" s="480"/>
      <c r="U710" s="513"/>
    </row>
    <row r="711" spans="1:21" s="479" customFormat="1" x14ac:dyDescent="0.15">
      <c r="A711" s="576">
        <v>46</v>
      </c>
      <c r="B711" s="533" t="s">
        <v>119</v>
      </c>
      <c r="C711" s="524">
        <f t="shared" ref="C711:O711" si="567">SUM(C712:C723)</f>
        <v>39712955.333175205</v>
      </c>
      <c r="D711" s="524">
        <f t="shared" si="567"/>
        <v>3123595.7237026887</v>
      </c>
      <c r="E711" s="524">
        <f t="shared" si="567"/>
        <v>4190249.2810866395</v>
      </c>
      <c r="F711" s="524">
        <f t="shared" si="567"/>
        <v>2793954.8937252406</v>
      </c>
      <c r="G711" s="524">
        <f t="shared" si="567"/>
        <v>3545051.8955147197</v>
      </c>
      <c r="H711" s="524">
        <f t="shared" si="567"/>
        <v>4008633.7496461389</v>
      </c>
      <c r="I711" s="524">
        <f t="shared" si="567"/>
        <v>3912185.8091485174</v>
      </c>
      <c r="J711" s="524">
        <f t="shared" si="567"/>
        <v>3401000.3609308954</v>
      </c>
      <c r="K711" s="524">
        <f t="shared" si="567"/>
        <v>3294979.3353799772</v>
      </c>
      <c r="L711" s="524">
        <f t="shared" si="567"/>
        <v>3084118.2523056366</v>
      </c>
      <c r="M711" s="524">
        <f t="shared" si="567"/>
        <v>2313709.3507761303</v>
      </c>
      <c r="N711" s="524">
        <f t="shared" si="567"/>
        <v>3007728.3616525601</v>
      </c>
      <c r="O711" s="524">
        <f t="shared" si="567"/>
        <v>3037748.3191911248</v>
      </c>
      <c r="P711" s="511">
        <f t="shared" si="540"/>
        <v>1.1493824422359467E-4</v>
      </c>
      <c r="Q711" s="530">
        <v>2367486</v>
      </c>
      <c r="R711" s="480"/>
      <c r="T711" s="512"/>
      <c r="U711" s="513"/>
    </row>
    <row r="712" spans="1:21" s="479" customFormat="1" x14ac:dyDescent="0.15">
      <c r="A712" s="579"/>
      <c r="B712" s="528" t="s">
        <v>294</v>
      </c>
      <c r="C712" s="517">
        <f>'FG1'!I61</f>
        <v>27191699.923074607</v>
      </c>
      <c r="D712" s="517">
        <f t="shared" ref="D712:O712" si="568">$C712*D$19%</f>
        <v>2056636.0277498991</v>
      </c>
      <c r="E712" s="517">
        <f t="shared" si="568"/>
        <v>2946644.6682429118</v>
      </c>
      <c r="F712" s="517">
        <f t="shared" si="568"/>
        <v>1904698.61213929</v>
      </c>
      <c r="G712" s="517">
        <f t="shared" si="568"/>
        <v>2339729.2610762655</v>
      </c>
      <c r="H712" s="517">
        <f t="shared" si="568"/>
        <v>2857320.6652076142</v>
      </c>
      <c r="I712" s="517">
        <f t="shared" si="568"/>
        <v>2801182.7021344635</v>
      </c>
      <c r="J712" s="517">
        <f t="shared" si="568"/>
        <v>2171486.8988673897</v>
      </c>
      <c r="K712" s="517">
        <f t="shared" si="568"/>
        <v>2305543.0544032371</v>
      </c>
      <c r="L712" s="517">
        <f t="shared" si="568"/>
        <v>2166638.621000825</v>
      </c>
      <c r="M712" s="517">
        <f t="shared" si="568"/>
        <v>1436314.8961840123</v>
      </c>
      <c r="N712" s="517">
        <f t="shared" si="568"/>
        <v>2096228.3811479099</v>
      </c>
      <c r="O712" s="517">
        <f t="shared" si="568"/>
        <v>2109276.134893598</v>
      </c>
      <c r="P712" s="511">
        <f t="shared" si="540"/>
        <v>2.7192756533622742E-5</v>
      </c>
      <c r="Q712" s="530">
        <v>1626828</v>
      </c>
      <c r="R712" s="480"/>
      <c r="U712" s="513"/>
    </row>
    <row r="713" spans="1:21" s="479" customFormat="1" x14ac:dyDescent="0.15">
      <c r="A713" s="579"/>
      <c r="B713" s="528" t="s">
        <v>296</v>
      </c>
      <c r="C713" s="517">
        <f>FFM!J61</f>
        <v>7309017.3337885663</v>
      </c>
      <c r="D713" s="517">
        <f t="shared" ref="D713:O713" si="569">$C713*D$20%</f>
        <v>552730.84065697843</v>
      </c>
      <c r="E713" s="517">
        <f t="shared" si="569"/>
        <v>792429.46812668303</v>
      </c>
      <c r="F713" s="517">
        <f t="shared" si="569"/>
        <v>511810.8022214637</v>
      </c>
      <c r="G713" s="517">
        <f t="shared" si="569"/>
        <v>628973.98943325225</v>
      </c>
      <c r="H713" s="517">
        <f t="shared" si="569"/>
        <v>768372.5790650174</v>
      </c>
      <c r="I713" s="517">
        <f t="shared" si="569"/>
        <v>753253.40598743246</v>
      </c>
      <c r="J713" s="517">
        <f t="shared" si="569"/>
        <v>583611.49911853799</v>
      </c>
      <c r="K713" s="517">
        <f t="shared" si="569"/>
        <v>619715.72912650881</v>
      </c>
      <c r="L713" s="517">
        <f t="shared" si="569"/>
        <v>582305.74963302794</v>
      </c>
      <c r="M713" s="517">
        <f t="shared" si="569"/>
        <v>385613.73233302648</v>
      </c>
      <c r="N713" s="517">
        <f t="shared" si="569"/>
        <v>563342.74685643415</v>
      </c>
      <c r="O713" s="517">
        <f t="shared" si="569"/>
        <v>566856.79114249547</v>
      </c>
      <c r="P713" s="511">
        <f t="shared" si="540"/>
        <v>8.7707769125699997E-5</v>
      </c>
      <c r="Q713" s="530">
        <v>498080</v>
      </c>
      <c r="R713" s="480"/>
      <c r="U713" s="513"/>
    </row>
    <row r="714" spans="1:21" s="479" customFormat="1" ht="18" x14ac:dyDescent="0.15">
      <c r="A714" s="579"/>
      <c r="B714" s="528" t="s">
        <v>297</v>
      </c>
      <c r="C714" s="517">
        <f>IEPS!I60</f>
        <v>657604.08759722963</v>
      </c>
      <c r="D714" s="517">
        <f t="shared" ref="D714:O714" si="570">$C714*D$21%</f>
        <v>46189.993353035024</v>
      </c>
      <c r="E714" s="517">
        <f t="shared" si="570"/>
        <v>105576.77626441122</v>
      </c>
      <c r="F714" s="517">
        <f t="shared" si="570"/>
        <v>43852.350167933037</v>
      </c>
      <c r="G714" s="517">
        <f t="shared" si="570"/>
        <v>42618.343643193024</v>
      </c>
      <c r="H714" s="517">
        <f t="shared" si="570"/>
        <v>47052.995929226665</v>
      </c>
      <c r="I714" s="517">
        <f t="shared" si="570"/>
        <v>48794.894208447935</v>
      </c>
      <c r="J714" s="517">
        <f t="shared" si="570"/>
        <v>50249.720862272035</v>
      </c>
      <c r="K714" s="517">
        <f t="shared" si="570"/>
        <v>55661.979548630537</v>
      </c>
      <c r="L714" s="517">
        <f t="shared" si="570"/>
        <v>55778.616708933951</v>
      </c>
      <c r="M714" s="517">
        <f t="shared" si="570"/>
        <v>55158.679009651001</v>
      </c>
      <c r="N714" s="517">
        <f t="shared" si="570"/>
        <v>53375.35062205977</v>
      </c>
      <c r="O714" s="517">
        <f t="shared" si="570"/>
        <v>53294.387278777809</v>
      </c>
      <c r="P714" s="511">
        <f t="shared" si="540"/>
        <v>6.5755011746659875E-7</v>
      </c>
      <c r="Q714" s="530">
        <v>42013</v>
      </c>
      <c r="R714" s="480"/>
      <c r="U714" s="513"/>
    </row>
    <row r="715" spans="1:21" s="479" customFormat="1" x14ac:dyDescent="0.15">
      <c r="A715" s="579"/>
      <c r="B715" s="528" t="s">
        <v>236</v>
      </c>
      <c r="C715" s="517">
        <f>ISR!C51</f>
        <v>1586848.9</v>
      </c>
      <c r="D715" s="517">
        <f>ISR!D51</f>
        <v>152557.23775710815</v>
      </c>
      <c r="E715" s="517">
        <f>ISR!E51</f>
        <v>151264.17652717879</v>
      </c>
      <c r="F715" s="517">
        <f>ISR!F51</f>
        <v>151310.8561252123</v>
      </c>
      <c r="G715" s="517">
        <f>ISR!G51</f>
        <v>154517.95669009583</v>
      </c>
      <c r="H715" s="517">
        <f>ISR!H51</f>
        <v>151260.99382731304</v>
      </c>
      <c r="I715" s="517">
        <f>ISR!I51</f>
        <v>131762.71354878345</v>
      </c>
      <c r="J715" s="517">
        <f>ISR!J51</f>
        <v>145153.3927846287</v>
      </c>
      <c r="K715" s="517">
        <f>ISR!K51</f>
        <v>131690.57235182283</v>
      </c>
      <c r="L715" s="517">
        <f>ISR!L51</f>
        <v>94222.768630356586</v>
      </c>
      <c r="M715" s="517">
        <f>ISR!M51</f>
        <v>113154.89156675924</v>
      </c>
      <c r="N715" s="517">
        <f>ISR!N51</f>
        <v>107702.74391916717</v>
      </c>
      <c r="O715" s="517">
        <f>ISR!O51</f>
        <v>102250.59627157413</v>
      </c>
      <c r="P715" s="511">
        <f t="shared" si="540"/>
        <v>-3.92901711165905E-10</v>
      </c>
      <c r="Q715" s="530">
        <v>0</v>
      </c>
      <c r="R715" s="480"/>
      <c r="U715" s="513"/>
    </row>
    <row r="716" spans="1:21" s="479" customFormat="1" ht="18" x14ac:dyDescent="0.15">
      <c r="A716" s="579"/>
      <c r="B716" s="528" t="s">
        <v>298</v>
      </c>
      <c r="C716" s="517">
        <f>FOFIR!I60</f>
        <v>1271803.0689024117</v>
      </c>
      <c r="D716" s="517">
        <f t="shared" ref="D716:O716" si="571">$C716*D$23%</f>
        <v>173875.18685406071</v>
      </c>
      <c r="E716" s="517">
        <f t="shared" si="571"/>
        <v>44237.466368215151</v>
      </c>
      <c r="F716" s="517">
        <f t="shared" si="571"/>
        <v>44237.466368215151</v>
      </c>
      <c r="G716" s="517">
        <f t="shared" si="571"/>
        <v>249646.81613300322</v>
      </c>
      <c r="H716" s="517">
        <f t="shared" si="571"/>
        <v>44237.466368215151</v>
      </c>
      <c r="I716" s="517">
        <f t="shared" si="571"/>
        <v>44237.466368215151</v>
      </c>
      <c r="J716" s="517">
        <f t="shared" si="571"/>
        <v>310520.4132378553</v>
      </c>
      <c r="K716" s="517">
        <f t="shared" si="571"/>
        <v>44237.466368215151</v>
      </c>
      <c r="L716" s="517">
        <f t="shared" si="571"/>
        <v>44237.466368215151</v>
      </c>
      <c r="M716" s="517">
        <f t="shared" si="571"/>
        <v>183860.92173685849</v>
      </c>
      <c r="N716" s="517">
        <f t="shared" si="571"/>
        <v>44237.466368215151</v>
      </c>
      <c r="O716" s="517">
        <f t="shared" si="571"/>
        <v>44237.466368215151</v>
      </c>
      <c r="P716" s="511">
        <f t="shared" si="540"/>
        <v>-5.0872768042609096E-6</v>
      </c>
      <c r="Q716" s="530">
        <v>49486</v>
      </c>
      <c r="R716" s="480"/>
      <c r="U716" s="513"/>
    </row>
    <row r="717" spans="1:21" s="479" customFormat="1" ht="27" x14ac:dyDescent="0.15">
      <c r="A717" s="579"/>
      <c r="B717" s="528" t="s">
        <v>407</v>
      </c>
      <c r="C717" s="517">
        <f>FCISAN!I60</f>
        <v>80735.647036638344</v>
      </c>
      <c r="D717" s="517">
        <f t="shared" ref="D717:O717" si="572">$C717*D$24%</f>
        <v>6727.9705863596173</v>
      </c>
      <c r="E717" s="517">
        <f t="shared" si="572"/>
        <v>6727.9705863596173</v>
      </c>
      <c r="F717" s="517">
        <f t="shared" si="572"/>
        <v>6727.9705863596173</v>
      </c>
      <c r="G717" s="517">
        <f t="shared" si="572"/>
        <v>6727.9705863596173</v>
      </c>
      <c r="H717" s="517">
        <f t="shared" si="572"/>
        <v>6727.9705863596173</v>
      </c>
      <c r="I717" s="517">
        <f t="shared" si="572"/>
        <v>6727.9705863596173</v>
      </c>
      <c r="J717" s="517">
        <f t="shared" si="572"/>
        <v>6727.9705863596173</v>
      </c>
      <c r="K717" s="517">
        <f t="shared" si="572"/>
        <v>6727.9705863596173</v>
      </c>
      <c r="L717" s="517">
        <f t="shared" si="572"/>
        <v>6727.9705863596173</v>
      </c>
      <c r="M717" s="517">
        <f t="shared" si="572"/>
        <v>6727.9705863596173</v>
      </c>
      <c r="N717" s="517">
        <f t="shared" si="572"/>
        <v>6727.9705863596173</v>
      </c>
      <c r="O717" s="517">
        <f t="shared" si="572"/>
        <v>6727.9705863596173</v>
      </c>
      <c r="P717" s="511">
        <f t="shared" si="540"/>
        <v>3.2293610274791718E-7</v>
      </c>
      <c r="Q717" s="530">
        <v>5889</v>
      </c>
      <c r="R717" s="480"/>
      <c r="U717" s="513"/>
    </row>
    <row r="718" spans="1:21" s="479" customFormat="1" ht="27" x14ac:dyDescent="0.15">
      <c r="A718" s="579"/>
      <c r="B718" s="528" t="s">
        <v>242</v>
      </c>
      <c r="C718" s="517">
        <f>ISAN!I60</f>
        <v>403284.02525645588</v>
      </c>
      <c r="D718" s="517">
        <f t="shared" ref="D718:O718" si="573">$C718*D$25%</f>
        <v>38809.476607631965</v>
      </c>
      <c r="E718" s="517">
        <f t="shared" si="573"/>
        <v>43346.13267622509</v>
      </c>
      <c r="F718" s="517">
        <f t="shared" si="573"/>
        <v>33640.426086974316</v>
      </c>
      <c r="G718" s="517">
        <f t="shared" si="573"/>
        <v>31221.785442997691</v>
      </c>
      <c r="H718" s="517">
        <f t="shared" si="573"/>
        <v>33382.991381303218</v>
      </c>
      <c r="I718" s="517">
        <f t="shared" si="573"/>
        <v>28994.143778427751</v>
      </c>
      <c r="J718" s="517">
        <f t="shared" si="573"/>
        <v>31410.709292592976</v>
      </c>
      <c r="K718" s="517">
        <f t="shared" si="573"/>
        <v>32392.697944154461</v>
      </c>
      <c r="L718" s="517">
        <f t="shared" si="573"/>
        <v>31830.078361286101</v>
      </c>
      <c r="M718" s="517">
        <f t="shared" si="573"/>
        <v>32610.687263886666</v>
      </c>
      <c r="N718" s="517">
        <f t="shared" si="573"/>
        <v>31574.719638775408</v>
      </c>
      <c r="O718" s="517">
        <f t="shared" si="573"/>
        <v>34070.17677736083</v>
      </c>
      <c r="P718" s="511">
        <f t="shared" si="540"/>
        <v>4.8393849283456802E-6</v>
      </c>
      <c r="Q718" s="530">
        <v>25289</v>
      </c>
      <c r="R718" s="480"/>
      <c r="U718" s="513"/>
    </row>
    <row r="719" spans="1:21" s="479" customFormat="1" ht="18" x14ac:dyDescent="0.15">
      <c r="A719" s="579"/>
      <c r="B719" s="528" t="s">
        <v>403</v>
      </c>
      <c r="C719" s="517">
        <f>LOT!I60</f>
        <v>19521.767803434232</v>
      </c>
      <c r="D719" s="517">
        <f t="shared" ref="D719:O719" si="574">$C719*D$26%</f>
        <v>1476.0484564725971</v>
      </c>
      <c r="E719" s="517">
        <f t="shared" si="574"/>
        <v>1455.1264520402756</v>
      </c>
      <c r="F719" s="517">
        <f t="shared" si="574"/>
        <v>1430.2106895239958</v>
      </c>
      <c r="G719" s="517">
        <f t="shared" si="574"/>
        <v>1573.5511199719513</v>
      </c>
      <c r="H719" s="517">
        <f t="shared" si="574"/>
        <v>1287.4512325862268</v>
      </c>
      <c r="I719" s="517">
        <f t="shared" si="574"/>
        <v>1747.1369622039576</v>
      </c>
      <c r="J719" s="517">
        <f t="shared" si="574"/>
        <v>4009.6774496997436</v>
      </c>
      <c r="K719" s="517">
        <f t="shared" si="574"/>
        <v>1459.6663948095406</v>
      </c>
      <c r="L719" s="517">
        <f t="shared" si="574"/>
        <v>1771.1238628636479</v>
      </c>
      <c r="M719" s="517">
        <f t="shared" si="574"/>
        <v>1096.5683823606219</v>
      </c>
      <c r="N719" s="517">
        <f t="shared" si="574"/>
        <v>1107.6034003337063</v>
      </c>
      <c r="O719" s="517">
        <f t="shared" si="574"/>
        <v>1107.6034003337063</v>
      </c>
      <c r="P719" s="511">
        <f t="shared" si="540"/>
        <v>2.342594598303549E-7</v>
      </c>
      <c r="Q719" s="530">
        <v>1235</v>
      </c>
      <c r="R719" s="480"/>
      <c r="U719" s="513"/>
    </row>
    <row r="720" spans="1:21" s="479" customFormat="1" ht="45" x14ac:dyDescent="0.15">
      <c r="A720" s="579"/>
      <c r="B720" s="518" t="s">
        <v>301</v>
      </c>
      <c r="C720" s="517">
        <f>'ENAJENAC DE INMUE'!I60</f>
        <v>76761.908216532567</v>
      </c>
      <c r="D720" s="517">
        <f t="shared" ref="D720:O720" si="575">$C720*D$27%</f>
        <v>3315.0180942841043</v>
      </c>
      <c r="E720" s="517">
        <f t="shared" si="575"/>
        <v>3363.844989483247</v>
      </c>
      <c r="F720" s="517">
        <f t="shared" si="575"/>
        <v>3318.4958602398583</v>
      </c>
      <c r="G720" s="517">
        <f t="shared" si="575"/>
        <v>3299.0570358446435</v>
      </c>
      <c r="H720" s="517">
        <f t="shared" si="575"/>
        <v>4576.4221488165249</v>
      </c>
      <c r="I720" s="517">
        <f t="shared" si="575"/>
        <v>3294.0061022839955</v>
      </c>
      <c r="J720" s="517">
        <f t="shared" si="575"/>
        <v>3785.7320493799489</v>
      </c>
      <c r="K720" s="517">
        <f t="shared" si="575"/>
        <v>3781.8352536773368</v>
      </c>
      <c r="L720" s="517">
        <f t="shared" si="575"/>
        <v>3777.0444075007758</v>
      </c>
      <c r="M720" s="517">
        <f t="shared" si="575"/>
        <v>3298.516993252339</v>
      </c>
      <c r="N720" s="517">
        <f t="shared" si="575"/>
        <v>13714.020628373923</v>
      </c>
      <c r="O720" s="517">
        <f t="shared" si="575"/>
        <v>27237.914653242347</v>
      </c>
      <c r="P720" s="511">
        <f t="shared" si="540"/>
        <v>1.535154297016561E-7</v>
      </c>
      <c r="Q720" s="530">
        <v>18025</v>
      </c>
      <c r="R720" s="480"/>
      <c r="U720" s="513"/>
    </row>
    <row r="721" spans="1:21" s="479" customFormat="1" ht="27" x14ac:dyDescent="0.15">
      <c r="A721" s="579"/>
      <c r="B721" s="518" t="s">
        <v>248</v>
      </c>
      <c r="C721" s="517">
        <f>'IMP BEBIDAS AL'!I60</f>
        <v>30002.610171415123</v>
      </c>
      <c r="D721" s="517">
        <f t="shared" ref="D721:O721" si="576">$C721*D$28%</f>
        <v>6822.3113908406895</v>
      </c>
      <c r="E721" s="517">
        <f t="shared" si="576"/>
        <v>2346.6273654264919</v>
      </c>
      <c r="F721" s="517">
        <f t="shared" si="576"/>
        <v>2521.8102996602161</v>
      </c>
      <c r="G721" s="517">
        <f t="shared" si="576"/>
        <v>2503.7070631260544</v>
      </c>
      <c r="H721" s="517">
        <f t="shared" si="576"/>
        <v>1594.3727228135165</v>
      </c>
      <c r="I721" s="517">
        <f t="shared" si="576"/>
        <v>2609.1935257109599</v>
      </c>
      <c r="J721" s="517">
        <f t="shared" si="576"/>
        <v>2594.5067613380656</v>
      </c>
      <c r="K721" s="517">
        <f t="shared" si="576"/>
        <v>2372.8657397573265</v>
      </c>
      <c r="L721" s="517">
        <f t="shared" si="576"/>
        <v>1720.8690056786591</v>
      </c>
      <c r="M721" s="517">
        <f t="shared" si="576"/>
        <v>1599.7001776343016</v>
      </c>
      <c r="N721" s="517">
        <f t="shared" si="576"/>
        <v>1611.0078323591115</v>
      </c>
      <c r="O721" s="517">
        <f t="shared" si="576"/>
        <v>1705.6382870697316</v>
      </c>
      <c r="P721" s="511">
        <f t="shared" si="540"/>
        <v>0</v>
      </c>
      <c r="Q721" s="530">
        <v>771</v>
      </c>
      <c r="R721" s="480"/>
      <c r="U721" s="513"/>
    </row>
    <row r="722" spans="1:21" s="479" customFormat="1" ht="18" x14ac:dyDescent="0.15">
      <c r="A722" s="579"/>
      <c r="B722" s="518" t="s">
        <v>253</v>
      </c>
      <c r="C722" s="517">
        <f>'FOND GASO Y D'!Q61</f>
        <v>0</v>
      </c>
      <c r="D722" s="517">
        <f t="shared" ref="D722:O722" si="577">$C722*D$29%</f>
        <v>0</v>
      </c>
      <c r="E722" s="517">
        <f t="shared" si="577"/>
        <v>0</v>
      </c>
      <c r="F722" s="517">
        <f t="shared" si="577"/>
        <v>0</v>
      </c>
      <c r="G722" s="517">
        <f t="shared" si="577"/>
        <v>0</v>
      </c>
      <c r="H722" s="517">
        <f t="shared" si="577"/>
        <v>0</v>
      </c>
      <c r="I722" s="517">
        <f t="shared" si="577"/>
        <v>0</v>
      </c>
      <c r="J722" s="517">
        <f t="shared" si="577"/>
        <v>0</v>
      </c>
      <c r="K722" s="517">
        <f t="shared" si="577"/>
        <v>0</v>
      </c>
      <c r="L722" s="517">
        <f t="shared" si="577"/>
        <v>0</v>
      </c>
      <c r="M722" s="517">
        <f t="shared" si="577"/>
        <v>0</v>
      </c>
      <c r="N722" s="517">
        <f t="shared" si="577"/>
        <v>0</v>
      </c>
      <c r="O722" s="517">
        <f t="shared" si="577"/>
        <v>0</v>
      </c>
      <c r="P722" s="511">
        <f t="shared" si="540"/>
        <v>0</v>
      </c>
      <c r="Q722" s="530">
        <v>33521</v>
      </c>
      <c r="R722" s="480"/>
      <c r="U722" s="513"/>
    </row>
    <row r="723" spans="1:21" s="479" customFormat="1" ht="18" x14ac:dyDescent="0.15">
      <c r="A723" s="579"/>
      <c r="B723" s="528" t="s">
        <v>408</v>
      </c>
      <c r="C723" s="519">
        <f>'FOND GASO Y D'!H61</f>
        <v>1085676.0613279114</v>
      </c>
      <c r="D723" s="517">
        <f t="shared" ref="D723:O723" si="578">$C723*D$30%</f>
        <v>84455.61219601857</v>
      </c>
      <c r="E723" s="517">
        <f t="shared" si="578"/>
        <v>92857.023487704311</v>
      </c>
      <c r="F723" s="517">
        <f t="shared" si="578"/>
        <v>90405.893180368264</v>
      </c>
      <c r="G723" s="517">
        <f t="shared" si="578"/>
        <v>84239.457290609862</v>
      </c>
      <c r="H723" s="517">
        <f t="shared" si="578"/>
        <v>92819.841176872942</v>
      </c>
      <c r="I723" s="517">
        <f t="shared" si="578"/>
        <v>89582.175946188654</v>
      </c>
      <c r="J723" s="517">
        <f t="shared" si="578"/>
        <v>91449.839920841259</v>
      </c>
      <c r="K723" s="517">
        <f t="shared" si="578"/>
        <v>91395.497662804366</v>
      </c>
      <c r="L723" s="517">
        <f t="shared" si="578"/>
        <v>95107.943740589617</v>
      </c>
      <c r="M723" s="517">
        <f t="shared" si="578"/>
        <v>94272.786542330112</v>
      </c>
      <c r="N723" s="517">
        <f t="shared" si="578"/>
        <v>88106.350652571724</v>
      </c>
      <c r="O723" s="517">
        <f t="shared" si="578"/>
        <v>90983.639532097441</v>
      </c>
      <c r="P723" s="511">
        <f t="shared" si="540"/>
        <v>-1.085645635612309E-6</v>
      </c>
      <c r="Q723" s="530">
        <v>66349</v>
      </c>
      <c r="R723" s="480"/>
      <c r="U723" s="513"/>
    </row>
    <row r="724" spans="1:21" s="479" customFormat="1" x14ac:dyDescent="0.15">
      <c r="A724" s="579"/>
      <c r="B724" s="534"/>
      <c r="C724" s="521"/>
      <c r="D724" s="522"/>
      <c r="E724" s="522"/>
      <c r="F724" s="522"/>
      <c r="G724" s="522"/>
      <c r="H724" s="522"/>
      <c r="I724" s="522"/>
      <c r="J724" s="522"/>
      <c r="K724" s="522"/>
      <c r="L724" s="522"/>
      <c r="M724" s="522"/>
      <c r="N724" s="522"/>
      <c r="O724" s="522"/>
      <c r="P724" s="511">
        <f t="shared" si="540"/>
        <v>0</v>
      </c>
      <c r="Q724" s="530">
        <v>0</v>
      </c>
      <c r="R724" s="480"/>
      <c r="U724" s="513"/>
    </row>
    <row r="725" spans="1:21" s="479" customFormat="1" x14ac:dyDescent="0.15">
      <c r="A725" s="591"/>
      <c r="B725" s="532"/>
      <c r="C725" s="521"/>
      <c r="D725" s="521"/>
      <c r="E725" s="521"/>
      <c r="F725" s="521"/>
      <c r="G725" s="521"/>
      <c r="H725" s="521"/>
      <c r="I725" s="521"/>
      <c r="J725" s="521"/>
      <c r="K725" s="521"/>
      <c r="L725" s="521"/>
      <c r="M725" s="521"/>
      <c r="N725" s="521"/>
      <c r="O725" s="521"/>
      <c r="P725" s="511">
        <f t="shared" si="540"/>
        <v>0</v>
      </c>
      <c r="Q725" s="530">
        <v>0</v>
      </c>
      <c r="R725" s="480"/>
      <c r="U725" s="513"/>
    </row>
    <row r="726" spans="1:21" s="479" customFormat="1" x14ac:dyDescent="0.15">
      <c r="A726" s="576">
        <v>47</v>
      </c>
      <c r="B726" s="533" t="s">
        <v>121</v>
      </c>
      <c r="C726" s="524">
        <f t="shared" ref="C726:O726" si="579">SUM(C727:C738)</f>
        <v>49202770.683499709</v>
      </c>
      <c r="D726" s="524">
        <f t="shared" si="579"/>
        <v>3844242.4739795313</v>
      </c>
      <c r="E726" s="524">
        <f t="shared" si="579"/>
        <v>5172642.6982792281</v>
      </c>
      <c r="F726" s="524">
        <f t="shared" si="579"/>
        <v>3434939.3186459504</v>
      </c>
      <c r="G726" s="524">
        <f t="shared" si="579"/>
        <v>4366383.0416427311</v>
      </c>
      <c r="H726" s="524">
        <f t="shared" si="579"/>
        <v>4946604.7051269896</v>
      </c>
      <c r="I726" s="524">
        <f t="shared" si="579"/>
        <v>4851140.9937665183</v>
      </c>
      <c r="J726" s="524">
        <f t="shared" si="579"/>
        <v>4198054.5638764929</v>
      </c>
      <c r="K726" s="524">
        <f t="shared" si="579"/>
        <v>4082858.3550836993</v>
      </c>
      <c r="L726" s="524">
        <f t="shared" si="579"/>
        <v>3866690.2592397798</v>
      </c>
      <c r="M726" s="524">
        <f t="shared" si="579"/>
        <v>2884326.8775283406</v>
      </c>
      <c r="N726" s="524">
        <f t="shared" si="579"/>
        <v>3755506.81179982</v>
      </c>
      <c r="O726" s="524">
        <f t="shared" si="579"/>
        <v>3799380.5843874631</v>
      </c>
      <c r="P726" s="511">
        <f t="shared" si="540"/>
        <v>1.4314893633127213E-4</v>
      </c>
      <c r="Q726" s="530">
        <v>2944978</v>
      </c>
      <c r="R726" s="480"/>
      <c r="T726" s="512"/>
      <c r="U726" s="513"/>
    </row>
    <row r="727" spans="1:21" s="479" customFormat="1" x14ac:dyDescent="0.15">
      <c r="A727" s="579"/>
      <c r="B727" s="528" t="s">
        <v>294</v>
      </c>
      <c r="C727" s="517">
        <f>'FG1'!I62</f>
        <v>33843812.702442512</v>
      </c>
      <c r="D727" s="517">
        <f t="shared" ref="D727:O727" si="580">$C727*D$19%</f>
        <v>2559766.5727841216</v>
      </c>
      <c r="E727" s="517">
        <f t="shared" si="580"/>
        <v>3667504.8097319477</v>
      </c>
      <c r="F727" s="517">
        <f t="shared" si="580"/>
        <v>2370659.5492818854</v>
      </c>
      <c r="G727" s="517">
        <f t="shared" si="580"/>
        <v>2912115.0612247465</v>
      </c>
      <c r="H727" s="517">
        <f t="shared" si="580"/>
        <v>3556328.7950983914</v>
      </c>
      <c r="I727" s="517">
        <f t="shared" si="580"/>
        <v>3486457.3742928063</v>
      </c>
      <c r="J727" s="517">
        <f t="shared" si="580"/>
        <v>2702714.2877783668</v>
      </c>
      <c r="K727" s="517">
        <f t="shared" si="580"/>
        <v>2869565.6222811686</v>
      </c>
      <c r="L727" s="517">
        <f t="shared" si="580"/>
        <v>2696679.9387487145</v>
      </c>
      <c r="M727" s="517">
        <f t="shared" si="580"/>
        <v>1787691.555353242</v>
      </c>
      <c r="N727" s="517">
        <f t="shared" si="580"/>
        <v>2609044.7053261078</v>
      </c>
      <c r="O727" s="517">
        <f t="shared" si="580"/>
        <v>2625284.430507171</v>
      </c>
      <c r="P727" s="511">
        <f t="shared" si="540"/>
        <v>3.3843796700239182E-5</v>
      </c>
      <c r="Q727" s="530">
        <v>2030479</v>
      </c>
      <c r="R727" s="480"/>
      <c r="U727" s="513"/>
    </row>
    <row r="728" spans="1:21" s="479" customFormat="1" x14ac:dyDescent="0.15">
      <c r="A728" s="579"/>
      <c r="B728" s="528" t="s">
        <v>296</v>
      </c>
      <c r="C728" s="517">
        <f>FFM!J62</f>
        <v>9097077.9459703621</v>
      </c>
      <c r="D728" s="517">
        <f t="shared" ref="D728:O728" si="581">$C728*D$20%</f>
        <v>687949.59855320444</v>
      </c>
      <c r="E728" s="517">
        <f t="shared" si="581"/>
        <v>986287.52799737256</v>
      </c>
      <c r="F728" s="517">
        <f t="shared" si="581"/>
        <v>637018.97926473897</v>
      </c>
      <c r="G728" s="517">
        <f t="shared" si="581"/>
        <v>782844.68986152683</v>
      </c>
      <c r="H728" s="517">
        <f t="shared" si="581"/>
        <v>956345.41882767167</v>
      </c>
      <c r="I728" s="517">
        <f t="shared" si="581"/>
        <v>937527.5272173211</v>
      </c>
      <c r="J728" s="517">
        <f t="shared" si="581"/>
        <v>726384.82783485157</v>
      </c>
      <c r="K728" s="517">
        <f t="shared" si="581"/>
        <v>771321.51077900152</v>
      </c>
      <c r="L728" s="517">
        <f t="shared" si="581"/>
        <v>724759.64290162083</v>
      </c>
      <c r="M728" s="517">
        <f t="shared" si="581"/>
        <v>479949.35842514597</v>
      </c>
      <c r="N728" s="517">
        <f t="shared" si="581"/>
        <v>701157.57623927388</v>
      </c>
      <c r="O728" s="517">
        <f t="shared" si="581"/>
        <v>705531.28795946785</v>
      </c>
      <c r="P728" s="511">
        <f t="shared" si="540"/>
        <v>1.0916474275290966E-4</v>
      </c>
      <c r="Q728" s="530">
        <v>621667</v>
      </c>
      <c r="R728" s="480"/>
      <c r="U728" s="513"/>
    </row>
    <row r="729" spans="1:21" s="479" customFormat="1" ht="18" x14ac:dyDescent="0.15">
      <c r="A729" s="579"/>
      <c r="B729" s="528" t="s">
        <v>297</v>
      </c>
      <c r="C729" s="517">
        <f>IEPS!I61</f>
        <v>818478.78712853719</v>
      </c>
      <c r="D729" s="517">
        <f t="shared" ref="D729:O729" si="582">$C729*D$21%</f>
        <v>57489.803439638119</v>
      </c>
      <c r="E729" s="517">
        <f t="shared" si="582"/>
        <v>131404.82763963932</v>
      </c>
      <c r="F729" s="517">
        <f t="shared" si="582"/>
        <v>54580.284787051169</v>
      </c>
      <c r="G729" s="517">
        <f t="shared" si="582"/>
        <v>53044.393841834717</v>
      </c>
      <c r="H729" s="517">
        <f t="shared" si="582"/>
        <v>58563.928912962074</v>
      </c>
      <c r="I729" s="517">
        <f t="shared" si="582"/>
        <v>60731.961043187403</v>
      </c>
      <c r="J729" s="517">
        <f t="shared" si="582"/>
        <v>62542.693028529822</v>
      </c>
      <c r="K729" s="517">
        <f t="shared" si="582"/>
        <v>69278.993804004596</v>
      </c>
      <c r="L729" s="517">
        <f t="shared" si="582"/>
        <v>69424.164801721563</v>
      </c>
      <c r="M729" s="517">
        <f t="shared" si="582"/>
        <v>68652.567018535134</v>
      </c>
      <c r="N729" s="517">
        <f t="shared" si="582"/>
        <v>66432.969416791588</v>
      </c>
      <c r="O729" s="517">
        <f t="shared" si="582"/>
        <v>66332.19939382319</v>
      </c>
      <c r="P729" s="511">
        <f t="shared" si="540"/>
        <v>8.1844336818903685E-7</v>
      </c>
      <c r="Q729" s="530">
        <v>52439</v>
      </c>
      <c r="R729" s="480"/>
      <c r="U729" s="513"/>
    </row>
    <row r="730" spans="1:21" s="479" customFormat="1" x14ac:dyDescent="0.15">
      <c r="A730" s="579"/>
      <c r="B730" s="528" t="s">
        <v>236</v>
      </c>
      <c r="C730" s="517">
        <f>ISR!C52</f>
        <v>1853780.61</v>
      </c>
      <c r="D730" s="517">
        <f>ISR!D52</f>
        <v>154481.71749999994</v>
      </c>
      <c r="E730" s="517">
        <f>ISR!E52</f>
        <v>154481.71749999994</v>
      </c>
      <c r="F730" s="517">
        <f>ISR!F52</f>
        <v>154481.71749999994</v>
      </c>
      <c r="G730" s="517">
        <f>ISR!G52</f>
        <v>154481.71749999994</v>
      </c>
      <c r="H730" s="517">
        <f>ISR!H52</f>
        <v>154481.71749999994</v>
      </c>
      <c r="I730" s="517">
        <f>ISR!I52</f>
        <v>154481.71749999994</v>
      </c>
      <c r="J730" s="517">
        <f>ISR!J52</f>
        <v>154481.71749999994</v>
      </c>
      <c r="K730" s="517">
        <f>ISR!K52</f>
        <v>154481.71749999994</v>
      </c>
      <c r="L730" s="517">
        <f>ISR!L52</f>
        <v>154481.71749999994</v>
      </c>
      <c r="M730" s="517">
        <f>ISR!M52</f>
        <v>154481.71749999994</v>
      </c>
      <c r="N730" s="517">
        <f>ISR!N52</f>
        <v>154481.71749999994</v>
      </c>
      <c r="O730" s="517">
        <f>ISR!O52</f>
        <v>154481.71749999994</v>
      </c>
      <c r="P730" s="511">
        <f t="shared" si="540"/>
        <v>5.2386894822120667E-10</v>
      </c>
      <c r="Q730" s="530">
        <v>0</v>
      </c>
      <c r="R730" s="480"/>
      <c r="U730" s="513"/>
    </row>
    <row r="731" spans="1:21" s="479" customFormat="1" ht="18" x14ac:dyDescent="0.15">
      <c r="A731" s="579"/>
      <c r="B731" s="528" t="s">
        <v>298</v>
      </c>
      <c r="C731" s="517">
        <f>FOFIR!I61</f>
        <v>1582933.9460236998</v>
      </c>
      <c r="D731" s="517">
        <f t="shared" ref="D731:O731" si="583">$C731*D$23%</f>
        <v>216411.59891211562</v>
      </c>
      <c r="E731" s="517">
        <f t="shared" si="583"/>
        <v>55059.61489836812</v>
      </c>
      <c r="F731" s="517">
        <f t="shared" si="583"/>
        <v>55059.61489836812</v>
      </c>
      <c r="G731" s="517">
        <f t="shared" si="583"/>
        <v>310719.81931503769</v>
      </c>
      <c r="H731" s="517">
        <f t="shared" si="583"/>
        <v>55059.61489836812</v>
      </c>
      <c r="I731" s="517">
        <f t="shared" si="583"/>
        <v>55059.61489836812</v>
      </c>
      <c r="J731" s="517">
        <f t="shared" si="583"/>
        <v>386485.38839563425</v>
      </c>
      <c r="K731" s="517">
        <f t="shared" si="583"/>
        <v>55059.61489836812</v>
      </c>
      <c r="L731" s="517">
        <f t="shared" si="583"/>
        <v>55059.61489836812</v>
      </c>
      <c r="M731" s="517">
        <f t="shared" si="583"/>
        <v>228840.22022029903</v>
      </c>
      <c r="N731" s="517">
        <f t="shared" si="583"/>
        <v>55059.61489836812</v>
      </c>
      <c r="O731" s="517">
        <f t="shared" si="583"/>
        <v>55059.61489836812</v>
      </c>
      <c r="P731" s="511">
        <f t="shared" si="540"/>
        <v>-6.3316256273537874E-6</v>
      </c>
      <c r="Q731" s="530">
        <v>61766</v>
      </c>
      <c r="R731" s="480"/>
      <c r="U731" s="513"/>
    </row>
    <row r="732" spans="1:21" s="479" customFormat="1" ht="27" x14ac:dyDescent="0.15">
      <c r="A732" s="579"/>
      <c r="B732" s="528" t="s">
        <v>407</v>
      </c>
      <c r="C732" s="517">
        <f>FCISAN!I61</f>
        <v>100486.62365532384</v>
      </c>
      <c r="D732" s="517">
        <f t="shared" ref="D732:O732" si="584">$C732*D$24%</f>
        <v>8373.8853045768265</v>
      </c>
      <c r="E732" s="517">
        <f t="shared" si="584"/>
        <v>8373.8853045768265</v>
      </c>
      <c r="F732" s="517">
        <f t="shared" si="584"/>
        <v>8373.8853045768265</v>
      </c>
      <c r="G732" s="517">
        <f t="shared" si="584"/>
        <v>8373.8853045768265</v>
      </c>
      <c r="H732" s="517">
        <f t="shared" si="584"/>
        <v>8373.8853045768265</v>
      </c>
      <c r="I732" s="517">
        <f t="shared" si="584"/>
        <v>8373.8853045768265</v>
      </c>
      <c r="J732" s="517">
        <f t="shared" si="584"/>
        <v>8373.8853045768265</v>
      </c>
      <c r="K732" s="517">
        <f t="shared" si="584"/>
        <v>8373.8853045768265</v>
      </c>
      <c r="L732" s="517">
        <f t="shared" si="584"/>
        <v>8373.8853045768265</v>
      </c>
      <c r="M732" s="517">
        <f t="shared" si="584"/>
        <v>8373.8853045768265</v>
      </c>
      <c r="N732" s="517">
        <f t="shared" si="584"/>
        <v>8373.8853045768265</v>
      </c>
      <c r="O732" s="517">
        <f t="shared" si="584"/>
        <v>8373.8853045768265</v>
      </c>
      <c r="P732" s="511">
        <f t="shared" si="540"/>
        <v>4.0189479477703571E-7</v>
      </c>
      <c r="Q732" s="530">
        <v>7344</v>
      </c>
      <c r="R732" s="480"/>
      <c r="U732" s="513"/>
    </row>
    <row r="733" spans="1:21" s="479" customFormat="1" ht="27" x14ac:dyDescent="0.15">
      <c r="A733" s="579"/>
      <c r="B733" s="528" t="s">
        <v>242</v>
      </c>
      <c r="C733" s="517">
        <f>ISAN!I61</f>
        <v>501942.46977124311</v>
      </c>
      <c r="D733" s="517">
        <f t="shared" ref="D733:O733" si="585">$C733*D$25%</f>
        <v>48303.734636094989</v>
      </c>
      <c r="E733" s="517">
        <f t="shared" si="585"/>
        <v>53950.227452477331</v>
      </c>
      <c r="F733" s="517">
        <f t="shared" si="585"/>
        <v>41870.139893379113</v>
      </c>
      <c r="G733" s="517">
        <f t="shared" si="585"/>
        <v>38859.808756273647</v>
      </c>
      <c r="H733" s="517">
        <f t="shared" si="585"/>
        <v>41549.726973756988</v>
      </c>
      <c r="I733" s="517">
        <f t="shared" si="585"/>
        <v>36087.202134505016</v>
      </c>
      <c r="J733" s="517">
        <f t="shared" si="585"/>
        <v>39094.950486978807</v>
      </c>
      <c r="K733" s="517">
        <f t="shared" si="585"/>
        <v>40317.170506079885</v>
      </c>
      <c r="L733" s="517">
        <f t="shared" si="585"/>
        <v>39616.913006946306</v>
      </c>
      <c r="M733" s="517">
        <f t="shared" si="585"/>
        <v>40588.488214388701</v>
      </c>
      <c r="N733" s="517">
        <f t="shared" si="585"/>
        <v>39299.083934066126</v>
      </c>
      <c r="O733" s="517">
        <f t="shared" si="585"/>
        <v>42405.023770272899</v>
      </c>
      <c r="P733" s="511">
        <f t="shared" si="540"/>
        <v>6.0232996474951506E-6</v>
      </c>
      <c r="Q733" s="530">
        <v>31563</v>
      </c>
      <c r="R733" s="480"/>
      <c r="U733" s="513"/>
    </row>
    <row r="734" spans="1:21" s="479" customFormat="1" ht="18" x14ac:dyDescent="0.15">
      <c r="A734" s="579"/>
      <c r="B734" s="528" t="s">
        <v>403</v>
      </c>
      <c r="C734" s="517">
        <f>LOT!I61</f>
        <v>24297.526636035909</v>
      </c>
      <c r="D734" s="517">
        <f t="shared" ref="D734:O734" si="586">$C734*D$26%</f>
        <v>1837.1454393035774</v>
      </c>
      <c r="E734" s="517">
        <f t="shared" si="586"/>
        <v>1811.1051254809654</v>
      </c>
      <c r="F734" s="517">
        <f t="shared" si="586"/>
        <v>1780.0940300979973</v>
      </c>
      <c r="G734" s="517">
        <f t="shared" si="586"/>
        <v>1958.5009224398559</v>
      </c>
      <c r="H734" s="517">
        <f t="shared" si="586"/>
        <v>1602.4102392437053</v>
      </c>
      <c r="I734" s="517">
        <f t="shared" si="586"/>
        <v>2174.5523921499366</v>
      </c>
      <c r="J734" s="517">
        <f t="shared" si="586"/>
        <v>4990.5954018597231</v>
      </c>
      <c r="K734" s="517">
        <f t="shared" si="586"/>
        <v>1816.755709048653</v>
      </c>
      <c r="L734" s="517">
        <f t="shared" si="586"/>
        <v>2204.4073911215073</v>
      </c>
      <c r="M734" s="517">
        <f t="shared" si="586"/>
        <v>1364.8302626545367</v>
      </c>
      <c r="N734" s="517">
        <f t="shared" si="586"/>
        <v>1378.5648611719407</v>
      </c>
      <c r="O734" s="517">
        <f t="shared" si="586"/>
        <v>1378.5648611719407</v>
      </c>
      <c r="P734" s="511">
        <f t="shared" si="540"/>
        <v>2.915703589678742E-7</v>
      </c>
      <c r="Q734" s="530">
        <v>1542</v>
      </c>
      <c r="R734" s="480"/>
      <c r="U734" s="513"/>
    </row>
    <row r="735" spans="1:21" s="479" customFormat="1" ht="45" x14ac:dyDescent="0.15">
      <c r="A735" s="579"/>
      <c r="B735" s="518" t="s">
        <v>301</v>
      </c>
      <c r="C735" s="517">
        <f>'ENAJENAC DE INMUE'!I61</f>
        <v>95540.758823902943</v>
      </c>
      <c r="D735" s="517">
        <f t="shared" ref="D735:O735" si="587">$C735*D$27%</f>
        <v>4125.9962343491961</v>
      </c>
      <c r="E735" s="517">
        <f t="shared" si="587"/>
        <v>4186.7680250293097</v>
      </c>
      <c r="F735" s="517">
        <f t="shared" si="587"/>
        <v>4130.3247926946633</v>
      </c>
      <c r="G735" s="517">
        <f t="shared" si="587"/>
        <v>4106.1305005449085</v>
      </c>
      <c r="H735" s="517">
        <f t="shared" si="587"/>
        <v>5695.9871758669751</v>
      </c>
      <c r="I735" s="517">
        <f t="shared" si="587"/>
        <v>4099.8439186142959</v>
      </c>
      <c r="J735" s="517">
        <f t="shared" si="587"/>
        <v>4711.8645315780504</v>
      </c>
      <c r="K735" s="517">
        <f t="shared" si="587"/>
        <v>4707.0144330453368</v>
      </c>
      <c r="L735" s="517">
        <f t="shared" si="587"/>
        <v>4701.051565657699</v>
      </c>
      <c r="M735" s="517">
        <f t="shared" si="587"/>
        <v>4105.4583432175996</v>
      </c>
      <c r="N735" s="517">
        <f t="shared" si="587"/>
        <v>17068.98600886147</v>
      </c>
      <c r="O735" s="517">
        <f t="shared" si="587"/>
        <v>33901.333294252356</v>
      </c>
      <c r="P735" s="511">
        <f t="shared" si="540"/>
        <v>1.9108119886368513E-7</v>
      </c>
      <c r="Q735" s="530">
        <v>22495</v>
      </c>
      <c r="R735" s="480"/>
      <c r="U735" s="513"/>
    </row>
    <row r="736" spans="1:21" s="479" customFormat="1" ht="27" x14ac:dyDescent="0.15">
      <c r="A736" s="579"/>
      <c r="B736" s="518" t="s">
        <v>248</v>
      </c>
      <c r="C736" s="517">
        <f>'IMP BEBIDAS AL'!I61</f>
        <v>37342.377346703121</v>
      </c>
      <c r="D736" s="517">
        <f t="shared" ref="D736:O736" si="588">$C736*D$28%</f>
        <v>8491.3054190267412</v>
      </c>
      <c r="E736" s="517">
        <f t="shared" si="588"/>
        <v>2920.7007014124297</v>
      </c>
      <c r="F736" s="517">
        <f t="shared" si="588"/>
        <v>3138.7399719120021</v>
      </c>
      <c r="G736" s="517">
        <f t="shared" si="588"/>
        <v>3116.2080026602284</v>
      </c>
      <c r="H736" s="517">
        <f t="shared" si="588"/>
        <v>1984.4162726654074</v>
      </c>
      <c r="I736" s="517">
        <f t="shared" si="588"/>
        <v>3247.5004224966669</v>
      </c>
      <c r="J736" s="517">
        <f t="shared" si="588"/>
        <v>3229.2207230278095</v>
      </c>
      <c r="K736" s="517">
        <f t="shared" si="588"/>
        <v>2953.357969217735</v>
      </c>
      <c r="L736" s="517">
        <f t="shared" si="588"/>
        <v>2141.8583052324907</v>
      </c>
      <c r="M736" s="517">
        <f t="shared" si="588"/>
        <v>1991.0470233593855</v>
      </c>
      <c r="N736" s="517">
        <f t="shared" si="588"/>
        <v>2005.1209558348467</v>
      </c>
      <c r="O736" s="517">
        <f t="shared" si="588"/>
        <v>2122.9015798573796</v>
      </c>
      <c r="P736" s="511">
        <f t="shared" si="540"/>
        <v>0</v>
      </c>
      <c r="Q736" s="530">
        <v>965</v>
      </c>
      <c r="R736" s="480"/>
      <c r="U736" s="513"/>
    </row>
    <row r="737" spans="1:21" s="479" customFormat="1" ht="18" x14ac:dyDescent="0.15">
      <c r="A737" s="579"/>
      <c r="B737" s="518" t="s">
        <v>253</v>
      </c>
      <c r="C737" s="517">
        <f>'FOND GASO Y D'!Q62</f>
        <v>0</v>
      </c>
      <c r="D737" s="517">
        <f t="shared" ref="D737:O737" si="589">$C737*D$29%</f>
        <v>0</v>
      </c>
      <c r="E737" s="517">
        <f t="shared" si="589"/>
        <v>0</v>
      </c>
      <c r="F737" s="517">
        <f t="shared" si="589"/>
        <v>0</v>
      </c>
      <c r="G737" s="517">
        <f t="shared" si="589"/>
        <v>0</v>
      </c>
      <c r="H737" s="517">
        <f t="shared" si="589"/>
        <v>0</v>
      </c>
      <c r="I737" s="517">
        <f t="shared" si="589"/>
        <v>0</v>
      </c>
      <c r="J737" s="517">
        <f t="shared" si="589"/>
        <v>0</v>
      </c>
      <c r="K737" s="517">
        <f t="shared" si="589"/>
        <v>0</v>
      </c>
      <c r="L737" s="517">
        <f t="shared" si="589"/>
        <v>0</v>
      </c>
      <c r="M737" s="517">
        <f t="shared" si="589"/>
        <v>0</v>
      </c>
      <c r="N737" s="517">
        <f t="shared" si="589"/>
        <v>0</v>
      </c>
      <c r="O737" s="517">
        <f t="shared" si="589"/>
        <v>0</v>
      </c>
      <c r="P737" s="511">
        <f t="shared" si="540"/>
        <v>0</v>
      </c>
      <c r="Q737" s="530">
        <v>38504</v>
      </c>
      <c r="R737" s="480"/>
      <c r="U737" s="513"/>
    </row>
    <row r="738" spans="1:21" s="479" customFormat="1" ht="18" x14ac:dyDescent="0.15">
      <c r="A738" s="579"/>
      <c r="B738" s="528" t="s">
        <v>408</v>
      </c>
      <c r="C738" s="519">
        <f>'FOND GASO Y D'!H62</f>
        <v>1247076.9357013823</v>
      </c>
      <c r="D738" s="517">
        <f t="shared" ref="D738:O738" si="590">$C738*D$30%</f>
        <v>97011.115757100662</v>
      </c>
      <c r="E738" s="517">
        <f t="shared" si="590"/>
        <v>106661.51390292289</v>
      </c>
      <c r="F738" s="517">
        <f t="shared" si="590"/>
        <v>103845.98892124588</v>
      </c>
      <c r="G738" s="517">
        <f t="shared" si="590"/>
        <v>96762.82641309117</v>
      </c>
      <c r="H738" s="517">
        <f t="shared" si="590"/>
        <v>106618.8039234865</v>
      </c>
      <c r="I738" s="517">
        <f t="shared" si="590"/>
        <v>102899.81464249399</v>
      </c>
      <c r="J738" s="517">
        <f t="shared" si="590"/>
        <v>105045.1328910891</v>
      </c>
      <c r="K738" s="517">
        <f t="shared" si="590"/>
        <v>104982.71189918765</v>
      </c>
      <c r="L738" s="517">
        <f t="shared" si="590"/>
        <v>109247.0648158195</v>
      </c>
      <c r="M738" s="517">
        <f t="shared" si="590"/>
        <v>108287.7498629223</v>
      </c>
      <c r="N738" s="517">
        <f t="shared" si="590"/>
        <v>101204.58735476759</v>
      </c>
      <c r="O738" s="517">
        <f t="shared" si="590"/>
        <v>104509.62531850219</v>
      </c>
      <c r="P738" s="511">
        <f t="shared" si="540"/>
        <v>-1.2470845831558108E-6</v>
      </c>
      <c r="Q738" s="530">
        <v>76214</v>
      </c>
      <c r="R738" s="480"/>
      <c r="U738" s="513"/>
    </row>
    <row r="739" spans="1:21" s="479" customFormat="1" x14ac:dyDescent="0.15">
      <c r="A739" s="579"/>
      <c r="B739" s="534"/>
      <c r="C739" s="521"/>
      <c r="D739" s="522"/>
      <c r="E739" s="522"/>
      <c r="F739" s="522"/>
      <c r="G739" s="522"/>
      <c r="H739" s="522"/>
      <c r="I739" s="522"/>
      <c r="J739" s="522"/>
      <c r="K739" s="522"/>
      <c r="L739" s="522"/>
      <c r="M739" s="522"/>
      <c r="N739" s="522"/>
      <c r="O739" s="522"/>
      <c r="P739" s="511">
        <f t="shared" si="540"/>
        <v>0</v>
      </c>
      <c r="Q739" s="530">
        <v>0</v>
      </c>
      <c r="R739" s="480"/>
      <c r="U739" s="513"/>
    </row>
    <row r="740" spans="1:21" s="479" customFormat="1" x14ac:dyDescent="0.15">
      <c r="A740" s="591"/>
      <c r="B740" s="532"/>
      <c r="C740" s="521"/>
      <c r="D740" s="521"/>
      <c r="E740" s="521"/>
      <c r="F740" s="521"/>
      <c r="G740" s="521"/>
      <c r="H740" s="521"/>
      <c r="I740" s="521"/>
      <c r="J740" s="521"/>
      <c r="K740" s="521"/>
      <c r="L740" s="521"/>
      <c r="M740" s="521"/>
      <c r="N740" s="521"/>
      <c r="O740" s="521"/>
      <c r="P740" s="511">
        <f t="shared" ref="P740:P803" si="591">C740-D740-E740-F740-G740-H740-I740-J740-K740-L740-M740-N740-O740</f>
        <v>0</v>
      </c>
      <c r="Q740" s="530">
        <v>0</v>
      </c>
      <c r="R740" s="480"/>
      <c r="U740" s="513"/>
    </row>
    <row r="741" spans="1:21" s="479" customFormat="1" x14ac:dyDescent="0.15">
      <c r="A741" s="576">
        <v>48</v>
      </c>
      <c r="B741" s="533" t="s">
        <v>47</v>
      </c>
      <c r="C741" s="524">
        <f t="shared" ref="C741:O741" si="592">SUM(C742:C753)</f>
        <v>24173116.651785459</v>
      </c>
      <c r="D741" s="524">
        <f t="shared" si="592"/>
        <v>1888390.0172801269</v>
      </c>
      <c r="E741" s="524">
        <f t="shared" si="592"/>
        <v>2538782.8776142802</v>
      </c>
      <c r="F741" s="524">
        <f t="shared" si="592"/>
        <v>1689357.236502256</v>
      </c>
      <c r="G741" s="524">
        <f t="shared" si="592"/>
        <v>2143470.9740980491</v>
      </c>
      <c r="H741" s="524">
        <f t="shared" si="592"/>
        <v>2428335.8036305089</v>
      </c>
      <c r="I741" s="524">
        <f t="shared" si="592"/>
        <v>2381175.2808339316</v>
      </c>
      <c r="J741" s="524">
        <f t="shared" si="592"/>
        <v>2062378.6894778213</v>
      </c>
      <c r="K741" s="524">
        <f t="shared" si="592"/>
        <v>2006085.6633930528</v>
      </c>
      <c r="L741" s="524">
        <f t="shared" si="592"/>
        <v>1901060.1784969724</v>
      </c>
      <c r="M741" s="524">
        <f t="shared" si="592"/>
        <v>1420948.4515961241</v>
      </c>
      <c r="N741" s="524">
        <f t="shared" si="592"/>
        <v>1845617.5769799091</v>
      </c>
      <c r="O741" s="524">
        <f t="shared" si="592"/>
        <v>1867513.9018126547</v>
      </c>
      <c r="P741" s="511">
        <f t="shared" si="591"/>
        <v>6.9769332185387611E-5</v>
      </c>
      <c r="Q741" s="530">
        <v>1498831</v>
      </c>
      <c r="R741" s="480"/>
      <c r="T741" s="512"/>
      <c r="U741" s="513"/>
    </row>
    <row r="742" spans="1:21" s="479" customFormat="1" x14ac:dyDescent="0.15">
      <c r="A742" s="579"/>
      <c r="B742" s="528" t="s">
        <v>294</v>
      </c>
      <c r="C742" s="517">
        <f>'FG1'!I63</f>
        <v>16535932.470851466</v>
      </c>
      <c r="D742" s="517">
        <f t="shared" ref="D742:O742" si="593">$C742*D$19%</f>
        <v>1250690.2682878368</v>
      </c>
      <c r="E742" s="517">
        <f t="shared" si="593"/>
        <v>1791926.1167011969</v>
      </c>
      <c r="F742" s="517">
        <f t="shared" si="593"/>
        <v>1158293.4394231322</v>
      </c>
      <c r="G742" s="517">
        <f t="shared" si="593"/>
        <v>1422846.1321169813</v>
      </c>
      <c r="H742" s="517">
        <f t="shared" si="593"/>
        <v>1737606.0232022095</v>
      </c>
      <c r="I742" s="517">
        <f t="shared" si="593"/>
        <v>1703467.1657914955</v>
      </c>
      <c r="J742" s="517">
        <f t="shared" si="593"/>
        <v>1320533.8696217011</v>
      </c>
      <c r="K742" s="517">
        <f t="shared" si="593"/>
        <v>1402056.6703849453</v>
      </c>
      <c r="L742" s="517">
        <f t="shared" si="593"/>
        <v>1317585.5142180948</v>
      </c>
      <c r="M742" s="517">
        <f t="shared" si="593"/>
        <v>873457.93743561301</v>
      </c>
      <c r="N742" s="517">
        <f t="shared" si="593"/>
        <v>1274767.3390117611</v>
      </c>
      <c r="O742" s="517">
        <f t="shared" si="593"/>
        <v>1282701.9946399629</v>
      </c>
      <c r="P742" s="511">
        <f t="shared" si="591"/>
        <v>1.6535865142941475E-5</v>
      </c>
      <c r="Q742" s="530">
        <v>1023629</v>
      </c>
      <c r="R742" s="480"/>
      <c r="U742" s="513"/>
    </row>
    <row r="743" spans="1:21" s="479" customFormat="1" x14ac:dyDescent="0.15">
      <c r="A743" s="579"/>
      <c r="B743" s="528" t="s">
        <v>296</v>
      </c>
      <c r="C743" s="517">
        <f>FFM!J63</f>
        <v>4444790.778131851</v>
      </c>
      <c r="D743" s="517">
        <f t="shared" ref="D743:O743" si="594">$C743*D$20%</f>
        <v>336129.03501868644</v>
      </c>
      <c r="E743" s="517">
        <f t="shared" si="594"/>
        <v>481895.58615039085</v>
      </c>
      <c r="F743" s="517">
        <f t="shared" si="594"/>
        <v>311244.56681005791</v>
      </c>
      <c r="G743" s="517">
        <f t="shared" si="594"/>
        <v>382494.34366420016</v>
      </c>
      <c r="H743" s="517">
        <f t="shared" si="594"/>
        <v>467266.00822374952</v>
      </c>
      <c r="I743" s="517">
        <f t="shared" si="594"/>
        <v>458071.67224132334</v>
      </c>
      <c r="J743" s="517">
        <f t="shared" si="594"/>
        <v>354908.3126813696</v>
      </c>
      <c r="K743" s="517">
        <f t="shared" si="594"/>
        <v>376864.17094006093</v>
      </c>
      <c r="L743" s="517">
        <f t="shared" si="594"/>
        <v>354114.25473805133</v>
      </c>
      <c r="M743" s="517">
        <f t="shared" si="594"/>
        <v>234501.06671267358</v>
      </c>
      <c r="N743" s="517">
        <f t="shared" si="594"/>
        <v>342582.39265346603</v>
      </c>
      <c r="O743" s="517">
        <f t="shared" si="594"/>
        <v>344719.36824448389</v>
      </c>
      <c r="P743" s="511">
        <f t="shared" si="591"/>
        <v>5.3337193094193935E-5</v>
      </c>
      <c r="Q743" s="530">
        <v>313402</v>
      </c>
      <c r="R743" s="480"/>
      <c r="U743" s="513"/>
    </row>
    <row r="744" spans="1:21" s="479" customFormat="1" ht="18" x14ac:dyDescent="0.15">
      <c r="A744" s="579"/>
      <c r="B744" s="528" t="s">
        <v>297</v>
      </c>
      <c r="C744" s="517">
        <f>IEPS!I62</f>
        <v>399905.00100495864</v>
      </c>
      <c r="D744" s="517">
        <f t="shared" ref="D744:O744" si="595">$C744*D$21%</f>
        <v>28089.255658000144</v>
      </c>
      <c r="E744" s="517">
        <f t="shared" si="595"/>
        <v>64203.799237907187</v>
      </c>
      <c r="F744" s="517">
        <f t="shared" si="595"/>
        <v>26667.678119297227</v>
      </c>
      <c r="G744" s="517">
        <f t="shared" si="595"/>
        <v>25917.24881111061</v>
      </c>
      <c r="H744" s="517">
        <f t="shared" si="595"/>
        <v>28614.068463468255</v>
      </c>
      <c r="I744" s="517">
        <f t="shared" si="595"/>
        <v>29673.359070446913</v>
      </c>
      <c r="J744" s="517">
        <f t="shared" si="595"/>
        <v>30558.074456851122</v>
      </c>
      <c r="K744" s="517">
        <f t="shared" si="595"/>
        <v>33849.400280745547</v>
      </c>
      <c r="L744" s="517">
        <f t="shared" si="595"/>
        <v>33920.330167873799</v>
      </c>
      <c r="M744" s="517">
        <f t="shared" si="595"/>
        <v>33543.331011495982</v>
      </c>
      <c r="N744" s="517">
        <f t="shared" si="595"/>
        <v>32458.845750405817</v>
      </c>
      <c r="O744" s="517">
        <f t="shared" si="595"/>
        <v>32409.609976956115</v>
      </c>
      <c r="P744" s="511">
        <f t="shared" si="591"/>
        <v>3.9991937228478491E-7</v>
      </c>
      <c r="Q744" s="530">
        <v>26436</v>
      </c>
      <c r="R744" s="480"/>
      <c r="U744" s="513"/>
    </row>
    <row r="745" spans="1:21" s="479" customFormat="1" x14ac:dyDescent="0.15">
      <c r="A745" s="579"/>
      <c r="B745" s="528" t="s">
        <v>236</v>
      </c>
      <c r="C745" s="517">
        <f>ISR!C53</f>
        <v>865121.72</v>
      </c>
      <c r="D745" s="517">
        <f>ISR!D53</f>
        <v>72093.47666666664</v>
      </c>
      <c r="E745" s="517">
        <f>ISR!E53</f>
        <v>72093.47666666664</v>
      </c>
      <c r="F745" s="517">
        <f>ISR!F53</f>
        <v>72093.47666666664</v>
      </c>
      <c r="G745" s="517">
        <f>ISR!G53</f>
        <v>72093.47666666664</v>
      </c>
      <c r="H745" s="517">
        <f>ISR!H53</f>
        <v>72093.47666666664</v>
      </c>
      <c r="I745" s="517">
        <f>ISR!I53</f>
        <v>72093.47666666664</v>
      </c>
      <c r="J745" s="517">
        <f>ISR!J53</f>
        <v>72093.47666666664</v>
      </c>
      <c r="K745" s="517">
        <f>ISR!K53</f>
        <v>72093.47666666664</v>
      </c>
      <c r="L745" s="517">
        <f>ISR!L53</f>
        <v>72093.47666666664</v>
      </c>
      <c r="M745" s="517">
        <f>ISR!M53</f>
        <v>72093.47666666664</v>
      </c>
      <c r="N745" s="517">
        <f>ISR!N53</f>
        <v>72093.47666666664</v>
      </c>
      <c r="O745" s="517">
        <f>ISR!O53</f>
        <v>72093.47666666664</v>
      </c>
      <c r="P745" s="511">
        <f t="shared" si="591"/>
        <v>2.0372681319713593E-10</v>
      </c>
      <c r="Q745" s="530">
        <v>0</v>
      </c>
      <c r="R745" s="480"/>
      <c r="U745" s="513"/>
    </row>
    <row r="746" spans="1:21" s="479" customFormat="1" ht="18" x14ac:dyDescent="0.15">
      <c r="A746" s="579"/>
      <c r="B746" s="528" t="s">
        <v>298</v>
      </c>
      <c r="C746" s="517">
        <f>FOFIR!I62</f>
        <v>773414.30374294869</v>
      </c>
      <c r="D746" s="517">
        <f t="shared" ref="D746:O746" si="596">$C746*D$23%</f>
        <v>105737.71983029178</v>
      </c>
      <c r="E746" s="517">
        <f t="shared" si="596"/>
        <v>26901.876624698205</v>
      </c>
      <c r="F746" s="517">
        <f t="shared" si="596"/>
        <v>26901.876624698205</v>
      </c>
      <c r="G746" s="517">
        <f t="shared" si="596"/>
        <v>151816.28602908025</v>
      </c>
      <c r="H746" s="517">
        <f t="shared" si="596"/>
        <v>26901.876624698205</v>
      </c>
      <c r="I746" s="517">
        <f t="shared" si="596"/>
        <v>26901.876624698205</v>
      </c>
      <c r="J746" s="517">
        <f t="shared" si="596"/>
        <v>188834.99739436203</v>
      </c>
      <c r="K746" s="517">
        <f t="shared" si="596"/>
        <v>26901.876624698205</v>
      </c>
      <c r="L746" s="517">
        <f t="shared" si="596"/>
        <v>26901.876624698205</v>
      </c>
      <c r="M746" s="517">
        <f t="shared" si="596"/>
        <v>111810.28749472262</v>
      </c>
      <c r="N746" s="517">
        <f t="shared" si="596"/>
        <v>26901.876624698205</v>
      </c>
      <c r="O746" s="517">
        <f t="shared" si="596"/>
        <v>26901.876624698205</v>
      </c>
      <c r="P746" s="511">
        <f t="shared" si="591"/>
        <v>-3.0936498660594225E-6</v>
      </c>
      <c r="Q746" s="530">
        <v>31141</v>
      </c>
      <c r="R746" s="480"/>
      <c r="U746" s="513"/>
    </row>
    <row r="747" spans="1:21" s="479" customFormat="1" ht="27" x14ac:dyDescent="0.15">
      <c r="A747" s="579"/>
      <c r="B747" s="528" t="s">
        <v>407</v>
      </c>
      <c r="C747" s="517">
        <f>FCISAN!I62</f>
        <v>49097.305838369095</v>
      </c>
      <c r="D747" s="517">
        <f t="shared" ref="D747:O747" si="597">$C747*D$24%</f>
        <v>4091.4421531810594</v>
      </c>
      <c r="E747" s="517">
        <f t="shared" si="597"/>
        <v>4091.4421531810594</v>
      </c>
      <c r="F747" s="517">
        <f t="shared" si="597"/>
        <v>4091.4421531810594</v>
      </c>
      <c r="G747" s="517">
        <f t="shared" si="597"/>
        <v>4091.4421531810594</v>
      </c>
      <c r="H747" s="517">
        <f t="shared" si="597"/>
        <v>4091.4421531810594</v>
      </c>
      <c r="I747" s="517">
        <f t="shared" si="597"/>
        <v>4091.4421531810594</v>
      </c>
      <c r="J747" s="517">
        <f t="shared" si="597"/>
        <v>4091.4421531810594</v>
      </c>
      <c r="K747" s="517">
        <f t="shared" si="597"/>
        <v>4091.4421531810594</v>
      </c>
      <c r="L747" s="517">
        <f t="shared" si="597"/>
        <v>4091.4421531810594</v>
      </c>
      <c r="M747" s="517">
        <f t="shared" si="597"/>
        <v>4091.4421531810594</v>
      </c>
      <c r="N747" s="517">
        <f t="shared" si="597"/>
        <v>4091.4421531810594</v>
      </c>
      <c r="O747" s="517">
        <f t="shared" si="597"/>
        <v>4091.4421531810594</v>
      </c>
      <c r="P747" s="511">
        <f t="shared" si="591"/>
        <v>1.9638991943793371E-7</v>
      </c>
      <c r="Q747" s="530">
        <v>3701</v>
      </c>
      <c r="R747" s="480"/>
      <c r="U747" s="513"/>
    </row>
    <row r="748" spans="1:21" s="479" customFormat="1" ht="27" x14ac:dyDescent="0.15">
      <c r="A748" s="579"/>
      <c r="B748" s="528" t="s">
        <v>242</v>
      </c>
      <c r="C748" s="517">
        <f>ISAN!I62</f>
        <v>245246.8005707484</v>
      </c>
      <c r="D748" s="517">
        <f t="shared" ref="D748:O748" si="598">$C748*D$25%</f>
        <v>23600.984352887346</v>
      </c>
      <c r="E748" s="517">
        <f t="shared" si="598"/>
        <v>26359.834980319989</v>
      </c>
      <c r="F748" s="517">
        <f t="shared" si="598"/>
        <v>20457.559315474326</v>
      </c>
      <c r="G748" s="517">
        <f t="shared" si="598"/>
        <v>18986.725256802059</v>
      </c>
      <c r="H748" s="517">
        <f t="shared" si="598"/>
        <v>20301.007024860879</v>
      </c>
      <c r="I748" s="517">
        <f t="shared" si="598"/>
        <v>17632.042311683028</v>
      </c>
      <c r="J748" s="517">
        <f t="shared" si="598"/>
        <v>19101.614433568455</v>
      </c>
      <c r="K748" s="517">
        <f t="shared" si="598"/>
        <v>19698.78555840805</v>
      </c>
      <c r="L748" s="517">
        <f t="shared" si="598"/>
        <v>19356.64293932174</v>
      </c>
      <c r="M748" s="517">
        <f t="shared" si="598"/>
        <v>19831.350152775311</v>
      </c>
      <c r="N748" s="517">
        <f t="shared" si="598"/>
        <v>19201.353104437367</v>
      </c>
      <c r="O748" s="517">
        <f t="shared" si="598"/>
        <v>20718.901137266894</v>
      </c>
      <c r="P748" s="511">
        <f t="shared" si="591"/>
        <v>2.9429611458908767E-6</v>
      </c>
      <c r="Q748" s="530">
        <v>15911</v>
      </c>
      <c r="R748" s="480"/>
      <c r="U748" s="513"/>
    </row>
    <row r="749" spans="1:21" s="479" customFormat="1" ht="18" x14ac:dyDescent="0.15">
      <c r="A749" s="579"/>
      <c r="B749" s="528" t="s">
        <v>403</v>
      </c>
      <c r="C749" s="517">
        <f>LOT!I62</f>
        <v>11871.660654628546</v>
      </c>
      <c r="D749" s="517">
        <f t="shared" ref="D749:O749" si="599">$C749*D$26%</f>
        <v>897.62087949577426</v>
      </c>
      <c r="E749" s="517">
        <f t="shared" si="599"/>
        <v>884.89770097341432</v>
      </c>
      <c r="F749" s="517">
        <f t="shared" si="599"/>
        <v>869.74582126032021</v>
      </c>
      <c r="G749" s="517">
        <f t="shared" si="599"/>
        <v>956.91461486041396</v>
      </c>
      <c r="H749" s="517">
        <f t="shared" si="599"/>
        <v>782.93033174783329</v>
      </c>
      <c r="I749" s="517">
        <f t="shared" si="599"/>
        <v>1062.4763772057147</v>
      </c>
      <c r="J749" s="517">
        <f t="shared" si="599"/>
        <v>2438.38214329021</v>
      </c>
      <c r="K749" s="517">
        <f t="shared" si="599"/>
        <v>887.65855032327022</v>
      </c>
      <c r="L749" s="517">
        <f t="shared" si="599"/>
        <v>1077.0633934869979</v>
      </c>
      <c r="M749" s="517">
        <f t="shared" si="599"/>
        <v>666.84983916723718</v>
      </c>
      <c r="N749" s="517">
        <f t="shared" si="599"/>
        <v>673.56050133744998</v>
      </c>
      <c r="O749" s="517">
        <f t="shared" si="599"/>
        <v>673.56050133744998</v>
      </c>
      <c r="P749" s="511">
        <f t="shared" si="591"/>
        <v>1.4245983948057983E-7</v>
      </c>
      <c r="Q749" s="530">
        <v>777</v>
      </c>
      <c r="R749" s="480"/>
      <c r="U749" s="513"/>
    </row>
    <row r="750" spans="1:21" s="479" customFormat="1" ht="45" x14ac:dyDescent="0.15">
      <c r="A750" s="579"/>
      <c r="B750" s="518" t="s">
        <v>301</v>
      </c>
      <c r="C750" s="517">
        <f>'ENAJENAC DE INMUE'!I62</f>
        <v>46680.778847707872</v>
      </c>
      <c r="D750" s="517">
        <f t="shared" ref="D750:O750" si="600">$C750*D$27%</f>
        <v>2015.9429348591618</v>
      </c>
      <c r="E750" s="517">
        <f t="shared" si="600"/>
        <v>2045.635754508485</v>
      </c>
      <c r="F750" s="517">
        <f t="shared" si="600"/>
        <v>2018.0578487173048</v>
      </c>
      <c r="G750" s="517">
        <f t="shared" si="600"/>
        <v>2006.2366279616563</v>
      </c>
      <c r="H750" s="517">
        <f t="shared" si="600"/>
        <v>2783.0333456541866</v>
      </c>
      <c r="I750" s="517">
        <f t="shared" si="600"/>
        <v>2003.1650327134773</v>
      </c>
      <c r="J750" s="517">
        <f t="shared" si="600"/>
        <v>2302.1955118062592</v>
      </c>
      <c r="K750" s="517">
        <f t="shared" si="600"/>
        <v>2299.8257757922038</v>
      </c>
      <c r="L750" s="517">
        <f t="shared" si="600"/>
        <v>2296.9123459927441</v>
      </c>
      <c r="M750" s="517">
        <f t="shared" si="600"/>
        <v>2005.9082149583137</v>
      </c>
      <c r="N750" s="517">
        <f t="shared" si="600"/>
        <v>8339.8286850840432</v>
      </c>
      <c r="O750" s="517">
        <f t="shared" si="600"/>
        <v>16564.036769566676</v>
      </c>
      <c r="P750" s="511">
        <f t="shared" si="591"/>
        <v>9.3368726084008813E-8</v>
      </c>
      <c r="Q750" s="530">
        <v>11340</v>
      </c>
      <c r="R750" s="480"/>
      <c r="U750" s="513"/>
    </row>
    <row r="751" spans="1:21" s="479" customFormat="1" ht="27" x14ac:dyDescent="0.15">
      <c r="A751" s="579"/>
      <c r="B751" s="518" t="s">
        <v>248</v>
      </c>
      <c r="C751" s="517">
        <f>'IMP BEBIDAS AL'!I62</f>
        <v>18245.315193508679</v>
      </c>
      <c r="D751" s="517">
        <f t="shared" ref="D751:O751" si="601">$C751*D$28%</f>
        <v>4148.8130853610292</v>
      </c>
      <c r="E751" s="517">
        <f t="shared" si="601"/>
        <v>1427.041036739897</v>
      </c>
      <c r="F751" s="517">
        <f t="shared" si="601"/>
        <v>1533.5740294814161</v>
      </c>
      <c r="G751" s="517">
        <f t="shared" si="601"/>
        <v>1522.5650121092174</v>
      </c>
      <c r="H751" s="517">
        <f t="shared" si="601"/>
        <v>969.57673673940837</v>
      </c>
      <c r="I751" s="517">
        <f t="shared" si="601"/>
        <v>1586.7138894073516</v>
      </c>
      <c r="J751" s="517">
        <f t="shared" si="601"/>
        <v>1577.7825116497072</v>
      </c>
      <c r="K751" s="517">
        <f t="shared" si="601"/>
        <v>1442.9972287877292</v>
      </c>
      <c r="L751" s="517">
        <f t="shared" si="601"/>
        <v>1046.5021955076811</v>
      </c>
      <c r="M751" s="517">
        <f t="shared" si="601"/>
        <v>972.81649127506569</v>
      </c>
      <c r="N751" s="517">
        <f t="shared" si="601"/>
        <v>979.69295046894229</v>
      </c>
      <c r="O751" s="517">
        <f t="shared" si="601"/>
        <v>1037.240025981235</v>
      </c>
      <c r="P751" s="511">
        <f t="shared" si="591"/>
        <v>0</v>
      </c>
      <c r="Q751" s="530">
        <v>485</v>
      </c>
      <c r="R751" s="480"/>
      <c r="U751" s="513"/>
    </row>
    <row r="752" spans="1:21" s="479" customFormat="1" ht="18" x14ac:dyDescent="0.15">
      <c r="A752" s="579"/>
      <c r="B752" s="518" t="s">
        <v>253</v>
      </c>
      <c r="C752" s="517">
        <f>'FOND GASO Y D'!Q63</f>
        <v>0</v>
      </c>
      <c r="D752" s="517">
        <f t="shared" ref="D752:O752" si="602">$C752*D$29%</f>
        <v>0</v>
      </c>
      <c r="E752" s="517">
        <f t="shared" si="602"/>
        <v>0</v>
      </c>
      <c r="F752" s="517">
        <f t="shared" si="602"/>
        <v>0</v>
      </c>
      <c r="G752" s="517">
        <f t="shared" si="602"/>
        <v>0</v>
      </c>
      <c r="H752" s="517">
        <f t="shared" si="602"/>
        <v>0</v>
      </c>
      <c r="I752" s="517">
        <f t="shared" si="602"/>
        <v>0</v>
      </c>
      <c r="J752" s="517">
        <f t="shared" si="602"/>
        <v>0</v>
      </c>
      <c r="K752" s="517">
        <f t="shared" si="602"/>
        <v>0</v>
      </c>
      <c r="L752" s="517">
        <f t="shared" si="602"/>
        <v>0</v>
      </c>
      <c r="M752" s="517">
        <f t="shared" si="602"/>
        <v>0</v>
      </c>
      <c r="N752" s="517">
        <f t="shared" si="602"/>
        <v>0</v>
      </c>
      <c r="O752" s="517">
        <f t="shared" si="602"/>
        <v>0</v>
      </c>
      <c r="P752" s="511">
        <f t="shared" si="591"/>
        <v>0</v>
      </c>
      <c r="Q752" s="530">
        <v>24169</v>
      </c>
      <c r="R752" s="480"/>
      <c r="U752" s="513"/>
    </row>
    <row r="753" spans="1:21" s="479" customFormat="1" ht="18" x14ac:dyDescent="0.15">
      <c r="A753" s="579"/>
      <c r="B753" s="528" t="s">
        <v>408</v>
      </c>
      <c r="C753" s="519">
        <f>'FOND GASO Y D'!H63</f>
        <v>782810.51694927271</v>
      </c>
      <c r="D753" s="517">
        <f t="shared" ref="D753:O753" si="603">$C753*D$30%</f>
        <v>60895.458412861037</v>
      </c>
      <c r="E753" s="517">
        <f t="shared" si="603"/>
        <v>66953.170607697379</v>
      </c>
      <c r="F753" s="517">
        <f t="shared" si="603"/>
        <v>65185.819690289398</v>
      </c>
      <c r="G753" s="517">
        <f t="shared" si="603"/>
        <v>60739.603145096218</v>
      </c>
      <c r="H753" s="517">
        <f t="shared" si="603"/>
        <v>66926.360857533335</v>
      </c>
      <c r="I753" s="517">
        <f t="shared" si="603"/>
        <v>64591.890675110153</v>
      </c>
      <c r="J753" s="517">
        <f t="shared" si="603"/>
        <v>65938.541903375342</v>
      </c>
      <c r="K753" s="517">
        <f t="shared" si="603"/>
        <v>65899.359229444017</v>
      </c>
      <c r="L753" s="517">
        <f t="shared" si="603"/>
        <v>68576.163054097575</v>
      </c>
      <c r="M753" s="517">
        <f t="shared" si="603"/>
        <v>67973.985423595368</v>
      </c>
      <c r="N753" s="517">
        <f t="shared" si="603"/>
        <v>63527.768878402188</v>
      </c>
      <c r="O753" s="517">
        <f t="shared" si="603"/>
        <v>65602.395072553511</v>
      </c>
      <c r="P753" s="511">
        <f t="shared" si="591"/>
        <v>-7.8276207204908133E-7</v>
      </c>
      <c r="Q753" s="530">
        <v>47840</v>
      </c>
      <c r="R753" s="480"/>
      <c r="U753" s="513"/>
    </row>
    <row r="754" spans="1:21" s="479" customFormat="1" x14ac:dyDescent="0.15">
      <c r="A754" s="579"/>
      <c r="B754" s="534"/>
      <c r="C754" s="521"/>
      <c r="D754" s="522"/>
      <c r="E754" s="522"/>
      <c r="F754" s="522"/>
      <c r="G754" s="522"/>
      <c r="H754" s="522"/>
      <c r="I754" s="522"/>
      <c r="J754" s="522"/>
      <c r="K754" s="522"/>
      <c r="L754" s="522"/>
      <c r="M754" s="522"/>
      <c r="N754" s="522"/>
      <c r="O754" s="522"/>
      <c r="P754" s="511">
        <f t="shared" si="591"/>
        <v>0</v>
      </c>
      <c r="Q754" s="530">
        <v>0</v>
      </c>
      <c r="R754" s="480"/>
      <c r="U754" s="513"/>
    </row>
    <row r="755" spans="1:21" s="479" customFormat="1" x14ac:dyDescent="0.15">
      <c r="A755" s="591"/>
      <c r="B755" s="532"/>
      <c r="C755" s="521"/>
      <c r="D755" s="521"/>
      <c r="E755" s="521"/>
      <c r="F755" s="521"/>
      <c r="G755" s="521"/>
      <c r="H755" s="521"/>
      <c r="I755" s="521"/>
      <c r="J755" s="521"/>
      <c r="K755" s="521"/>
      <c r="L755" s="521"/>
      <c r="M755" s="521"/>
      <c r="N755" s="521"/>
      <c r="O755" s="521"/>
      <c r="P755" s="511">
        <f t="shared" si="591"/>
        <v>0</v>
      </c>
      <c r="Q755" s="530">
        <v>0</v>
      </c>
      <c r="R755" s="480"/>
      <c r="U755" s="513"/>
    </row>
    <row r="756" spans="1:21" s="479" customFormat="1" x14ac:dyDescent="0.15">
      <c r="A756" s="576">
        <v>49</v>
      </c>
      <c r="B756" s="533" t="s">
        <v>115</v>
      </c>
      <c r="C756" s="524">
        <f t="shared" ref="C756:O756" si="604">SUM(C757:C768)</f>
        <v>77258910.109683678</v>
      </c>
      <c r="D756" s="524">
        <f t="shared" si="604"/>
        <v>5889605.6550796162</v>
      </c>
      <c r="E756" s="524">
        <f t="shared" si="604"/>
        <v>7750800.7692103311</v>
      </c>
      <c r="F756" s="524">
        <f t="shared" si="604"/>
        <v>5548866.8206010628</v>
      </c>
      <c r="G756" s="524">
        <f t="shared" si="604"/>
        <v>6856368.5253109923</v>
      </c>
      <c r="H756" s="524">
        <f t="shared" si="604"/>
        <v>7753305.9188657021</v>
      </c>
      <c r="I756" s="524">
        <f t="shared" si="604"/>
        <v>7746089.200650936</v>
      </c>
      <c r="J756" s="524">
        <f t="shared" si="604"/>
        <v>6589746.641105351</v>
      </c>
      <c r="K756" s="524">
        <f t="shared" si="604"/>
        <v>6456813.1343449168</v>
      </c>
      <c r="L756" s="524">
        <f t="shared" si="604"/>
        <v>6110205.7965123216</v>
      </c>
      <c r="M756" s="524">
        <f t="shared" si="604"/>
        <v>4580049.3492125738</v>
      </c>
      <c r="N756" s="524">
        <f t="shared" si="604"/>
        <v>5953711.2236781083</v>
      </c>
      <c r="O756" s="524">
        <f t="shared" si="604"/>
        <v>6023347.0748883719</v>
      </c>
      <c r="P756" s="511">
        <f t="shared" si="591"/>
        <v>2.2339168936014175E-4</v>
      </c>
      <c r="Q756" s="530">
        <v>4487965</v>
      </c>
      <c r="R756" s="480"/>
      <c r="T756" s="512"/>
      <c r="U756" s="513"/>
    </row>
    <row r="757" spans="1:21" s="479" customFormat="1" x14ac:dyDescent="0.15">
      <c r="A757" s="579"/>
      <c r="B757" s="528" t="s">
        <v>294</v>
      </c>
      <c r="C757" s="517">
        <f>'FG1'!I64</f>
        <v>52648346.321972154</v>
      </c>
      <c r="D757" s="517">
        <f t="shared" ref="D757:O757" si="605">$C757*D$19%</f>
        <v>3982041.8051663539</v>
      </c>
      <c r="E757" s="517">
        <f t="shared" si="605"/>
        <v>5705269.2336384133</v>
      </c>
      <c r="F757" s="517">
        <f t="shared" si="605"/>
        <v>3687861.8274907148</v>
      </c>
      <c r="G757" s="517">
        <f t="shared" si="605"/>
        <v>4530164.6011569677</v>
      </c>
      <c r="H757" s="517">
        <f t="shared" si="605"/>
        <v>5532320.8317374149</v>
      </c>
      <c r="I757" s="517">
        <f t="shared" si="605"/>
        <v>5423626.9681670377</v>
      </c>
      <c r="J757" s="517">
        <f t="shared" si="605"/>
        <v>4204415.1196365776</v>
      </c>
      <c r="K757" s="517">
        <f t="shared" si="605"/>
        <v>4463973.5482456796</v>
      </c>
      <c r="L757" s="517">
        <f t="shared" si="605"/>
        <v>4195027.9238045355</v>
      </c>
      <c r="M757" s="517">
        <f t="shared" si="605"/>
        <v>2780981.119077933</v>
      </c>
      <c r="N757" s="517">
        <f t="shared" si="605"/>
        <v>4058700.1950168367</v>
      </c>
      <c r="O757" s="517">
        <f t="shared" si="605"/>
        <v>4083963.1487810425</v>
      </c>
      <c r="P757" s="511">
        <f t="shared" si="591"/>
        <v>5.2646733820438385E-5</v>
      </c>
      <c r="Q757" s="530">
        <v>3139067</v>
      </c>
      <c r="R757" s="480"/>
      <c r="U757" s="513"/>
    </row>
    <row r="758" spans="1:21" s="479" customFormat="1" x14ac:dyDescent="0.15">
      <c r="A758" s="579"/>
      <c r="B758" s="528" t="s">
        <v>296</v>
      </c>
      <c r="C758" s="517">
        <f>FFM!J64</f>
        <v>14151659.401626967</v>
      </c>
      <c r="D758" s="517">
        <f t="shared" ref="D758:O758" si="606">$C758*D$20%</f>
        <v>1070192.9193124529</v>
      </c>
      <c r="E758" s="517">
        <f t="shared" si="606"/>
        <v>1534295.435434198</v>
      </c>
      <c r="F758" s="517">
        <f t="shared" si="606"/>
        <v>990963.87658411602</v>
      </c>
      <c r="G758" s="517">
        <f t="shared" si="606"/>
        <v>1217814.2785068667</v>
      </c>
      <c r="H758" s="517">
        <f t="shared" si="606"/>
        <v>1487716.6841854376</v>
      </c>
      <c r="I758" s="517">
        <f t="shared" si="606"/>
        <v>1458443.0653038519</v>
      </c>
      <c r="J758" s="517">
        <f t="shared" si="606"/>
        <v>1129983.7968940004</v>
      </c>
      <c r="K758" s="517">
        <f t="shared" si="606"/>
        <v>1199888.5108517609</v>
      </c>
      <c r="L758" s="517">
        <f t="shared" si="606"/>
        <v>1127455.6154519664</v>
      </c>
      <c r="M758" s="517">
        <f t="shared" si="606"/>
        <v>746622.14513295062</v>
      </c>
      <c r="N758" s="517">
        <f t="shared" si="606"/>
        <v>1090739.6050402957</v>
      </c>
      <c r="O758" s="517">
        <f t="shared" si="606"/>
        <v>1097543.4687592501</v>
      </c>
      <c r="P758" s="511">
        <f t="shared" si="591"/>
        <v>1.6981875523924828E-4</v>
      </c>
      <c r="Q758" s="530">
        <v>961080</v>
      </c>
      <c r="R758" s="480"/>
      <c r="U758" s="513"/>
    </row>
    <row r="759" spans="1:21" s="479" customFormat="1" ht="18" x14ac:dyDescent="0.15">
      <c r="A759" s="579"/>
      <c r="B759" s="528" t="s">
        <v>297</v>
      </c>
      <c r="C759" s="517">
        <f>IEPS!I63</f>
        <v>1273247.6397028703</v>
      </c>
      <c r="D759" s="517">
        <f t="shared" ref="D759:O759" si="607">$C759*D$21%</f>
        <v>89432.686207181774</v>
      </c>
      <c r="E759" s="517">
        <f t="shared" si="607"/>
        <v>204416.88809640228</v>
      </c>
      <c r="F759" s="517">
        <f t="shared" si="607"/>
        <v>84906.560649212915</v>
      </c>
      <c r="G759" s="517">
        <f t="shared" si="607"/>
        <v>82517.287339273447</v>
      </c>
      <c r="H759" s="517">
        <f t="shared" si="607"/>
        <v>91103.624715499725</v>
      </c>
      <c r="I759" s="517">
        <f t="shared" si="607"/>
        <v>94476.273873938917</v>
      </c>
      <c r="J759" s="517">
        <f t="shared" si="607"/>
        <v>97293.097306297044</v>
      </c>
      <c r="K759" s="517">
        <f t="shared" si="607"/>
        <v>107772.26817496722</v>
      </c>
      <c r="L759" s="517">
        <f t="shared" si="607"/>
        <v>107998.10008790527</v>
      </c>
      <c r="M759" s="517">
        <f t="shared" si="607"/>
        <v>106797.78180025755</v>
      </c>
      <c r="N759" s="517">
        <f t="shared" si="607"/>
        <v>103344.91600586736</v>
      </c>
      <c r="O759" s="517">
        <f t="shared" si="607"/>
        <v>103188.15544479349</v>
      </c>
      <c r="P759" s="511">
        <f t="shared" si="591"/>
        <v>1.2732634786516428E-6</v>
      </c>
      <c r="Q759" s="530">
        <v>81068</v>
      </c>
      <c r="R759" s="480"/>
      <c r="U759" s="513"/>
    </row>
    <row r="760" spans="1:21" s="479" customFormat="1" x14ac:dyDescent="0.15">
      <c r="A760" s="579"/>
      <c r="B760" s="528" t="s">
        <v>236</v>
      </c>
      <c r="C760" s="517">
        <f>ISR!C54</f>
        <v>4319104.1500000004</v>
      </c>
      <c r="D760" s="517">
        <f>ISR!D54</f>
        <v>205533.87813451214</v>
      </c>
      <c r="E760" s="517">
        <f>ISR!E54</f>
        <v>5786.5952778028714</v>
      </c>
      <c r="F760" s="517">
        <f>ISR!F54</f>
        <v>505450.7834424082</v>
      </c>
      <c r="G760" s="517">
        <f>ISR!G54</f>
        <v>359897.95842884365</v>
      </c>
      <c r="H760" s="517">
        <f>ISR!H54</f>
        <v>359897.95842884365</v>
      </c>
      <c r="I760" s="517">
        <f>ISR!I54</f>
        <v>499047.28389791667</v>
      </c>
      <c r="J760" s="517">
        <f>ISR!J54</f>
        <v>359897.95842884365</v>
      </c>
      <c r="K760" s="517">
        <f>ISR!K54</f>
        <v>406130.85932080663</v>
      </c>
      <c r="L760" s="517">
        <f>ISR!L54</f>
        <v>398254.10592110798</v>
      </c>
      <c r="M760" s="517">
        <f>ISR!M54</f>
        <v>395736.60441231675</v>
      </c>
      <c r="N760" s="517">
        <f>ISR!N54</f>
        <v>410091.92156454118</v>
      </c>
      <c r="O760" s="517">
        <f>ISR!O54</f>
        <v>413378.24274205649</v>
      </c>
      <c r="P760" s="511">
        <f t="shared" si="591"/>
        <v>0</v>
      </c>
      <c r="Q760" s="530">
        <v>0</v>
      </c>
      <c r="R760" s="480"/>
      <c r="U760" s="513"/>
    </row>
    <row r="761" spans="1:21" s="479" customFormat="1" ht="18" x14ac:dyDescent="0.15">
      <c r="A761" s="579"/>
      <c r="B761" s="528" t="s">
        <v>298</v>
      </c>
      <c r="C761" s="517">
        <f>FOFIR!I63</f>
        <v>2462454.6686800197</v>
      </c>
      <c r="D761" s="517">
        <f t="shared" ref="D761:O761" si="608">$C761*D$23%</f>
        <v>336655.71038911078</v>
      </c>
      <c r="E761" s="517">
        <f t="shared" si="608"/>
        <v>85652.21947687045</v>
      </c>
      <c r="F761" s="517">
        <f t="shared" si="608"/>
        <v>85652.21947687045</v>
      </c>
      <c r="G761" s="517">
        <f t="shared" si="608"/>
        <v>483364.11740093614</v>
      </c>
      <c r="H761" s="517">
        <f t="shared" si="608"/>
        <v>85652.21947687045</v>
      </c>
      <c r="I761" s="517">
        <f t="shared" si="608"/>
        <v>85652.21947687045</v>
      </c>
      <c r="J761" s="517">
        <f t="shared" si="608"/>
        <v>601227.07673437649</v>
      </c>
      <c r="K761" s="517">
        <f t="shared" si="608"/>
        <v>85652.21947687045</v>
      </c>
      <c r="L761" s="517">
        <f t="shared" si="608"/>
        <v>85652.21947687045</v>
      </c>
      <c r="M761" s="517">
        <f t="shared" si="608"/>
        <v>355990.00835048256</v>
      </c>
      <c r="N761" s="517">
        <f t="shared" si="608"/>
        <v>85652.21947687045</v>
      </c>
      <c r="O761" s="517">
        <f t="shared" si="608"/>
        <v>85652.21947687045</v>
      </c>
      <c r="P761" s="511">
        <f t="shared" si="591"/>
        <v>-9.8500458989292383E-6</v>
      </c>
      <c r="Q761" s="530">
        <v>95493</v>
      </c>
      <c r="R761" s="480"/>
      <c r="U761" s="513"/>
    </row>
    <row r="762" spans="1:21" s="479" customFormat="1" ht="27" x14ac:dyDescent="0.15">
      <c r="A762" s="579"/>
      <c r="B762" s="528" t="s">
        <v>407</v>
      </c>
      <c r="C762" s="517">
        <f>FCISAN!I63</f>
        <v>156319.69747159592</v>
      </c>
      <c r="D762" s="517">
        <f t="shared" ref="D762:O762" si="609">$C762*D$24%</f>
        <v>13026.641455914221</v>
      </c>
      <c r="E762" s="517">
        <f t="shared" si="609"/>
        <v>13026.641455914221</v>
      </c>
      <c r="F762" s="517">
        <f t="shared" si="609"/>
        <v>13026.641455914221</v>
      </c>
      <c r="G762" s="517">
        <f t="shared" si="609"/>
        <v>13026.641455914221</v>
      </c>
      <c r="H762" s="517">
        <f t="shared" si="609"/>
        <v>13026.641455914221</v>
      </c>
      <c r="I762" s="517">
        <f t="shared" si="609"/>
        <v>13026.641455914221</v>
      </c>
      <c r="J762" s="517">
        <f t="shared" si="609"/>
        <v>13026.641455914221</v>
      </c>
      <c r="K762" s="517">
        <f t="shared" si="609"/>
        <v>13026.641455914221</v>
      </c>
      <c r="L762" s="517">
        <f t="shared" si="609"/>
        <v>13026.641455914221</v>
      </c>
      <c r="M762" s="517">
        <f t="shared" si="609"/>
        <v>13026.641455914221</v>
      </c>
      <c r="N762" s="517">
        <f t="shared" si="609"/>
        <v>13026.641455914221</v>
      </c>
      <c r="O762" s="517">
        <f t="shared" si="609"/>
        <v>13026.641455914221</v>
      </c>
      <c r="P762" s="511">
        <f t="shared" si="591"/>
        <v>6.2531034927815199E-7</v>
      </c>
      <c r="Q762" s="530">
        <v>11357</v>
      </c>
      <c r="R762" s="480"/>
      <c r="U762" s="513"/>
    </row>
    <row r="763" spans="1:21" s="479" customFormat="1" ht="27" x14ac:dyDescent="0.15">
      <c r="A763" s="579"/>
      <c r="B763" s="528" t="s">
        <v>242</v>
      </c>
      <c r="C763" s="517">
        <f>ISAN!I63</f>
        <v>780835.22133176331</v>
      </c>
      <c r="D763" s="517">
        <f t="shared" ref="D763:O763" si="610">$C763*D$25%</f>
        <v>75142.590231337424</v>
      </c>
      <c r="E763" s="517">
        <f t="shared" si="610"/>
        <v>83926.426494559943</v>
      </c>
      <c r="F763" s="517">
        <f t="shared" si="610"/>
        <v>65134.317017921385</v>
      </c>
      <c r="G763" s="517">
        <f t="shared" si="610"/>
        <v>60451.364844548014</v>
      </c>
      <c r="H763" s="517">
        <f t="shared" si="610"/>
        <v>64635.874052685314</v>
      </c>
      <c r="I763" s="517">
        <f t="shared" si="610"/>
        <v>56138.223328227854</v>
      </c>
      <c r="J763" s="517">
        <f t="shared" si="610"/>
        <v>60817.15765228388</v>
      </c>
      <c r="K763" s="517">
        <f t="shared" si="610"/>
        <v>62718.47602362201</v>
      </c>
      <c r="L763" s="517">
        <f t="shared" si="610"/>
        <v>61629.136602762905</v>
      </c>
      <c r="M763" s="517">
        <f t="shared" si="610"/>
        <v>63140.545156196298</v>
      </c>
      <c r="N763" s="517">
        <f t="shared" si="610"/>
        <v>61134.713139091524</v>
      </c>
      <c r="O763" s="517">
        <f t="shared" si="610"/>
        <v>65966.39677915677</v>
      </c>
      <c r="P763" s="511">
        <f t="shared" si="591"/>
        <v>9.369905455969274E-6</v>
      </c>
      <c r="Q763" s="530">
        <v>48798</v>
      </c>
      <c r="R763" s="480"/>
      <c r="U763" s="513"/>
    </row>
    <row r="764" spans="1:21" s="479" customFormat="1" ht="18" x14ac:dyDescent="0.15">
      <c r="A764" s="579"/>
      <c r="B764" s="528" t="s">
        <v>403</v>
      </c>
      <c r="C764" s="517">
        <f>LOT!I63</f>
        <v>37797.886672769586</v>
      </c>
      <c r="D764" s="517">
        <f t="shared" ref="D764:O764" si="611">$C764*D$26%</f>
        <v>2857.9129125515447</v>
      </c>
      <c r="E764" s="517">
        <f t="shared" si="611"/>
        <v>2817.4038992048663</v>
      </c>
      <c r="F764" s="517">
        <f t="shared" si="611"/>
        <v>2769.1622042191125</v>
      </c>
      <c r="G764" s="517">
        <f t="shared" si="611"/>
        <v>3046.6967697488139</v>
      </c>
      <c r="H764" s="517">
        <f t="shared" si="611"/>
        <v>2492.7525148337759</v>
      </c>
      <c r="I764" s="517">
        <f t="shared" si="611"/>
        <v>3382.7922534543627</v>
      </c>
      <c r="J764" s="517">
        <f t="shared" si="611"/>
        <v>7763.5045844285169</v>
      </c>
      <c r="K764" s="517">
        <f t="shared" si="611"/>
        <v>2826.1940991509673</v>
      </c>
      <c r="L764" s="517">
        <f t="shared" si="611"/>
        <v>3429.2354937333735</v>
      </c>
      <c r="M764" s="517">
        <f t="shared" si="611"/>
        <v>2123.1667061482826</v>
      </c>
      <c r="N764" s="517">
        <f t="shared" si="611"/>
        <v>2144.5326174211978</v>
      </c>
      <c r="O764" s="517">
        <f t="shared" si="611"/>
        <v>2144.5326174211978</v>
      </c>
      <c r="P764" s="511">
        <f t="shared" si="591"/>
        <v>4.5357410272117704E-7</v>
      </c>
      <c r="Q764" s="530">
        <v>2382</v>
      </c>
      <c r="R764" s="480"/>
      <c r="U764" s="513"/>
    </row>
    <row r="765" spans="1:21" s="479" customFormat="1" ht="45" x14ac:dyDescent="0.15">
      <c r="A765" s="579"/>
      <c r="B765" s="518" t="s">
        <v>301</v>
      </c>
      <c r="C765" s="517">
        <f>'ENAJENAC DE INMUE'!I63</f>
        <v>148625.77696696209</v>
      </c>
      <c r="D765" s="517">
        <f t="shared" ref="D765:O765" si="612">$C765*D$27%</f>
        <v>6418.5108391612202</v>
      </c>
      <c r="E765" s="517">
        <f t="shared" si="612"/>
        <v>6513.0490730908195</v>
      </c>
      <c r="F765" s="517">
        <f t="shared" si="612"/>
        <v>6425.2444610746452</v>
      </c>
      <c r="G765" s="517">
        <f t="shared" si="612"/>
        <v>6387.6071687484373</v>
      </c>
      <c r="H765" s="517">
        <f t="shared" si="612"/>
        <v>8860.8310215271322</v>
      </c>
      <c r="I765" s="517">
        <f t="shared" si="612"/>
        <v>6377.8275926240121</v>
      </c>
      <c r="J765" s="517">
        <f t="shared" si="612"/>
        <v>7329.9033374816818</v>
      </c>
      <c r="K765" s="517">
        <f t="shared" si="612"/>
        <v>7322.3583936099312</v>
      </c>
      <c r="L765" s="517">
        <f t="shared" si="612"/>
        <v>7313.0823965449281</v>
      </c>
      <c r="M765" s="517">
        <f t="shared" si="612"/>
        <v>6386.5615427114963</v>
      </c>
      <c r="N765" s="517">
        <f t="shared" si="612"/>
        <v>26552.974236693492</v>
      </c>
      <c r="O765" s="517">
        <f t="shared" si="612"/>
        <v>52737.826903397043</v>
      </c>
      <c r="P765" s="511">
        <f t="shared" si="591"/>
        <v>2.9725197236984968E-7</v>
      </c>
      <c r="Q765" s="530">
        <v>34780</v>
      </c>
      <c r="R765" s="480"/>
      <c r="U765" s="513"/>
    </row>
    <row r="766" spans="1:21" s="479" customFormat="1" ht="27" x14ac:dyDescent="0.15">
      <c r="A766" s="579"/>
      <c r="B766" s="518" t="s">
        <v>248</v>
      </c>
      <c r="C766" s="517">
        <f>'IMP BEBIDAS AL'!I63</f>
        <v>58090.807685302731</v>
      </c>
      <c r="D766" s="517">
        <f t="shared" ref="D766:O766" si="613">$C766*D$28%</f>
        <v>13209.303347618836</v>
      </c>
      <c r="E766" s="517">
        <f t="shared" si="613"/>
        <v>4543.5206542107771</v>
      </c>
      <c r="F766" s="517">
        <f t="shared" si="613"/>
        <v>4882.7084143481916</v>
      </c>
      <c r="G766" s="517">
        <f t="shared" si="613"/>
        <v>4847.6570762819638</v>
      </c>
      <c r="H766" s="517">
        <f t="shared" si="613"/>
        <v>3087.0113863591214</v>
      </c>
      <c r="I766" s="517">
        <f t="shared" si="613"/>
        <v>5051.8990997730016</v>
      </c>
      <c r="J766" s="517">
        <f t="shared" si="613"/>
        <v>5023.4627070781416</v>
      </c>
      <c r="K766" s="517">
        <f t="shared" si="613"/>
        <v>4594.3231793417299</v>
      </c>
      <c r="L766" s="517">
        <f t="shared" si="613"/>
        <v>3331.9324515211679</v>
      </c>
      <c r="M766" s="517">
        <f t="shared" si="613"/>
        <v>3097.3263606789628</v>
      </c>
      <c r="N766" s="517">
        <f t="shared" si="613"/>
        <v>3119.220148993973</v>
      </c>
      <c r="O766" s="517">
        <f t="shared" si="613"/>
        <v>3302.4428590968687</v>
      </c>
      <c r="P766" s="511">
        <f t="shared" si="591"/>
        <v>-3.637978807091713E-12</v>
      </c>
      <c r="Q766" s="530">
        <v>1490</v>
      </c>
      <c r="R766" s="480"/>
      <c r="U766" s="513"/>
    </row>
    <row r="767" spans="1:21" s="479" customFormat="1" ht="18" x14ac:dyDescent="0.15">
      <c r="A767" s="579"/>
      <c r="B767" s="518" t="s">
        <v>253</v>
      </c>
      <c r="C767" s="517">
        <f>'FOND GASO Y D'!Q64</f>
        <v>0</v>
      </c>
      <c r="D767" s="517">
        <f t="shared" ref="D767:O767" si="614">$C767*D$29%</f>
        <v>0</v>
      </c>
      <c r="E767" s="517">
        <f t="shared" si="614"/>
        <v>0</v>
      </c>
      <c r="F767" s="517">
        <f t="shared" si="614"/>
        <v>0</v>
      </c>
      <c r="G767" s="517">
        <f t="shared" si="614"/>
        <v>0</v>
      </c>
      <c r="H767" s="517">
        <f t="shared" si="614"/>
        <v>0</v>
      </c>
      <c r="I767" s="517">
        <f t="shared" si="614"/>
        <v>0</v>
      </c>
      <c r="J767" s="517">
        <f t="shared" si="614"/>
        <v>0</v>
      </c>
      <c r="K767" s="517">
        <f t="shared" si="614"/>
        <v>0</v>
      </c>
      <c r="L767" s="517">
        <f t="shared" si="614"/>
        <v>0</v>
      </c>
      <c r="M767" s="517">
        <f t="shared" si="614"/>
        <v>0</v>
      </c>
      <c r="N767" s="517">
        <f t="shared" si="614"/>
        <v>0</v>
      </c>
      <c r="O767" s="517">
        <f t="shared" si="614"/>
        <v>0</v>
      </c>
      <c r="P767" s="511">
        <f t="shared" si="591"/>
        <v>0</v>
      </c>
      <c r="Q767" s="530">
        <v>37742</v>
      </c>
      <c r="R767" s="480"/>
      <c r="U767" s="513"/>
    </row>
    <row r="768" spans="1:21" s="479" customFormat="1" ht="18" x14ac:dyDescent="0.15">
      <c r="A768" s="579"/>
      <c r="B768" s="528" t="s">
        <v>408</v>
      </c>
      <c r="C768" s="519">
        <f>'FOND GASO Y D'!H64</f>
        <v>1222428.537573298</v>
      </c>
      <c r="D768" s="517">
        <f t="shared" ref="D768:O768" si="615">$C768*D$30%</f>
        <v>95093.697083419684</v>
      </c>
      <c r="E768" s="517">
        <f t="shared" si="615"/>
        <v>104553.35570966368</v>
      </c>
      <c r="F768" s="517">
        <f t="shared" si="615"/>
        <v>101793.47940426414</v>
      </c>
      <c r="G768" s="517">
        <f t="shared" si="615"/>
        <v>94850.315162863291</v>
      </c>
      <c r="H768" s="517">
        <f t="shared" si="615"/>
        <v>104511.48989031643</v>
      </c>
      <c r="I768" s="517">
        <f t="shared" si="615"/>
        <v>100866.00620132688</v>
      </c>
      <c r="J768" s="517">
        <f t="shared" si="615"/>
        <v>102968.92236807043</v>
      </c>
      <c r="K768" s="517">
        <f t="shared" si="615"/>
        <v>102907.73512319443</v>
      </c>
      <c r="L768" s="517">
        <f t="shared" si="615"/>
        <v>107087.80336945935</v>
      </c>
      <c r="M768" s="517">
        <f t="shared" si="615"/>
        <v>106147.44921698455</v>
      </c>
      <c r="N768" s="517">
        <f t="shared" si="615"/>
        <v>99204.284975583723</v>
      </c>
      <c r="O768" s="517">
        <f t="shared" si="615"/>
        <v>102443.99906937381</v>
      </c>
      <c r="P768" s="511">
        <f t="shared" si="591"/>
        <v>-1.2222881196066737E-6</v>
      </c>
      <c r="Q768" s="530">
        <v>74708</v>
      </c>
      <c r="R768" s="480"/>
      <c r="U768" s="513"/>
    </row>
    <row r="769" spans="1:21" s="479" customFormat="1" x14ac:dyDescent="0.15">
      <c r="A769" s="579"/>
      <c r="B769" s="534"/>
      <c r="C769" s="521"/>
      <c r="D769" s="522"/>
      <c r="E769" s="522"/>
      <c r="F769" s="522"/>
      <c r="G769" s="522"/>
      <c r="H769" s="522"/>
      <c r="I769" s="522"/>
      <c r="J769" s="522"/>
      <c r="K769" s="522"/>
      <c r="L769" s="522"/>
      <c r="M769" s="522"/>
      <c r="N769" s="522"/>
      <c r="O769" s="522"/>
      <c r="P769" s="511">
        <f t="shared" si="591"/>
        <v>0</v>
      </c>
      <c r="Q769" s="530">
        <v>0</v>
      </c>
      <c r="R769" s="480"/>
      <c r="U769" s="513"/>
    </row>
    <row r="770" spans="1:21" s="479" customFormat="1" x14ac:dyDescent="0.15">
      <c r="A770" s="591"/>
      <c r="B770" s="532"/>
      <c r="C770" s="521"/>
      <c r="D770" s="521"/>
      <c r="E770" s="521"/>
      <c r="F770" s="521"/>
      <c r="G770" s="521"/>
      <c r="H770" s="521"/>
      <c r="I770" s="521"/>
      <c r="J770" s="521"/>
      <c r="K770" s="521"/>
      <c r="L770" s="521"/>
      <c r="M770" s="521"/>
      <c r="N770" s="521"/>
      <c r="O770" s="521"/>
      <c r="P770" s="511">
        <f t="shared" si="591"/>
        <v>0</v>
      </c>
      <c r="Q770" s="530">
        <v>0</v>
      </c>
      <c r="R770" s="480"/>
      <c r="U770" s="513"/>
    </row>
    <row r="771" spans="1:21" s="479" customFormat="1" x14ac:dyDescent="0.15">
      <c r="A771" s="576">
        <v>50</v>
      </c>
      <c r="B771" s="533" t="s">
        <v>69</v>
      </c>
      <c r="C771" s="524">
        <f t="shared" ref="C771:O771" si="616">SUM(C772:C783)</f>
        <v>147819382.34308344</v>
      </c>
      <c r="D771" s="524">
        <f t="shared" si="616"/>
        <v>11591657.736954138</v>
      </c>
      <c r="E771" s="524">
        <f t="shared" si="616"/>
        <v>15387086.42581364</v>
      </c>
      <c r="F771" s="524">
        <f t="shared" si="616"/>
        <v>10404929.090482874</v>
      </c>
      <c r="G771" s="524">
        <f t="shared" si="616"/>
        <v>13059113.303290928</v>
      </c>
      <c r="H771" s="524">
        <f t="shared" si="616"/>
        <v>14701769.405461734</v>
      </c>
      <c r="I771" s="524">
        <f t="shared" si="616"/>
        <v>14470234.94352304</v>
      </c>
      <c r="J771" s="524">
        <f t="shared" si="616"/>
        <v>12606818.126159055</v>
      </c>
      <c r="K771" s="524">
        <f t="shared" si="616"/>
        <v>12281980.319423871</v>
      </c>
      <c r="L771" s="524">
        <f t="shared" si="616"/>
        <v>11659180.132514317</v>
      </c>
      <c r="M771" s="524">
        <f t="shared" si="616"/>
        <v>8837604.3924574312</v>
      </c>
      <c r="N771" s="524">
        <f t="shared" si="616"/>
        <v>11345194.743749555</v>
      </c>
      <c r="O771" s="524">
        <f t="shared" si="616"/>
        <v>11473813.722841972</v>
      </c>
      <c r="P771" s="511">
        <f t="shared" si="591"/>
        <v>4.1087158024311066E-4</v>
      </c>
      <c r="Q771" s="530">
        <v>8326039</v>
      </c>
      <c r="R771" s="480"/>
      <c r="T771" s="512"/>
      <c r="U771" s="513"/>
    </row>
    <row r="772" spans="1:21" s="479" customFormat="1" x14ac:dyDescent="0.15">
      <c r="A772" s="579"/>
      <c r="B772" s="528" t="s">
        <v>294</v>
      </c>
      <c r="C772" s="517">
        <f>'FG1'!I65</f>
        <v>97131745.234706387</v>
      </c>
      <c r="D772" s="517">
        <f t="shared" ref="D772:O772" si="617">$C772*D$19%</f>
        <v>7346530.2740562912</v>
      </c>
      <c r="E772" s="517">
        <f t="shared" si="617"/>
        <v>10525739.105045769</v>
      </c>
      <c r="F772" s="517">
        <f t="shared" si="617"/>
        <v>6803793.1010785205</v>
      </c>
      <c r="G772" s="517">
        <f t="shared" si="617"/>
        <v>8357770.4648099393</v>
      </c>
      <c r="H772" s="517">
        <f t="shared" si="617"/>
        <v>10206663.933919519</v>
      </c>
      <c r="I772" s="517">
        <f t="shared" si="617"/>
        <v>10006132.9504708</v>
      </c>
      <c r="J772" s="517">
        <f t="shared" si="617"/>
        <v>7756790.227826287</v>
      </c>
      <c r="K772" s="517">
        <f t="shared" si="617"/>
        <v>8235653.5715484107</v>
      </c>
      <c r="L772" s="517">
        <f t="shared" si="617"/>
        <v>7739471.6456157435</v>
      </c>
      <c r="M772" s="517">
        <f t="shared" si="617"/>
        <v>5130674.9106395859</v>
      </c>
      <c r="N772" s="517">
        <f t="shared" si="617"/>
        <v>7487958.5184977017</v>
      </c>
      <c r="O772" s="517">
        <f t="shared" si="617"/>
        <v>7534566.5311006904</v>
      </c>
      <c r="P772" s="511">
        <f t="shared" si="591"/>
        <v>9.7135081887245178E-5</v>
      </c>
      <c r="Q772" s="530">
        <v>5739846</v>
      </c>
      <c r="R772" s="480"/>
      <c r="U772" s="513"/>
    </row>
    <row r="773" spans="1:21" s="479" customFormat="1" x14ac:dyDescent="0.15">
      <c r="A773" s="579"/>
      <c r="B773" s="528" t="s">
        <v>296</v>
      </c>
      <c r="C773" s="517">
        <f>FFM!J65</f>
        <v>26108614.451837115</v>
      </c>
      <c r="D773" s="517">
        <f t="shared" ref="D773:O773" si="618">$C773*D$20%</f>
        <v>1974415.4043307845</v>
      </c>
      <c r="E773" s="517">
        <f t="shared" si="618"/>
        <v>2830645.286330143</v>
      </c>
      <c r="F773" s="517">
        <f t="shared" si="618"/>
        <v>1828244.5227913051</v>
      </c>
      <c r="G773" s="517">
        <f t="shared" si="618"/>
        <v>2246764.3241768917</v>
      </c>
      <c r="H773" s="517">
        <f t="shared" si="618"/>
        <v>2744711.4305547485</v>
      </c>
      <c r="I773" s="517">
        <f t="shared" si="618"/>
        <v>2690704.0800880273</v>
      </c>
      <c r="J773" s="517">
        <f t="shared" si="618"/>
        <v>2084724.5155247797</v>
      </c>
      <c r="K773" s="517">
        <f t="shared" si="618"/>
        <v>2213692.79926395</v>
      </c>
      <c r="L773" s="517">
        <f t="shared" si="618"/>
        <v>2080060.234632974</v>
      </c>
      <c r="M773" s="517">
        <f t="shared" si="618"/>
        <v>1377454.6980857037</v>
      </c>
      <c r="N773" s="517">
        <f t="shared" si="618"/>
        <v>2012322.3013742254</v>
      </c>
      <c r="O773" s="517">
        <f t="shared" si="618"/>
        <v>2024874.8543702792</v>
      </c>
      <c r="P773" s="511">
        <f t="shared" si="591"/>
        <v>3.1330669298768044E-4</v>
      </c>
      <c r="Q773" s="530">
        <v>1757354</v>
      </c>
      <c r="R773" s="480"/>
      <c r="U773" s="513"/>
    </row>
    <row r="774" spans="1:21" s="479" customFormat="1" ht="18" x14ac:dyDescent="0.15">
      <c r="A774" s="579"/>
      <c r="B774" s="528" t="s">
        <v>297</v>
      </c>
      <c r="C774" s="517">
        <f>IEPS!I64</f>
        <v>2349034.1862588963</v>
      </c>
      <c r="D774" s="517">
        <f t="shared" ref="D774:O774" si="619">$C774*D$21%</f>
        <v>164995.74059187699</v>
      </c>
      <c r="E774" s="517">
        <f t="shared" si="619"/>
        <v>377131.86611456453</v>
      </c>
      <c r="F774" s="517">
        <f t="shared" si="619"/>
        <v>156645.42182007068</v>
      </c>
      <c r="G774" s="517">
        <f t="shared" si="619"/>
        <v>152237.41468119744</v>
      </c>
      <c r="H774" s="517">
        <f t="shared" si="619"/>
        <v>168078.48078850622</v>
      </c>
      <c r="I774" s="517">
        <f t="shared" si="619"/>
        <v>174300.73318025601</v>
      </c>
      <c r="J774" s="517">
        <f t="shared" si="619"/>
        <v>179497.53412685622</v>
      </c>
      <c r="K774" s="517">
        <f t="shared" si="619"/>
        <v>198830.71790554287</v>
      </c>
      <c r="L774" s="517">
        <f t="shared" si="619"/>
        <v>199247.35868090965</v>
      </c>
      <c r="M774" s="517">
        <f t="shared" si="619"/>
        <v>197032.87297981363</v>
      </c>
      <c r="N774" s="517">
        <f t="shared" si="619"/>
        <v>190662.62768057291</v>
      </c>
      <c r="O774" s="517">
        <f t="shared" si="619"/>
        <v>190373.41770638002</v>
      </c>
      <c r="P774" s="511">
        <f t="shared" si="591"/>
        <v>2.3491447791457176E-6</v>
      </c>
      <c r="Q774" s="530">
        <v>148236</v>
      </c>
      <c r="R774" s="480"/>
      <c r="U774" s="513"/>
    </row>
    <row r="775" spans="1:21" s="479" customFormat="1" x14ac:dyDescent="0.15">
      <c r="A775" s="579"/>
      <c r="B775" s="528" t="s">
        <v>236</v>
      </c>
      <c r="C775" s="517">
        <f>ISR!C55</f>
        <v>11970376.75</v>
      </c>
      <c r="D775" s="517">
        <f>ISR!D55</f>
        <v>1005357.9359674591</v>
      </c>
      <c r="E775" s="517">
        <f>ISR!E55</f>
        <v>988607.52696885949</v>
      </c>
      <c r="F775" s="517">
        <f>ISR!F55</f>
        <v>993562.85629761184</v>
      </c>
      <c r="G775" s="517">
        <f>ISR!G55</f>
        <v>974261.54874552682</v>
      </c>
      <c r="H775" s="517">
        <f>ISR!H55</f>
        <v>952018.10656123457</v>
      </c>
      <c r="I775" s="517">
        <f>ISR!I55</f>
        <v>994337.46441327396</v>
      </c>
      <c r="J775" s="517">
        <f>ISR!J55</f>
        <v>1005352.0379361226</v>
      </c>
      <c r="K775" s="517">
        <f>ISR!K55</f>
        <v>1011125.2276103469</v>
      </c>
      <c r="L775" s="517">
        <f>ISR!L55</f>
        <v>1008873.162644631</v>
      </c>
      <c r="M775" s="517">
        <f>ISR!M55</f>
        <v>1006647.6388199342</v>
      </c>
      <c r="N775" s="517">
        <f>ISR!N55</f>
        <v>1013709.5483414101</v>
      </c>
      <c r="O775" s="517">
        <f>ISR!O55</f>
        <v>1016523.6956935925</v>
      </c>
      <c r="P775" s="511">
        <f t="shared" si="591"/>
        <v>-2.2118911147117615E-9</v>
      </c>
      <c r="Q775" s="530">
        <v>0</v>
      </c>
      <c r="R775" s="480"/>
      <c r="U775" s="513"/>
    </row>
    <row r="776" spans="1:21" s="479" customFormat="1" ht="18" x14ac:dyDescent="0.15">
      <c r="A776" s="579"/>
      <c r="B776" s="528" t="s">
        <v>298</v>
      </c>
      <c r="C776" s="517">
        <f>FOFIR!I64</f>
        <v>4543020.5550524769</v>
      </c>
      <c r="D776" s="517">
        <f t="shared" ref="D776:O776" si="620">$C776*D$23%</f>
        <v>621101.30664592714</v>
      </c>
      <c r="E776" s="517">
        <f t="shared" si="620"/>
        <v>158021.09927890502</v>
      </c>
      <c r="F776" s="517">
        <f t="shared" si="620"/>
        <v>158021.09927890502</v>
      </c>
      <c r="G776" s="517">
        <f t="shared" si="620"/>
        <v>891765.90694535093</v>
      </c>
      <c r="H776" s="517">
        <f t="shared" si="620"/>
        <v>158021.09927890502</v>
      </c>
      <c r="I776" s="517">
        <f t="shared" si="620"/>
        <v>158021.09927890502</v>
      </c>
      <c r="J776" s="517">
        <f t="shared" si="620"/>
        <v>1109213.0964272835</v>
      </c>
      <c r="K776" s="517">
        <f t="shared" si="620"/>
        <v>158021.09927890502</v>
      </c>
      <c r="L776" s="517">
        <f t="shared" si="620"/>
        <v>158021.09927890502</v>
      </c>
      <c r="M776" s="517">
        <f t="shared" si="620"/>
        <v>656771.45082084718</v>
      </c>
      <c r="N776" s="517">
        <f t="shared" si="620"/>
        <v>158021.09927890502</v>
      </c>
      <c r="O776" s="517">
        <f t="shared" si="620"/>
        <v>158021.09927890502</v>
      </c>
      <c r="P776" s="511">
        <f t="shared" si="591"/>
        <v>-1.8171616829931736E-5</v>
      </c>
      <c r="Q776" s="530">
        <v>174608</v>
      </c>
      <c r="R776" s="480"/>
      <c r="U776" s="513"/>
    </row>
    <row r="777" spans="1:21" s="479" customFormat="1" ht="27" x14ac:dyDescent="0.15">
      <c r="A777" s="579"/>
      <c r="B777" s="528" t="s">
        <v>407</v>
      </c>
      <c r="C777" s="517">
        <f>FCISAN!I64</f>
        <v>288396.61814108561</v>
      </c>
      <c r="D777" s="517">
        <f t="shared" ref="D777:O777" si="621">$C777*D$24%</f>
        <v>24033.051511661004</v>
      </c>
      <c r="E777" s="517">
        <f t="shared" si="621"/>
        <v>24033.051511661004</v>
      </c>
      <c r="F777" s="517">
        <f t="shared" si="621"/>
        <v>24033.051511661004</v>
      </c>
      <c r="G777" s="517">
        <f t="shared" si="621"/>
        <v>24033.051511661004</v>
      </c>
      <c r="H777" s="517">
        <f t="shared" si="621"/>
        <v>24033.051511661004</v>
      </c>
      <c r="I777" s="517">
        <f t="shared" si="621"/>
        <v>24033.051511661004</v>
      </c>
      <c r="J777" s="517">
        <f t="shared" si="621"/>
        <v>24033.051511661004</v>
      </c>
      <c r="K777" s="517">
        <f t="shared" si="621"/>
        <v>24033.051511661004</v>
      </c>
      <c r="L777" s="517">
        <f t="shared" si="621"/>
        <v>24033.051511661004</v>
      </c>
      <c r="M777" s="517">
        <f t="shared" si="621"/>
        <v>24033.051511661004</v>
      </c>
      <c r="N777" s="517">
        <f t="shared" si="621"/>
        <v>24033.051511661004</v>
      </c>
      <c r="O777" s="517">
        <f t="shared" si="621"/>
        <v>24033.051511661004</v>
      </c>
      <c r="P777" s="511">
        <f t="shared" si="591"/>
        <v>1.1535303201526403E-6</v>
      </c>
      <c r="Q777" s="530">
        <v>20772</v>
      </c>
      <c r="R777" s="480"/>
      <c r="U777" s="513"/>
    </row>
    <row r="778" spans="1:21" s="479" customFormat="1" ht="27" x14ac:dyDescent="0.15">
      <c r="A778" s="579"/>
      <c r="B778" s="528" t="s">
        <v>242</v>
      </c>
      <c r="C778" s="517">
        <f>ISAN!I64</f>
        <v>1440574.9294547145</v>
      </c>
      <c r="D778" s="517">
        <f t="shared" ref="D778:O778" si="622">$C778*D$25%</f>
        <v>138631.72237149955</v>
      </c>
      <c r="E778" s="517">
        <f t="shared" si="622"/>
        <v>154837.15721811386</v>
      </c>
      <c r="F778" s="517">
        <f t="shared" si="622"/>
        <v>120167.30493168419</v>
      </c>
      <c r="G778" s="517">
        <f t="shared" si="622"/>
        <v>111527.65432103271</v>
      </c>
      <c r="H778" s="517">
        <f t="shared" si="622"/>
        <v>119247.71982606166</v>
      </c>
      <c r="I778" s="517">
        <f t="shared" si="622"/>
        <v>103570.27308891594</v>
      </c>
      <c r="J778" s="517">
        <f t="shared" si="622"/>
        <v>112202.51110746249</v>
      </c>
      <c r="K778" s="517">
        <f t="shared" si="622"/>
        <v>115710.28266263114</v>
      </c>
      <c r="L778" s="517">
        <f t="shared" si="622"/>
        <v>113700.54358262416</v>
      </c>
      <c r="M778" s="517">
        <f t="shared" si="622"/>
        <v>116488.96450775358</v>
      </c>
      <c r="N778" s="517">
        <f t="shared" si="622"/>
        <v>112788.37411736316</v>
      </c>
      <c r="O778" s="517">
        <f t="shared" si="622"/>
        <v>121702.42170228521</v>
      </c>
      <c r="P778" s="511">
        <f t="shared" si="591"/>
        <v>1.7287064110860229E-5</v>
      </c>
      <c r="Q778" s="530">
        <v>89225</v>
      </c>
      <c r="R778" s="480"/>
      <c r="U778" s="513"/>
    </row>
    <row r="779" spans="1:21" s="479" customFormat="1" ht="18" x14ac:dyDescent="0.15">
      <c r="A779" s="579"/>
      <c r="B779" s="528" t="s">
        <v>403</v>
      </c>
      <c r="C779" s="517">
        <f>LOT!I64</f>
        <v>69733.903440335678</v>
      </c>
      <c r="D779" s="517">
        <f t="shared" ref="D779:O779" si="623">$C779*D$26%</f>
        <v>5272.6075616373864</v>
      </c>
      <c r="E779" s="517">
        <f t="shared" si="623"/>
        <v>5197.8718588284883</v>
      </c>
      <c r="F779" s="517">
        <f t="shared" si="623"/>
        <v>5108.8700125332498</v>
      </c>
      <c r="G779" s="517">
        <f t="shared" si="623"/>
        <v>5620.8978082022186</v>
      </c>
      <c r="H779" s="517">
        <f t="shared" si="623"/>
        <v>4598.917518192965</v>
      </c>
      <c r="I779" s="517">
        <f t="shared" si="623"/>
        <v>6240.9655440087381</v>
      </c>
      <c r="J779" s="517">
        <f t="shared" si="623"/>
        <v>14323.009213082885</v>
      </c>
      <c r="K779" s="517">
        <f t="shared" si="623"/>
        <v>5214.0890341316845</v>
      </c>
      <c r="L779" s="517">
        <f t="shared" si="623"/>
        <v>6326.6493935083463</v>
      </c>
      <c r="M779" s="517">
        <f t="shared" si="623"/>
        <v>3917.062965875898</v>
      </c>
      <c r="N779" s="517">
        <f t="shared" si="623"/>
        <v>3956.4812647485064</v>
      </c>
      <c r="O779" s="517">
        <f t="shared" si="623"/>
        <v>3956.4812647485064</v>
      </c>
      <c r="P779" s="511">
        <f t="shared" si="591"/>
        <v>8.3680242823902518E-7</v>
      </c>
      <c r="Q779" s="530">
        <v>4359</v>
      </c>
      <c r="R779" s="480"/>
      <c r="U779" s="513"/>
    </row>
    <row r="780" spans="1:21" s="479" customFormat="1" ht="45" x14ac:dyDescent="0.15">
      <c r="A780" s="579"/>
      <c r="B780" s="518" t="s">
        <v>301</v>
      </c>
      <c r="C780" s="517">
        <f>'ENAJENAC DE INMUE'!I64</f>
        <v>274201.98566883465</v>
      </c>
      <c r="D780" s="517">
        <f t="shared" ref="D780:O780" si="624">$C780*D$27%</f>
        <v>11841.609531341031</v>
      </c>
      <c r="E780" s="517">
        <f t="shared" si="624"/>
        <v>12016.024575582538</v>
      </c>
      <c r="F780" s="517">
        <f t="shared" si="624"/>
        <v>11854.032494147912</v>
      </c>
      <c r="G780" s="517">
        <f t="shared" si="624"/>
        <v>11784.594873691682</v>
      </c>
      <c r="H780" s="517">
        <f t="shared" si="624"/>
        <v>16347.48366239885</v>
      </c>
      <c r="I780" s="517">
        <f t="shared" si="624"/>
        <v>11766.552383034672</v>
      </c>
      <c r="J780" s="517">
        <f t="shared" si="624"/>
        <v>13523.051592489699</v>
      </c>
      <c r="K780" s="517">
        <f t="shared" si="624"/>
        <v>13509.1318093026</v>
      </c>
      <c r="L780" s="517">
        <f t="shared" si="624"/>
        <v>13492.018379410507</v>
      </c>
      <c r="M780" s="517">
        <f t="shared" si="624"/>
        <v>11782.665782107117</v>
      </c>
      <c r="N780" s="517">
        <f t="shared" si="624"/>
        <v>48987.991246856363</v>
      </c>
      <c r="O780" s="517">
        <f t="shared" si="624"/>
        <v>97296.829337923278</v>
      </c>
      <c r="P780" s="511">
        <f t="shared" si="591"/>
        <v>5.4841802921146154E-7</v>
      </c>
      <c r="Q780" s="530">
        <v>63593</v>
      </c>
      <c r="R780" s="480"/>
      <c r="U780" s="513"/>
    </row>
    <row r="781" spans="1:21" s="479" customFormat="1" ht="27" x14ac:dyDescent="0.15">
      <c r="A781" s="579"/>
      <c r="B781" s="518" t="s">
        <v>248</v>
      </c>
      <c r="C781" s="517">
        <f>'IMP BEBIDAS AL'!I64</f>
        <v>107172.62605097883</v>
      </c>
      <c r="D781" s="517">
        <f t="shared" ref="D781:O781" si="625">$C781*D$28%</f>
        <v>24370.047249772866</v>
      </c>
      <c r="E781" s="517">
        <f t="shared" si="625"/>
        <v>8382.4112528535006</v>
      </c>
      <c r="F781" s="517">
        <f t="shared" si="625"/>
        <v>9008.1839770890674</v>
      </c>
      <c r="G781" s="517">
        <f t="shared" si="625"/>
        <v>8943.5172234865222</v>
      </c>
      <c r="H781" s="517">
        <f t="shared" si="625"/>
        <v>5695.2748654772931</v>
      </c>
      <c r="I781" s="517">
        <f t="shared" si="625"/>
        <v>9320.3264791966703</v>
      </c>
      <c r="J781" s="517">
        <f t="shared" si="625"/>
        <v>9267.8637402202239</v>
      </c>
      <c r="K781" s="517">
        <f t="shared" si="625"/>
        <v>8476.1376141360033</v>
      </c>
      <c r="L781" s="517">
        <f t="shared" si="625"/>
        <v>6147.1335118713687</v>
      </c>
      <c r="M781" s="517">
        <f t="shared" si="625"/>
        <v>5714.3051205134188</v>
      </c>
      <c r="N781" s="517">
        <f t="shared" si="625"/>
        <v>5754.6973078735118</v>
      </c>
      <c r="O781" s="517">
        <f t="shared" si="625"/>
        <v>6092.7277084883863</v>
      </c>
      <c r="P781" s="511">
        <f t="shared" si="591"/>
        <v>0</v>
      </c>
      <c r="Q781" s="530">
        <v>2723</v>
      </c>
      <c r="R781" s="480"/>
      <c r="U781" s="513"/>
    </row>
    <row r="782" spans="1:21" s="479" customFormat="1" ht="18" x14ac:dyDescent="0.15">
      <c r="A782" s="579"/>
      <c r="B782" s="518" t="s">
        <v>253</v>
      </c>
      <c r="C782" s="517">
        <f>'FOND GASO Y D'!Q65</f>
        <v>0</v>
      </c>
      <c r="D782" s="517">
        <f t="shared" ref="D782:O782" si="626">$C782*D$29%</f>
        <v>0</v>
      </c>
      <c r="E782" s="517">
        <f t="shared" si="626"/>
        <v>0</v>
      </c>
      <c r="F782" s="517">
        <f t="shared" si="626"/>
        <v>0</v>
      </c>
      <c r="G782" s="517">
        <f t="shared" si="626"/>
        <v>0</v>
      </c>
      <c r="H782" s="517">
        <f t="shared" si="626"/>
        <v>0</v>
      </c>
      <c r="I782" s="517">
        <f t="shared" si="626"/>
        <v>0</v>
      </c>
      <c r="J782" s="517">
        <f t="shared" si="626"/>
        <v>0</v>
      </c>
      <c r="K782" s="517">
        <f t="shared" si="626"/>
        <v>0</v>
      </c>
      <c r="L782" s="517">
        <f t="shared" si="626"/>
        <v>0</v>
      </c>
      <c r="M782" s="517">
        <f t="shared" si="626"/>
        <v>0</v>
      </c>
      <c r="N782" s="517">
        <f t="shared" si="626"/>
        <v>0</v>
      </c>
      <c r="O782" s="517">
        <f t="shared" si="626"/>
        <v>0</v>
      </c>
      <c r="P782" s="511">
        <f t="shared" si="591"/>
        <v>0</v>
      </c>
      <c r="Q782" s="530">
        <v>109191</v>
      </c>
      <c r="R782" s="480"/>
      <c r="U782" s="513"/>
    </row>
    <row r="783" spans="1:21" s="479" customFormat="1" ht="18" x14ac:dyDescent="0.15">
      <c r="A783" s="579"/>
      <c r="B783" s="528" t="s">
        <v>408</v>
      </c>
      <c r="C783" s="519">
        <f>'FOND GASO Y D'!H65</f>
        <v>3536511.1024726443</v>
      </c>
      <c r="D783" s="517">
        <f t="shared" ref="D783:O783" si="627">$C783*D$30%</f>
        <v>275108.03713588807</v>
      </c>
      <c r="E783" s="517">
        <f t="shared" si="627"/>
        <v>302475.02565836202</v>
      </c>
      <c r="F783" s="517">
        <f t="shared" si="627"/>
        <v>294490.64628934604</v>
      </c>
      <c r="G783" s="517">
        <f t="shared" si="627"/>
        <v>274403.92819394747</v>
      </c>
      <c r="H783" s="517">
        <f t="shared" si="627"/>
        <v>302353.90697503218</v>
      </c>
      <c r="I783" s="517">
        <f t="shared" si="627"/>
        <v>291807.44708496158</v>
      </c>
      <c r="J783" s="517">
        <f t="shared" si="627"/>
        <v>297891.2271528102</v>
      </c>
      <c r="K783" s="517">
        <f t="shared" si="627"/>
        <v>297714.21118485578</v>
      </c>
      <c r="L783" s="517">
        <f t="shared" si="627"/>
        <v>309807.2352820806</v>
      </c>
      <c r="M783" s="517">
        <f t="shared" si="627"/>
        <v>307086.77122363745</v>
      </c>
      <c r="N783" s="517">
        <f t="shared" si="627"/>
        <v>287000.05312823894</v>
      </c>
      <c r="O783" s="517">
        <f t="shared" si="627"/>
        <v>296372.61316702055</v>
      </c>
      <c r="P783" s="511">
        <f t="shared" si="591"/>
        <v>-3.5364646464586258E-6</v>
      </c>
      <c r="Q783" s="530">
        <v>216132</v>
      </c>
      <c r="R783" s="480"/>
      <c r="U783" s="513"/>
    </row>
    <row r="784" spans="1:21" s="479" customFormat="1" x14ac:dyDescent="0.15">
      <c r="A784" s="579"/>
      <c r="B784" s="534"/>
      <c r="C784" s="521"/>
      <c r="D784" s="522"/>
      <c r="E784" s="522"/>
      <c r="F784" s="522"/>
      <c r="G784" s="522"/>
      <c r="H784" s="522"/>
      <c r="I784" s="522"/>
      <c r="J784" s="522"/>
      <c r="K784" s="522"/>
      <c r="L784" s="522"/>
      <c r="M784" s="522"/>
      <c r="N784" s="522"/>
      <c r="O784" s="522"/>
      <c r="P784" s="511">
        <f t="shared" si="591"/>
        <v>0</v>
      </c>
      <c r="Q784" s="530">
        <v>0</v>
      </c>
      <c r="R784" s="480"/>
      <c r="U784" s="513"/>
    </row>
    <row r="785" spans="1:21" s="479" customFormat="1" x14ac:dyDescent="0.15">
      <c r="A785" s="591"/>
      <c r="B785" s="532"/>
      <c r="C785" s="521"/>
      <c r="D785" s="521"/>
      <c r="E785" s="521"/>
      <c r="F785" s="521"/>
      <c r="G785" s="521"/>
      <c r="H785" s="521"/>
      <c r="I785" s="521"/>
      <c r="J785" s="521"/>
      <c r="K785" s="521"/>
      <c r="L785" s="521"/>
      <c r="M785" s="521"/>
      <c r="N785" s="521"/>
      <c r="O785" s="521"/>
      <c r="P785" s="511">
        <f t="shared" si="591"/>
        <v>0</v>
      </c>
      <c r="Q785" s="530">
        <v>0</v>
      </c>
      <c r="R785" s="480"/>
      <c r="U785" s="513"/>
    </row>
    <row r="786" spans="1:21" s="479" customFormat="1" x14ac:dyDescent="0.15">
      <c r="A786" s="576">
        <v>51</v>
      </c>
      <c r="B786" s="533" t="s">
        <v>126</v>
      </c>
      <c r="C786" s="524">
        <f t="shared" ref="C786:O786" si="628">SUM(C787:C798)</f>
        <v>37421653.928828232</v>
      </c>
      <c r="D786" s="524">
        <f t="shared" si="628"/>
        <v>2916640.5350281843</v>
      </c>
      <c r="E786" s="524">
        <f t="shared" si="628"/>
        <v>3916726.0221983604</v>
      </c>
      <c r="F786" s="524">
        <f t="shared" si="628"/>
        <v>2616020.4967630212</v>
      </c>
      <c r="G786" s="524">
        <f t="shared" si="628"/>
        <v>3321255.7395291594</v>
      </c>
      <c r="H786" s="524">
        <f t="shared" si="628"/>
        <v>3753781.0016912469</v>
      </c>
      <c r="I786" s="524">
        <f t="shared" si="628"/>
        <v>3687603.3298811344</v>
      </c>
      <c r="J786" s="524">
        <f t="shared" si="628"/>
        <v>3198007.6850232007</v>
      </c>
      <c r="K786" s="524">
        <f t="shared" si="628"/>
        <v>3108281.989784664</v>
      </c>
      <c r="L786" s="524">
        <f t="shared" si="628"/>
        <v>2946039.2646745811</v>
      </c>
      <c r="M786" s="524">
        <f t="shared" si="628"/>
        <v>2205879.8060743455</v>
      </c>
      <c r="N786" s="524">
        <f t="shared" si="628"/>
        <v>2862067.7792748241</v>
      </c>
      <c r="O786" s="524">
        <f t="shared" si="628"/>
        <v>2889350.2787977369</v>
      </c>
      <c r="P786" s="511">
        <f t="shared" si="591"/>
        <v>1.0777497664093971E-4</v>
      </c>
      <c r="Q786" s="530">
        <v>2232717</v>
      </c>
      <c r="R786" s="480"/>
      <c r="T786" s="512"/>
      <c r="U786" s="513"/>
    </row>
    <row r="787" spans="1:21" s="479" customFormat="1" x14ac:dyDescent="0.15">
      <c r="A787" s="579"/>
      <c r="B787" s="528" t="s">
        <v>294</v>
      </c>
      <c r="C787" s="517">
        <f>'FG1'!I66</f>
        <v>25506140.904938079</v>
      </c>
      <c r="D787" s="517">
        <f t="shared" ref="D787:O787" si="629">$C787*D$19%</f>
        <v>1929149.2794625431</v>
      </c>
      <c r="E787" s="517">
        <f t="shared" si="629"/>
        <v>2763988.0668589715</v>
      </c>
      <c r="F787" s="517">
        <f t="shared" si="629"/>
        <v>1786630.1599422602</v>
      </c>
      <c r="G787" s="517">
        <f t="shared" si="629"/>
        <v>2194694.1302399477</v>
      </c>
      <c r="H787" s="517">
        <f t="shared" si="629"/>
        <v>2680201.0798718845</v>
      </c>
      <c r="I787" s="517">
        <f t="shared" si="629"/>
        <v>2627542.9966953741</v>
      </c>
      <c r="J787" s="517">
        <f t="shared" si="629"/>
        <v>2036880.775105143</v>
      </c>
      <c r="K787" s="517">
        <f t="shared" si="629"/>
        <v>2162627.058049744</v>
      </c>
      <c r="L787" s="517">
        <f t="shared" si="629"/>
        <v>2032333.0322732965</v>
      </c>
      <c r="M787" s="517">
        <f t="shared" si="629"/>
        <v>1347280.612450528</v>
      </c>
      <c r="N787" s="517">
        <f t="shared" si="629"/>
        <v>1966287.3821697896</v>
      </c>
      <c r="O787" s="517">
        <f t="shared" si="629"/>
        <v>1978526.3317930915</v>
      </c>
      <c r="P787" s="511">
        <f t="shared" si="591"/>
        <v>2.5502173230051994E-5</v>
      </c>
      <c r="Q787" s="530">
        <v>1532209</v>
      </c>
      <c r="R787" s="480"/>
      <c r="U787" s="513"/>
    </row>
    <row r="788" spans="1:21" s="479" customFormat="1" x14ac:dyDescent="0.15">
      <c r="A788" s="579"/>
      <c r="B788" s="528" t="s">
        <v>296</v>
      </c>
      <c r="C788" s="517">
        <f>FFM!J66</f>
        <v>6855945.9879169883</v>
      </c>
      <c r="D788" s="517">
        <f t="shared" ref="D788:O788" si="630">$C788*D$20%</f>
        <v>518468.16286532796</v>
      </c>
      <c r="E788" s="517">
        <f t="shared" si="630"/>
        <v>743308.35249151778</v>
      </c>
      <c r="F788" s="517">
        <f t="shared" si="630"/>
        <v>480084.6756569377</v>
      </c>
      <c r="G788" s="517">
        <f t="shared" si="630"/>
        <v>589985.15155030426</v>
      </c>
      <c r="H788" s="517">
        <f t="shared" si="630"/>
        <v>720742.7018011536</v>
      </c>
      <c r="I788" s="517">
        <f t="shared" si="630"/>
        <v>706560.73598165787</v>
      </c>
      <c r="J788" s="517">
        <f t="shared" si="630"/>
        <v>547434.59115727223</v>
      </c>
      <c r="K788" s="517">
        <f t="shared" si="630"/>
        <v>581300.79225734202</v>
      </c>
      <c r="L788" s="517">
        <f t="shared" si="630"/>
        <v>546209.78246718703</v>
      </c>
      <c r="M788" s="517">
        <f t="shared" si="630"/>
        <v>361710.30938080221</v>
      </c>
      <c r="N788" s="517">
        <f t="shared" si="630"/>
        <v>528422.25825322303</v>
      </c>
      <c r="O788" s="517">
        <f t="shared" si="630"/>
        <v>531718.47397199145</v>
      </c>
      <c r="P788" s="511">
        <f t="shared" si="591"/>
        <v>8.227082435041666E-5</v>
      </c>
      <c r="Q788" s="530">
        <v>469113</v>
      </c>
      <c r="R788" s="480"/>
      <c r="U788" s="513"/>
    </row>
    <row r="789" spans="1:21" s="479" customFormat="1" ht="18" x14ac:dyDescent="0.15">
      <c r="A789" s="579"/>
      <c r="B789" s="528" t="s">
        <v>297</v>
      </c>
      <c r="C789" s="517">
        <f>IEPS!I65</f>
        <v>616840.52727004513</v>
      </c>
      <c r="D789" s="517">
        <f t="shared" ref="D789:O789" si="631">$C789*D$21%</f>
        <v>43326.768175347388</v>
      </c>
      <c r="E789" s="517">
        <f t="shared" si="631"/>
        <v>99032.283355115447</v>
      </c>
      <c r="F789" s="517">
        <f t="shared" si="631"/>
        <v>41134.030809410106</v>
      </c>
      <c r="G789" s="517">
        <f t="shared" si="631"/>
        <v>39976.517877645121</v>
      </c>
      <c r="H789" s="517">
        <f t="shared" si="631"/>
        <v>44136.274950280189</v>
      </c>
      <c r="I789" s="517">
        <f t="shared" si="631"/>
        <v>45770.196443882167</v>
      </c>
      <c r="J789" s="517">
        <f t="shared" si="631"/>
        <v>47134.841307192401</v>
      </c>
      <c r="K789" s="517">
        <f t="shared" si="631"/>
        <v>52211.604917366356</v>
      </c>
      <c r="L789" s="517">
        <f t="shared" si="631"/>
        <v>52321.011973705856</v>
      </c>
      <c r="M789" s="517">
        <f t="shared" si="631"/>
        <v>51739.502970777503</v>
      </c>
      <c r="N789" s="517">
        <f t="shared" si="631"/>
        <v>50066.719538246347</v>
      </c>
      <c r="O789" s="517">
        <f t="shared" si="631"/>
        <v>49990.774950459396</v>
      </c>
      <c r="P789" s="511">
        <f t="shared" si="591"/>
        <v>6.1684841057285666E-7</v>
      </c>
      <c r="Q789" s="530">
        <v>39572</v>
      </c>
      <c r="R789" s="480"/>
      <c r="U789" s="513"/>
    </row>
    <row r="790" spans="1:21" s="479" customFormat="1" x14ac:dyDescent="0.15">
      <c r="A790" s="579"/>
      <c r="B790" s="528" t="s">
        <v>236</v>
      </c>
      <c r="C790" s="517">
        <f>ISR!C56</f>
        <v>1623013.23</v>
      </c>
      <c r="D790" s="517">
        <f>ISR!D56</f>
        <v>126978.45455207542</v>
      </c>
      <c r="E790" s="517">
        <f>ISR!E56</f>
        <v>125039.42281929254</v>
      </c>
      <c r="F790" s="517">
        <f>ISR!F56</f>
        <v>134199.61889708904</v>
      </c>
      <c r="G790" s="517">
        <f>ISR!G56</f>
        <v>138109.03576114611</v>
      </c>
      <c r="H790" s="517">
        <f>ISR!H56</f>
        <v>132450.19463417708</v>
      </c>
      <c r="I790" s="517">
        <f>ISR!I56</f>
        <v>138559.27326457301</v>
      </c>
      <c r="J790" s="517">
        <f>ISR!J56</f>
        <v>140960.58257517891</v>
      </c>
      <c r="K790" s="517">
        <f>ISR!K56</f>
        <v>138057.39139181294</v>
      </c>
      <c r="L790" s="517">
        <f>ISR!L56</f>
        <v>138336.90050483018</v>
      </c>
      <c r="M790" s="517">
        <f>ISR!M56</f>
        <v>138616.40961784631</v>
      </c>
      <c r="N790" s="517">
        <f>ISR!N56</f>
        <v>138895.91873086354</v>
      </c>
      <c r="O790" s="517">
        <f>ISR!O56</f>
        <v>132810.02725111475</v>
      </c>
      <c r="P790" s="511">
        <f t="shared" si="591"/>
        <v>0</v>
      </c>
      <c r="Q790" s="530">
        <v>0</v>
      </c>
      <c r="R790" s="480"/>
      <c r="U790" s="513"/>
    </row>
    <row r="791" spans="1:21" s="479" customFormat="1" ht="18" x14ac:dyDescent="0.15">
      <c r="A791" s="579"/>
      <c r="B791" s="528" t="s">
        <v>298</v>
      </c>
      <c r="C791" s="517">
        <f>FOFIR!I65</f>
        <v>1192966.5438544489</v>
      </c>
      <c r="D791" s="517">
        <f t="shared" ref="D791:O791" si="632">$C791*D$23%</f>
        <v>163097.01226177154</v>
      </c>
      <c r="E791" s="517">
        <f t="shared" si="632"/>
        <v>41495.274427755372</v>
      </c>
      <c r="F791" s="517">
        <f t="shared" si="632"/>
        <v>41495.274427755372</v>
      </c>
      <c r="G791" s="517">
        <f t="shared" si="632"/>
        <v>234171.70999868718</v>
      </c>
      <c r="H791" s="517">
        <f t="shared" si="632"/>
        <v>41495.274427755372</v>
      </c>
      <c r="I791" s="517">
        <f t="shared" si="632"/>
        <v>41495.274427755372</v>
      </c>
      <c r="J791" s="517">
        <f t="shared" si="632"/>
        <v>291271.87473789958</v>
      </c>
      <c r="K791" s="517">
        <f t="shared" si="632"/>
        <v>41495.274427755372</v>
      </c>
      <c r="L791" s="517">
        <f t="shared" si="632"/>
        <v>41495.274427755372</v>
      </c>
      <c r="M791" s="517">
        <f t="shared" si="632"/>
        <v>172463.75143881951</v>
      </c>
      <c r="N791" s="517">
        <f t="shared" si="632"/>
        <v>41495.274427755372</v>
      </c>
      <c r="O791" s="517">
        <f t="shared" si="632"/>
        <v>41495.274427755372</v>
      </c>
      <c r="P791" s="511">
        <f t="shared" si="591"/>
        <v>-4.7719513531774282E-6</v>
      </c>
      <c r="Q791" s="530">
        <v>46612</v>
      </c>
      <c r="R791" s="480"/>
      <c r="U791" s="513"/>
    </row>
    <row r="792" spans="1:21" s="479" customFormat="1" ht="27" x14ac:dyDescent="0.15">
      <c r="A792" s="579"/>
      <c r="B792" s="528" t="s">
        <v>407</v>
      </c>
      <c r="C792" s="517">
        <f>FCISAN!I65</f>
        <v>75731.005975848588</v>
      </c>
      <c r="D792" s="517">
        <f t="shared" ref="D792:O792" si="633">$C792*D$24%</f>
        <v>6310.9171646288059</v>
      </c>
      <c r="E792" s="517">
        <f t="shared" si="633"/>
        <v>6310.9171646288059</v>
      </c>
      <c r="F792" s="517">
        <f t="shared" si="633"/>
        <v>6310.9171646288059</v>
      </c>
      <c r="G792" s="517">
        <f t="shared" si="633"/>
        <v>6310.9171646288059</v>
      </c>
      <c r="H792" s="517">
        <f t="shared" si="633"/>
        <v>6310.9171646288059</v>
      </c>
      <c r="I792" s="517">
        <f t="shared" si="633"/>
        <v>6310.9171646288059</v>
      </c>
      <c r="J792" s="517">
        <f t="shared" si="633"/>
        <v>6310.9171646288059</v>
      </c>
      <c r="K792" s="517">
        <f t="shared" si="633"/>
        <v>6310.9171646288059</v>
      </c>
      <c r="L792" s="517">
        <f t="shared" si="633"/>
        <v>6310.9171646288059</v>
      </c>
      <c r="M792" s="517">
        <f t="shared" si="633"/>
        <v>6310.9171646288059</v>
      </c>
      <c r="N792" s="517">
        <f t="shared" si="633"/>
        <v>6310.9171646288059</v>
      </c>
      <c r="O792" s="517">
        <f t="shared" si="633"/>
        <v>6310.9171646288059</v>
      </c>
      <c r="P792" s="511">
        <f t="shared" si="591"/>
        <v>3.0291084840428084E-7</v>
      </c>
      <c r="Q792" s="530">
        <v>5543</v>
      </c>
      <c r="R792" s="480"/>
      <c r="U792" s="513"/>
    </row>
    <row r="793" spans="1:21" s="479" customFormat="1" ht="27" x14ac:dyDescent="0.15">
      <c r="A793" s="579"/>
      <c r="B793" s="528" t="s">
        <v>242</v>
      </c>
      <c r="C793" s="517">
        <f>ISAN!I65</f>
        <v>378285.25623633369</v>
      </c>
      <c r="D793" s="517">
        <f t="shared" ref="D793:O793" si="634">$C793*D$25%</f>
        <v>36403.754881141394</v>
      </c>
      <c r="E793" s="517">
        <f t="shared" si="634"/>
        <v>40659.192726150352</v>
      </c>
      <c r="F793" s="517">
        <f t="shared" si="634"/>
        <v>31555.123449578809</v>
      </c>
      <c r="G793" s="517">
        <f t="shared" si="634"/>
        <v>29286.409495019157</v>
      </c>
      <c r="H793" s="517">
        <f t="shared" si="634"/>
        <v>31313.646605716749</v>
      </c>
      <c r="I793" s="517">
        <f t="shared" si="634"/>
        <v>27196.854875669447</v>
      </c>
      <c r="J793" s="517">
        <f t="shared" si="634"/>
        <v>29463.622333558593</v>
      </c>
      <c r="K793" s="517">
        <f t="shared" si="634"/>
        <v>30384.739475356815</v>
      </c>
      <c r="L793" s="517">
        <f t="shared" si="634"/>
        <v>29856.995553604414</v>
      </c>
      <c r="M793" s="517">
        <f t="shared" si="634"/>
        <v>30589.216073752305</v>
      </c>
      <c r="N793" s="517">
        <f t="shared" si="634"/>
        <v>29617.46600686447</v>
      </c>
      <c r="O793" s="517">
        <f t="shared" si="634"/>
        <v>31958.234755381771</v>
      </c>
      <c r="P793" s="511">
        <f t="shared" si="591"/>
        <v>4.5393971959128976E-6</v>
      </c>
      <c r="Q793" s="530">
        <v>23818</v>
      </c>
      <c r="R793" s="480"/>
      <c r="U793" s="513"/>
    </row>
    <row r="794" spans="1:21" s="479" customFormat="1" ht="18" x14ac:dyDescent="0.15">
      <c r="A794" s="579"/>
      <c r="B794" s="528" t="s">
        <v>403</v>
      </c>
      <c r="C794" s="517">
        <f>LOT!I65</f>
        <v>18311.652515896698</v>
      </c>
      <c r="D794" s="517">
        <f t="shared" ref="D794:O794" si="635">$C794*D$26%</f>
        <v>1384.5511689160137</v>
      </c>
      <c r="E794" s="517">
        <f t="shared" si="635"/>
        <v>1364.926077635432</v>
      </c>
      <c r="F794" s="517">
        <f t="shared" si="635"/>
        <v>1341.5547933357357</v>
      </c>
      <c r="G794" s="517">
        <f t="shared" si="635"/>
        <v>1476.0098375853795</v>
      </c>
      <c r="H794" s="517">
        <f t="shared" si="635"/>
        <v>1207.6447092119677</v>
      </c>
      <c r="I794" s="517">
        <f t="shared" si="635"/>
        <v>1638.8354411187124</v>
      </c>
      <c r="J794" s="517">
        <f t="shared" si="635"/>
        <v>3761.1255752571747</v>
      </c>
      <c r="K794" s="517">
        <f t="shared" si="635"/>
        <v>1369.1845984451209</v>
      </c>
      <c r="L794" s="517">
        <f t="shared" si="635"/>
        <v>1661.3354418479655</v>
      </c>
      <c r="M794" s="517">
        <f t="shared" si="635"/>
        <v>1028.5943045677566</v>
      </c>
      <c r="N794" s="517">
        <f t="shared" si="635"/>
        <v>1038.94528387785</v>
      </c>
      <c r="O794" s="517">
        <f t="shared" si="635"/>
        <v>1038.94528387785</v>
      </c>
      <c r="P794" s="511">
        <f t="shared" si="591"/>
        <v>2.1974256014800631E-7</v>
      </c>
      <c r="Q794" s="530">
        <v>1164</v>
      </c>
      <c r="R794" s="480"/>
      <c r="U794" s="513"/>
    </row>
    <row r="795" spans="1:21" s="479" customFormat="1" ht="45" x14ac:dyDescent="0.15">
      <c r="A795" s="579"/>
      <c r="B795" s="518" t="s">
        <v>301</v>
      </c>
      <c r="C795" s="517">
        <f>'ENAJENAC DE INMUE'!I65</f>
        <v>72003.591266515461</v>
      </c>
      <c r="D795" s="517">
        <f t="shared" ref="D795:O795" si="636">$C795*D$27%</f>
        <v>3109.5267620057316</v>
      </c>
      <c r="E795" s="517">
        <f t="shared" si="636"/>
        <v>3155.3269757629873</v>
      </c>
      <c r="F795" s="517">
        <f t="shared" si="636"/>
        <v>3112.7889482152291</v>
      </c>
      <c r="G795" s="517">
        <f t="shared" si="636"/>
        <v>3094.555097611797</v>
      </c>
      <c r="H795" s="517">
        <f t="shared" si="636"/>
        <v>4292.7389055636249</v>
      </c>
      <c r="I795" s="517">
        <f t="shared" si="636"/>
        <v>3089.8172613064603</v>
      </c>
      <c r="J795" s="517">
        <f t="shared" si="636"/>
        <v>3551.062101780758</v>
      </c>
      <c r="K795" s="517">
        <f t="shared" si="636"/>
        <v>3547.4068606391684</v>
      </c>
      <c r="L795" s="517">
        <f t="shared" si="636"/>
        <v>3542.9129894218872</v>
      </c>
      <c r="M795" s="517">
        <f t="shared" si="636"/>
        <v>3094.0485311781813</v>
      </c>
      <c r="N795" s="517">
        <f t="shared" si="636"/>
        <v>12863.915956343095</v>
      </c>
      <c r="O795" s="517">
        <f t="shared" si="636"/>
        <v>25549.490876542535</v>
      </c>
      <c r="P795" s="511">
        <f t="shared" si="591"/>
        <v>1.4401302905753255E-7</v>
      </c>
      <c r="Q795" s="530">
        <v>16977</v>
      </c>
      <c r="R795" s="480"/>
      <c r="U795" s="513"/>
    </row>
    <row r="796" spans="1:21" s="479" customFormat="1" ht="27" x14ac:dyDescent="0.15">
      <c r="A796" s="579"/>
      <c r="B796" s="518" t="s">
        <v>248</v>
      </c>
      <c r="C796" s="517">
        <f>'IMP BEBIDAS AL'!I65</f>
        <v>28142.808456732731</v>
      </c>
      <c r="D796" s="517">
        <f t="shared" ref="D796:O796" si="637">$C796*D$28%</f>
        <v>6399.4099715877974</v>
      </c>
      <c r="E796" s="517">
        <f t="shared" si="637"/>
        <v>2201.1646349171692</v>
      </c>
      <c r="F796" s="517">
        <f t="shared" si="637"/>
        <v>2365.4883299177222</v>
      </c>
      <c r="G796" s="517">
        <f t="shared" si="637"/>
        <v>2348.5072767587799</v>
      </c>
      <c r="H796" s="517">
        <f t="shared" si="637"/>
        <v>1495.5407509687298</v>
      </c>
      <c r="I796" s="517">
        <f t="shared" si="637"/>
        <v>2447.4548447985003</v>
      </c>
      <c r="J796" s="517">
        <f t="shared" si="637"/>
        <v>2433.6784835341282</v>
      </c>
      <c r="K796" s="517">
        <f t="shared" si="637"/>
        <v>2225.7765449739904</v>
      </c>
      <c r="L796" s="517">
        <f t="shared" si="637"/>
        <v>1614.1957826084147</v>
      </c>
      <c r="M796" s="517">
        <f t="shared" si="637"/>
        <v>1500.5379675351103</v>
      </c>
      <c r="N796" s="517">
        <f t="shared" si="637"/>
        <v>1511.1446833907323</v>
      </c>
      <c r="O796" s="517">
        <f t="shared" si="637"/>
        <v>1599.9091857416586</v>
      </c>
      <c r="P796" s="511">
        <f t="shared" si="591"/>
        <v>-1.8189894035458565E-12</v>
      </c>
      <c r="Q796" s="530">
        <v>727</v>
      </c>
      <c r="R796" s="480"/>
      <c r="U796" s="513"/>
    </row>
    <row r="797" spans="1:21" s="479" customFormat="1" ht="18" x14ac:dyDescent="0.15">
      <c r="A797" s="579"/>
      <c r="B797" s="518" t="s">
        <v>253</v>
      </c>
      <c r="C797" s="517">
        <f>'FOND GASO Y D'!Q66</f>
        <v>0</v>
      </c>
      <c r="D797" s="517">
        <f t="shared" ref="D797:O797" si="638">$C797*D$29%</f>
        <v>0</v>
      </c>
      <c r="E797" s="517">
        <f t="shared" si="638"/>
        <v>0</v>
      </c>
      <c r="F797" s="517">
        <f t="shared" si="638"/>
        <v>0</v>
      </c>
      <c r="G797" s="517">
        <f t="shared" si="638"/>
        <v>0</v>
      </c>
      <c r="H797" s="517">
        <f t="shared" si="638"/>
        <v>0</v>
      </c>
      <c r="I797" s="517">
        <f t="shared" si="638"/>
        <v>0</v>
      </c>
      <c r="J797" s="517">
        <f t="shared" si="638"/>
        <v>0</v>
      </c>
      <c r="K797" s="517">
        <f t="shared" si="638"/>
        <v>0</v>
      </c>
      <c r="L797" s="517">
        <f t="shared" si="638"/>
        <v>0</v>
      </c>
      <c r="M797" s="517">
        <f t="shared" si="638"/>
        <v>0</v>
      </c>
      <c r="N797" s="517">
        <f t="shared" si="638"/>
        <v>0</v>
      </c>
      <c r="O797" s="517">
        <f t="shared" si="638"/>
        <v>0</v>
      </c>
      <c r="P797" s="511">
        <f t="shared" si="591"/>
        <v>0</v>
      </c>
      <c r="Q797" s="530">
        <v>32550</v>
      </c>
      <c r="R797" s="480"/>
      <c r="U797" s="513"/>
    </row>
    <row r="798" spans="1:21" s="479" customFormat="1" ht="18" x14ac:dyDescent="0.15">
      <c r="A798" s="579"/>
      <c r="B798" s="528" t="s">
        <v>408</v>
      </c>
      <c r="C798" s="519">
        <f>'FOND GASO Y D'!H66</f>
        <v>1054272.420397344</v>
      </c>
      <c r="D798" s="517">
        <f t="shared" ref="D798:O798" si="639">$C798*D$30%</f>
        <v>82012.697762839452</v>
      </c>
      <c r="E798" s="517">
        <f t="shared" si="639"/>
        <v>90171.094666613382</v>
      </c>
      <c r="F798" s="517">
        <f t="shared" si="639"/>
        <v>87790.86434389287</v>
      </c>
      <c r="G798" s="517">
        <f t="shared" si="639"/>
        <v>81802.795229824886</v>
      </c>
      <c r="H798" s="517">
        <f t="shared" si="639"/>
        <v>90134.987869906254</v>
      </c>
      <c r="I798" s="517">
        <f t="shared" si="639"/>
        <v>86990.973480370129</v>
      </c>
      <c r="J798" s="517">
        <f t="shared" si="639"/>
        <v>88804.61448175463</v>
      </c>
      <c r="K798" s="517">
        <f t="shared" si="639"/>
        <v>88751.844096599089</v>
      </c>
      <c r="L798" s="517">
        <f t="shared" si="639"/>
        <v>92356.906095694925</v>
      </c>
      <c r="M798" s="517">
        <f t="shared" si="639"/>
        <v>91545.906173909447</v>
      </c>
      <c r="N798" s="517">
        <f t="shared" si="639"/>
        <v>85557.837059841462</v>
      </c>
      <c r="O798" s="517">
        <f t="shared" si="639"/>
        <v>88351.899137151777</v>
      </c>
      <c r="P798" s="511">
        <f t="shared" si="591"/>
        <v>-1.0542280506342649E-6</v>
      </c>
      <c r="Q798" s="530">
        <v>64432</v>
      </c>
      <c r="R798" s="480"/>
      <c r="U798" s="513"/>
    </row>
    <row r="799" spans="1:21" s="479" customFormat="1" x14ac:dyDescent="0.15">
      <c r="A799" s="579"/>
      <c r="B799" s="534"/>
      <c r="C799" s="521"/>
      <c r="D799" s="522"/>
      <c r="E799" s="522"/>
      <c r="F799" s="522"/>
      <c r="G799" s="522"/>
      <c r="H799" s="522"/>
      <c r="I799" s="522"/>
      <c r="J799" s="522"/>
      <c r="K799" s="522"/>
      <c r="L799" s="522"/>
      <c r="M799" s="522"/>
      <c r="N799" s="522"/>
      <c r="O799" s="522"/>
      <c r="P799" s="511">
        <f t="shared" si="591"/>
        <v>0</v>
      </c>
      <c r="Q799" s="530">
        <v>0</v>
      </c>
      <c r="R799" s="480"/>
      <c r="U799" s="513"/>
    </row>
    <row r="800" spans="1:21" s="479" customFormat="1" x14ac:dyDescent="0.15">
      <c r="A800" s="591"/>
      <c r="B800" s="532"/>
      <c r="C800" s="521"/>
      <c r="D800" s="521"/>
      <c r="E800" s="521"/>
      <c r="F800" s="521"/>
      <c r="G800" s="521"/>
      <c r="H800" s="521"/>
      <c r="I800" s="521"/>
      <c r="J800" s="521"/>
      <c r="K800" s="521"/>
      <c r="L800" s="521"/>
      <c r="M800" s="521"/>
      <c r="N800" s="521"/>
      <c r="O800" s="521"/>
      <c r="P800" s="511">
        <f t="shared" si="591"/>
        <v>0</v>
      </c>
      <c r="Q800" s="530">
        <v>0</v>
      </c>
      <c r="R800" s="480"/>
      <c r="U800" s="513"/>
    </row>
    <row r="801" spans="1:21" s="479" customFormat="1" x14ac:dyDescent="0.15">
      <c r="A801" s="576">
        <v>52</v>
      </c>
      <c r="B801" s="533" t="s">
        <v>58</v>
      </c>
      <c r="C801" s="524">
        <f t="shared" ref="C801:O801" si="640">SUM(C802:C813)</f>
        <v>366677991.67992628</v>
      </c>
      <c r="D801" s="524">
        <f t="shared" si="640"/>
        <v>27611360.770704456</v>
      </c>
      <c r="E801" s="524">
        <f t="shared" si="640"/>
        <v>36249369.701274082</v>
      </c>
      <c r="F801" s="524">
        <f t="shared" si="640"/>
        <v>24952574.798729297</v>
      </c>
      <c r="G801" s="524">
        <f t="shared" si="640"/>
        <v>31907119.439002726</v>
      </c>
      <c r="H801" s="524">
        <f t="shared" si="640"/>
        <v>34608935.728716016</v>
      </c>
      <c r="I801" s="524">
        <f t="shared" si="640"/>
        <v>34069836.937390499</v>
      </c>
      <c r="J801" s="524">
        <f t="shared" si="640"/>
        <v>31001923.940246724</v>
      </c>
      <c r="K801" s="524">
        <f t="shared" si="640"/>
        <v>29341667.054874949</v>
      </c>
      <c r="L801" s="524">
        <f t="shared" si="640"/>
        <v>28462757.712967273</v>
      </c>
      <c r="M801" s="524">
        <f t="shared" si="640"/>
        <v>21892393.421623651</v>
      </c>
      <c r="N801" s="524">
        <f t="shared" si="640"/>
        <v>27039276.493245587</v>
      </c>
      <c r="O801" s="524">
        <f t="shared" si="640"/>
        <v>39540775.680241376</v>
      </c>
      <c r="P801" s="511">
        <f t="shared" si="591"/>
        <v>9.0961158275604248E-4</v>
      </c>
      <c r="Q801" s="530">
        <v>18880694</v>
      </c>
      <c r="R801" s="480"/>
      <c r="T801" s="512"/>
      <c r="U801" s="513"/>
    </row>
    <row r="802" spans="1:21" s="479" customFormat="1" x14ac:dyDescent="0.15">
      <c r="A802" s="579"/>
      <c r="B802" s="528" t="s">
        <v>294</v>
      </c>
      <c r="C802" s="517">
        <f>'FG1'!I67</f>
        <v>214855374.9119662</v>
      </c>
      <c r="D802" s="517">
        <f t="shared" ref="D802:O802" si="641">$C802*D$19%</f>
        <v>16250521.521263447</v>
      </c>
      <c r="E802" s="517">
        <f t="shared" si="641"/>
        <v>23282929.964611467</v>
      </c>
      <c r="F802" s="517">
        <f t="shared" si="641"/>
        <v>15049987.149137972</v>
      </c>
      <c r="G802" s="517">
        <f t="shared" si="641"/>
        <v>18487384.349017825</v>
      </c>
      <c r="H802" s="517">
        <f t="shared" si="641"/>
        <v>22577135.835701544</v>
      </c>
      <c r="I802" s="517">
        <f t="shared" si="641"/>
        <v>22133561.394346349</v>
      </c>
      <c r="J802" s="517">
        <f t="shared" si="641"/>
        <v>17158016.346622791</v>
      </c>
      <c r="K802" s="517">
        <f t="shared" si="641"/>
        <v>18217261.838386614</v>
      </c>
      <c r="L802" s="517">
        <f t="shared" si="641"/>
        <v>17119707.650894132</v>
      </c>
      <c r="M802" s="517">
        <f t="shared" si="641"/>
        <v>11349050.496448841</v>
      </c>
      <c r="N802" s="517">
        <f t="shared" si="641"/>
        <v>16563360.731649041</v>
      </c>
      <c r="O802" s="517">
        <f t="shared" si="641"/>
        <v>16666457.633671334</v>
      </c>
      <c r="P802" s="511">
        <f t="shared" si="591"/>
        <v>2.1484307944774628E-4</v>
      </c>
      <c r="Q802" s="530">
        <v>13079917</v>
      </c>
      <c r="R802" s="480"/>
      <c r="U802" s="513"/>
    </row>
    <row r="803" spans="1:21" s="479" customFormat="1" x14ac:dyDescent="0.15">
      <c r="A803" s="579"/>
      <c r="B803" s="528" t="s">
        <v>296</v>
      </c>
      <c r="C803" s="517">
        <f>FFM!J67</f>
        <v>57752242.924562126</v>
      </c>
      <c r="D803" s="517">
        <f t="shared" ref="D803:O803" si="642">$C803*D$20%</f>
        <v>4367405.9485330367</v>
      </c>
      <c r="E803" s="517">
        <f t="shared" si="642"/>
        <v>6261386.0460106581</v>
      </c>
      <c r="F803" s="517">
        <f t="shared" si="642"/>
        <v>4044076.0271104383</v>
      </c>
      <c r="G803" s="517">
        <f t="shared" si="642"/>
        <v>4969841.6315222476</v>
      </c>
      <c r="H803" s="517">
        <f t="shared" si="642"/>
        <v>6071300.3973317547</v>
      </c>
      <c r="I803" s="517">
        <f t="shared" si="642"/>
        <v>5951836.1634245981</v>
      </c>
      <c r="J803" s="517">
        <f t="shared" si="642"/>
        <v>4611409.6507677939</v>
      </c>
      <c r="K803" s="517">
        <f t="shared" si="642"/>
        <v>4896687.4339227835</v>
      </c>
      <c r="L803" s="517">
        <f t="shared" si="642"/>
        <v>4601092.2636223035</v>
      </c>
      <c r="M803" s="517">
        <f t="shared" si="642"/>
        <v>3046929.146246877</v>
      </c>
      <c r="N803" s="517">
        <f t="shared" si="642"/>
        <v>4451255.9870177535</v>
      </c>
      <c r="O803" s="517">
        <f t="shared" si="642"/>
        <v>4479022.2283588564</v>
      </c>
      <c r="P803" s="511">
        <f t="shared" si="591"/>
        <v>6.9302879273891449E-4</v>
      </c>
      <c r="Q803" s="530">
        <v>4004645</v>
      </c>
      <c r="R803" s="480"/>
      <c r="U803" s="513"/>
    </row>
    <row r="804" spans="1:21" s="479" customFormat="1" ht="18" x14ac:dyDescent="0.15">
      <c r="A804" s="579"/>
      <c r="B804" s="528" t="s">
        <v>297</v>
      </c>
      <c r="C804" s="517">
        <f>IEPS!I66</f>
        <v>5196062.5184910614</v>
      </c>
      <c r="D804" s="517">
        <f t="shared" ref="D804:O804" si="643">$C804*D$21%</f>
        <v>364970.5008191127</v>
      </c>
      <c r="E804" s="517">
        <f t="shared" si="643"/>
        <v>834215.51100001857</v>
      </c>
      <c r="F804" s="517">
        <f t="shared" si="643"/>
        <v>346499.59961152467</v>
      </c>
      <c r="G804" s="517">
        <f t="shared" si="643"/>
        <v>336749.08988734812</v>
      </c>
      <c r="H804" s="517">
        <f t="shared" si="643"/>
        <v>371789.52068849211</v>
      </c>
      <c r="I804" s="517">
        <f t="shared" si="643"/>
        <v>385553.1400612921</v>
      </c>
      <c r="J804" s="517">
        <f t="shared" si="643"/>
        <v>397048.46131827793</v>
      </c>
      <c r="K804" s="517">
        <f t="shared" si="643"/>
        <v>439813.45477097912</v>
      </c>
      <c r="L804" s="517">
        <f t="shared" si="643"/>
        <v>440735.06397071842</v>
      </c>
      <c r="M804" s="517">
        <f t="shared" si="643"/>
        <v>435836.62263831502</v>
      </c>
      <c r="N804" s="517">
        <f t="shared" si="643"/>
        <v>421745.64302354213</v>
      </c>
      <c r="O804" s="517">
        <f t="shared" si="643"/>
        <v>421105.91069624433</v>
      </c>
      <c r="P804" s="511">
        <f t="shared" ref="P804:P867" si="644">C804-D804-E804-F804-G804-H804-I804-J804-K804-L804-M804-N804-O804</f>
        <v>5.1967799663543701E-6</v>
      </c>
      <c r="Q804" s="530">
        <v>337800</v>
      </c>
      <c r="R804" s="480"/>
      <c r="U804" s="513"/>
    </row>
    <row r="805" spans="1:21" s="479" customFormat="1" x14ac:dyDescent="0.15">
      <c r="A805" s="579"/>
      <c r="B805" s="528" t="s">
        <v>236</v>
      </c>
      <c r="C805" s="517">
        <f>ISR!C57</f>
        <v>66950546.93</v>
      </c>
      <c r="D805" s="517">
        <f>ISR!D57</f>
        <v>4254407.7598921284</v>
      </c>
      <c r="E805" s="517">
        <f>ISR!E57</f>
        <v>4465840.6993958447</v>
      </c>
      <c r="F805" s="517">
        <f>ISR!F57</f>
        <v>4198797.1332856771</v>
      </c>
      <c r="G805" s="517">
        <f>ISR!G57</f>
        <v>5235216.8069510758</v>
      </c>
      <c r="H805" s="517">
        <f>ISR!H57</f>
        <v>4260365.4858499663</v>
      </c>
      <c r="I805" s="517">
        <f>ISR!I57</f>
        <v>4324733.4813944465</v>
      </c>
      <c r="J805" s="517">
        <f>ISR!J57</f>
        <v>5404387.3017538814</v>
      </c>
      <c r="K805" s="517">
        <f>ISR!K57</f>
        <v>4475403.2193281716</v>
      </c>
      <c r="L805" s="517">
        <f>ISR!L57</f>
        <v>4971780.7128153741</v>
      </c>
      <c r="M805" s="517">
        <f>ISR!M57</f>
        <v>4637225.0761829838</v>
      </c>
      <c r="N805" s="517">
        <f>ISR!N57</f>
        <v>4248564.1579334838</v>
      </c>
      <c r="O805" s="517">
        <f>ISR!O57</f>
        <v>16473825.09521698</v>
      </c>
      <c r="P805" s="511">
        <f t="shared" si="644"/>
        <v>-1.6763806343078613E-8</v>
      </c>
      <c r="Q805" s="530">
        <v>0</v>
      </c>
      <c r="R805" s="480"/>
      <c r="U805" s="513"/>
    </row>
    <row r="806" spans="1:21" s="479" customFormat="1" ht="18" x14ac:dyDescent="0.15">
      <c r="A806" s="579"/>
      <c r="B806" s="528" t="s">
        <v>298</v>
      </c>
      <c r="C806" s="517">
        <f>FOFIR!I66</f>
        <v>10049159.337454164</v>
      </c>
      <c r="D806" s="517">
        <f t="shared" ref="D806:O806" si="645">$C806*D$23%</f>
        <v>1373875.7990527747</v>
      </c>
      <c r="E806" s="517">
        <f t="shared" si="645"/>
        <v>349542.59750538087</v>
      </c>
      <c r="F806" s="517">
        <f t="shared" si="645"/>
        <v>349542.59750538087</v>
      </c>
      <c r="G806" s="517">
        <f t="shared" si="645"/>
        <v>1972585.7679945363</v>
      </c>
      <c r="H806" s="517">
        <f t="shared" si="645"/>
        <v>349542.59750538087</v>
      </c>
      <c r="I806" s="517">
        <f t="shared" si="645"/>
        <v>349542.59750538087</v>
      </c>
      <c r="J806" s="517">
        <f t="shared" si="645"/>
        <v>2453578.8491628179</v>
      </c>
      <c r="K806" s="517">
        <f t="shared" si="645"/>
        <v>349542.59750538087</v>
      </c>
      <c r="L806" s="517">
        <f t="shared" si="645"/>
        <v>349542.59750538087</v>
      </c>
      <c r="M806" s="517">
        <f t="shared" si="645"/>
        <v>1452778.1412411854</v>
      </c>
      <c r="N806" s="517">
        <f t="shared" si="645"/>
        <v>349542.59750538087</v>
      </c>
      <c r="O806" s="517">
        <f t="shared" si="645"/>
        <v>349542.59750538087</v>
      </c>
      <c r="P806" s="511">
        <f t="shared" si="644"/>
        <v>-4.0198676288127899E-5</v>
      </c>
      <c r="Q806" s="530">
        <v>397894</v>
      </c>
      <c r="R806" s="480"/>
      <c r="U806" s="513"/>
    </row>
    <row r="807" spans="1:21" s="479" customFormat="1" ht="27" x14ac:dyDescent="0.15">
      <c r="A807" s="579"/>
      <c r="B807" s="528" t="s">
        <v>407</v>
      </c>
      <c r="C807" s="517">
        <f>FCISAN!I66</f>
        <v>637933.18409258581</v>
      </c>
      <c r="D807" s="517">
        <f t="shared" ref="D807:O807" si="646">$C807*D$24%</f>
        <v>53161.098674169516</v>
      </c>
      <c r="E807" s="517">
        <f t="shared" si="646"/>
        <v>53161.098674169516</v>
      </c>
      <c r="F807" s="517">
        <f t="shared" si="646"/>
        <v>53161.098674169516</v>
      </c>
      <c r="G807" s="517">
        <f t="shared" si="646"/>
        <v>53161.098674169516</v>
      </c>
      <c r="H807" s="517">
        <f t="shared" si="646"/>
        <v>53161.098674169516</v>
      </c>
      <c r="I807" s="517">
        <f t="shared" si="646"/>
        <v>53161.098674169516</v>
      </c>
      <c r="J807" s="517">
        <f t="shared" si="646"/>
        <v>53161.098674169516</v>
      </c>
      <c r="K807" s="517">
        <f t="shared" si="646"/>
        <v>53161.098674169516</v>
      </c>
      <c r="L807" s="517">
        <f t="shared" si="646"/>
        <v>53161.098674169516</v>
      </c>
      <c r="M807" s="517">
        <f t="shared" si="646"/>
        <v>53161.098674169516</v>
      </c>
      <c r="N807" s="517">
        <f t="shared" si="646"/>
        <v>53161.098674169516</v>
      </c>
      <c r="O807" s="517">
        <f t="shared" si="646"/>
        <v>53161.098674169516</v>
      </c>
      <c r="P807" s="511">
        <f t="shared" si="644"/>
        <v>2.5516928872093558E-6</v>
      </c>
      <c r="Q807" s="530">
        <v>47323</v>
      </c>
      <c r="R807" s="480"/>
      <c r="U807" s="513"/>
    </row>
    <row r="808" spans="1:21" s="479" customFormat="1" ht="27" x14ac:dyDescent="0.15">
      <c r="A808" s="579"/>
      <c r="B808" s="528" t="s">
        <v>242</v>
      </c>
      <c r="C808" s="517">
        <f>ISAN!I66</f>
        <v>3186551.0684366687</v>
      </c>
      <c r="D808" s="517">
        <f t="shared" ref="D808:O808" si="647">$C808*D$25%</f>
        <v>306653.30487830378</v>
      </c>
      <c r="E808" s="517">
        <f t="shared" si="647"/>
        <v>342499.719159931</v>
      </c>
      <c r="F808" s="517">
        <f t="shared" si="647"/>
        <v>265810.02215980226</v>
      </c>
      <c r="G808" s="517">
        <f t="shared" si="647"/>
        <v>246699.11906036269</v>
      </c>
      <c r="H808" s="517">
        <f t="shared" si="647"/>
        <v>263775.90033737884</v>
      </c>
      <c r="I808" s="517">
        <f t="shared" si="647"/>
        <v>229097.39550631092</v>
      </c>
      <c r="J808" s="517">
        <f t="shared" si="647"/>
        <v>248191.90195549023</v>
      </c>
      <c r="K808" s="517">
        <f t="shared" si="647"/>
        <v>255951.09099065233</v>
      </c>
      <c r="L808" s="517">
        <f t="shared" si="647"/>
        <v>251505.5490880876</v>
      </c>
      <c r="M808" s="517">
        <f t="shared" si="647"/>
        <v>257673.53486692221</v>
      </c>
      <c r="N808" s="517">
        <f t="shared" si="647"/>
        <v>249487.8306586665</v>
      </c>
      <c r="O808" s="517">
        <f t="shared" si="647"/>
        <v>269205.69973652181</v>
      </c>
      <c r="P808" s="511">
        <f t="shared" si="644"/>
        <v>3.8238416891545057E-5</v>
      </c>
      <c r="Q808" s="530">
        <v>203327</v>
      </c>
      <c r="R808" s="480"/>
      <c r="U808" s="513"/>
    </row>
    <row r="809" spans="1:21" s="479" customFormat="1" ht="18" x14ac:dyDescent="0.15">
      <c r="A809" s="579"/>
      <c r="B809" s="528" t="s">
        <v>403</v>
      </c>
      <c r="C809" s="517">
        <f>LOT!I66</f>
        <v>154251.36171026673</v>
      </c>
      <c r="D809" s="517">
        <f t="shared" ref="D809:O809" si="648">$C809*D$26%</f>
        <v>11663.005453900645</v>
      </c>
      <c r="E809" s="517">
        <f t="shared" si="648"/>
        <v>11497.690114332572</v>
      </c>
      <c r="F809" s="517">
        <f t="shared" si="648"/>
        <v>11300.81807206242</v>
      </c>
      <c r="G809" s="517">
        <f t="shared" si="648"/>
        <v>12433.423315981125</v>
      </c>
      <c r="H809" s="517">
        <f t="shared" si="648"/>
        <v>10172.803393709613</v>
      </c>
      <c r="I809" s="517">
        <f t="shared" si="648"/>
        <v>13805.012856821793</v>
      </c>
      <c r="J809" s="517">
        <f t="shared" si="648"/>
        <v>31682.489662966382</v>
      </c>
      <c r="K809" s="517">
        <f t="shared" si="648"/>
        <v>11533.562498498653</v>
      </c>
      <c r="L809" s="517">
        <f t="shared" si="648"/>
        <v>13994.545491735891</v>
      </c>
      <c r="M809" s="517">
        <f t="shared" si="648"/>
        <v>8664.5414437208055</v>
      </c>
      <c r="N809" s="517">
        <f t="shared" si="648"/>
        <v>8751.7347023429102</v>
      </c>
      <c r="O809" s="517">
        <f t="shared" si="648"/>
        <v>8751.7347023429102</v>
      </c>
      <c r="P809" s="511">
        <f t="shared" si="644"/>
        <v>1.8510181689634919E-6</v>
      </c>
      <c r="Q809" s="530">
        <v>9931</v>
      </c>
      <c r="R809" s="480"/>
      <c r="U809" s="513"/>
    </row>
    <row r="810" spans="1:21" s="479" customFormat="1" ht="45" x14ac:dyDescent="0.15">
      <c r="A810" s="579"/>
      <c r="B810" s="518" t="s">
        <v>301</v>
      </c>
      <c r="C810" s="517">
        <f>'ENAJENAC DE INMUE'!I66</f>
        <v>606534.66372014105</v>
      </c>
      <c r="D810" s="517">
        <f t="shared" ref="D810:O810" si="649">$C810*D$27%</f>
        <v>26193.634730536101</v>
      </c>
      <c r="E810" s="517">
        <f t="shared" si="649"/>
        <v>26579.440726611279</v>
      </c>
      <c r="F810" s="517">
        <f t="shared" si="649"/>
        <v>26221.114318439522</v>
      </c>
      <c r="G810" s="517">
        <f t="shared" si="649"/>
        <v>26067.518334551161</v>
      </c>
      <c r="H810" s="517">
        <f t="shared" si="649"/>
        <v>36160.626195532852</v>
      </c>
      <c r="I810" s="517">
        <f t="shared" si="649"/>
        <v>26027.608353678377</v>
      </c>
      <c r="J810" s="517">
        <f t="shared" si="649"/>
        <v>29912.983781331914</v>
      </c>
      <c r="K810" s="517">
        <f t="shared" si="649"/>
        <v>29882.193227449348</v>
      </c>
      <c r="L810" s="517">
        <f t="shared" si="649"/>
        <v>29844.338328552894</v>
      </c>
      <c r="M810" s="517">
        <f t="shared" si="649"/>
        <v>26063.251184870696</v>
      </c>
      <c r="N810" s="517">
        <f t="shared" si="649"/>
        <v>108361.41366650343</v>
      </c>
      <c r="O810" s="517">
        <f t="shared" si="649"/>
        <v>215220.54087087041</v>
      </c>
      <c r="P810" s="511">
        <f t="shared" si="644"/>
        <v>1.2129894457757473E-6</v>
      </c>
      <c r="Q810" s="530">
        <v>144918</v>
      </c>
      <c r="R810" s="480"/>
      <c r="U810" s="513"/>
    </row>
    <row r="811" spans="1:21" s="479" customFormat="1" ht="27" x14ac:dyDescent="0.15">
      <c r="A811" s="579"/>
      <c r="B811" s="518" t="s">
        <v>248</v>
      </c>
      <c r="C811" s="517">
        <f>'IMP BEBIDAS AL'!I66</f>
        <v>237065.79856917175</v>
      </c>
      <c r="D811" s="517">
        <f t="shared" ref="D811:O811" si="650">$C811*D$28%</f>
        <v>53906.533088848271</v>
      </c>
      <c r="E811" s="517">
        <f t="shared" si="650"/>
        <v>18541.889760615577</v>
      </c>
      <c r="F811" s="517">
        <f t="shared" si="650"/>
        <v>19926.098733186103</v>
      </c>
      <c r="G811" s="517">
        <f t="shared" si="650"/>
        <v>19783.055904540932</v>
      </c>
      <c r="H811" s="517">
        <f t="shared" si="650"/>
        <v>12597.945331796556</v>
      </c>
      <c r="I811" s="517">
        <f t="shared" si="650"/>
        <v>20616.557801477662</v>
      </c>
      <c r="J811" s="517">
        <f t="shared" si="650"/>
        <v>20500.510247462687</v>
      </c>
      <c r="K811" s="517">
        <f t="shared" si="650"/>
        <v>18749.212427822131</v>
      </c>
      <c r="L811" s="517">
        <f t="shared" si="650"/>
        <v>13597.456445733827</v>
      </c>
      <c r="M811" s="517">
        <f t="shared" si="650"/>
        <v>12640.040247012761</v>
      </c>
      <c r="N811" s="517">
        <f t="shared" si="650"/>
        <v>12729.387746512506</v>
      </c>
      <c r="O811" s="517">
        <f t="shared" si="650"/>
        <v>13477.110834162744</v>
      </c>
      <c r="P811" s="511">
        <f t="shared" si="644"/>
        <v>0</v>
      </c>
      <c r="Q811" s="530">
        <v>6202</v>
      </c>
      <c r="R811" s="480"/>
      <c r="U811" s="513"/>
    </row>
    <row r="812" spans="1:21" s="479" customFormat="1" ht="18" x14ac:dyDescent="0.15">
      <c r="A812" s="579"/>
      <c r="B812" s="518" t="s">
        <v>253</v>
      </c>
      <c r="C812" s="517">
        <f>'FOND GASO Y D'!Q67</f>
        <v>0</v>
      </c>
      <c r="D812" s="517">
        <f t="shared" ref="D812:O812" si="651">$C812*D$29%</f>
        <v>0</v>
      </c>
      <c r="E812" s="517">
        <f t="shared" si="651"/>
        <v>0</v>
      </c>
      <c r="F812" s="517">
        <f t="shared" si="651"/>
        <v>0</v>
      </c>
      <c r="G812" s="517">
        <f t="shared" si="651"/>
        <v>0</v>
      </c>
      <c r="H812" s="517">
        <f t="shared" si="651"/>
        <v>0</v>
      </c>
      <c r="I812" s="517">
        <f t="shared" si="651"/>
        <v>0</v>
      </c>
      <c r="J812" s="517">
        <f t="shared" si="651"/>
        <v>0</v>
      </c>
      <c r="K812" s="517">
        <f t="shared" si="651"/>
        <v>0</v>
      </c>
      <c r="L812" s="517">
        <f t="shared" si="651"/>
        <v>0</v>
      </c>
      <c r="M812" s="517">
        <f t="shared" si="651"/>
        <v>0</v>
      </c>
      <c r="N812" s="517">
        <f t="shared" si="651"/>
        <v>0</v>
      </c>
      <c r="O812" s="517">
        <f t="shared" si="651"/>
        <v>0</v>
      </c>
      <c r="P812" s="511">
        <f t="shared" si="644"/>
        <v>0</v>
      </c>
      <c r="Q812" s="530">
        <v>217742</v>
      </c>
      <c r="R812" s="480"/>
      <c r="U812" s="513"/>
    </row>
    <row r="813" spans="1:21" s="479" customFormat="1" ht="18" x14ac:dyDescent="0.15">
      <c r="A813" s="579"/>
      <c r="B813" s="528" t="s">
        <v>408</v>
      </c>
      <c r="C813" s="519">
        <f>'FOND GASO Y D'!H67</f>
        <v>7052268.9809239218</v>
      </c>
      <c r="D813" s="517">
        <f t="shared" ref="D813:O813" si="652">$C813*D$30%</f>
        <v>548601.66431820136</v>
      </c>
      <c r="E813" s="517">
        <f t="shared" si="652"/>
        <v>603175.04431505851</v>
      </c>
      <c r="F813" s="517">
        <f t="shared" si="652"/>
        <v>587253.1401206475</v>
      </c>
      <c r="G813" s="517">
        <f t="shared" si="652"/>
        <v>547197.57834008371</v>
      </c>
      <c r="H813" s="517">
        <f t="shared" si="652"/>
        <v>602933.51770628861</v>
      </c>
      <c r="I813" s="517">
        <f t="shared" si="652"/>
        <v>581902.48746597604</v>
      </c>
      <c r="J813" s="517">
        <f t="shared" si="652"/>
        <v>594034.34629974433</v>
      </c>
      <c r="K813" s="517">
        <f t="shared" si="652"/>
        <v>593681.35314243159</v>
      </c>
      <c r="L813" s="517">
        <f t="shared" si="652"/>
        <v>617796.43613108562</v>
      </c>
      <c r="M813" s="517">
        <f t="shared" si="652"/>
        <v>612371.47244875389</v>
      </c>
      <c r="N813" s="517">
        <f t="shared" si="652"/>
        <v>572315.91066819034</v>
      </c>
      <c r="O813" s="517">
        <f t="shared" si="652"/>
        <v>591006.02997451241</v>
      </c>
      <c r="P813" s="511">
        <f t="shared" si="644"/>
        <v>-7.0520909503102303E-6</v>
      </c>
      <c r="Q813" s="530">
        <v>430995</v>
      </c>
      <c r="R813" s="480"/>
      <c r="U813" s="513"/>
    </row>
    <row r="814" spans="1:21" s="479" customFormat="1" x14ac:dyDescent="0.15">
      <c r="A814" s="579"/>
      <c r="B814" s="534"/>
      <c r="C814" s="521"/>
      <c r="D814" s="522"/>
      <c r="E814" s="522"/>
      <c r="F814" s="522"/>
      <c r="G814" s="522"/>
      <c r="H814" s="522"/>
      <c r="I814" s="522"/>
      <c r="J814" s="522"/>
      <c r="K814" s="522"/>
      <c r="L814" s="522"/>
      <c r="M814" s="522"/>
      <c r="N814" s="522"/>
      <c r="O814" s="522"/>
      <c r="P814" s="511">
        <f t="shared" si="644"/>
        <v>0</v>
      </c>
      <c r="Q814" s="530">
        <v>0</v>
      </c>
      <c r="R814" s="480"/>
      <c r="U814" s="513"/>
    </row>
    <row r="815" spans="1:21" s="479" customFormat="1" x14ac:dyDescent="0.15">
      <c r="A815" s="590"/>
      <c r="B815" s="536"/>
      <c r="C815" s="522"/>
      <c r="D815" s="522"/>
      <c r="E815" s="522"/>
      <c r="F815" s="522"/>
      <c r="G815" s="522"/>
      <c r="H815" s="522"/>
      <c r="I815" s="522"/>
      <c r="J815" s="522"/>
      <c r="K815" s="522"/>
      <c r="L815" s="522"/>
      <c r="M815" s="522"/>
      <c r="N815" s="522"/>
      <c r="O815" s="522"/>
      <c r="P815" s="511">
        <f t="shared" si="644"/>
        <v>0</v>
      </c>
      <c r="Q815" s="530">
        <v>0</v>
      </c>
      <c r="R815" s="480"/>
      <c r="U815" s="513"/>
    </row>
    <row r="816" spans="1:21" s="479" customFormat="1" x14ac:dyDescent="0.15">
      <c r="A816" s="576">
        <v>53</v>
      </c>
      <c r="B816" s="533" t="s">
        <v>103</v>
      </c>
      <c r="C816" s="524">
        <f t="shared" ref="C816:O816" si="653">SUM(C817:C828)</f>
        <v>1128923480.5394824</v>
      </c>
      <c r="D816" s="524">
        <f t="shared" si="653"/>
        <v>91984879.101296529</v>
      </c>
      <c r="E816" s="524">
        <f t="shared" si="653"/>
        <v>117060034.68891837</v>
      </c>
      <c r="F816" s="524">
        <f t="shared" si="653"/>
        <v>80218946.275316194</v>
      </c>
      <c r="G816" s="524">
        <f t="shared" si="653"/>
        <v>99600419.389313444</v>
      </c>
      <c r="H816" s="524">
        <f t="shared" si="653"/>
        <v>112872694.83340269</v>
      </c>
      <c r="I816" s="524">
        <f t="shared" si="653"/>
        <v>111257680.93380059</v>
      </c>
      <c r="J816" s="524">
        <f t="shared" si="653"/>
        <v>91560109.171944186</v>
      </c>
      <c r="K816" s="524">
        <f t="shared" si="653"/>
        <v>91712439.53861919</v>
      </c>
      <c r="L816" s="524">
        <f t="shared" si="653"/>
        <v>89349062.618399978</v>
      </c>
      <c r="M816" s="524">
        <f t="shared" si="653"/>
        <v>68240940.758055642</v>
      </c>
      <c r="N816" s="524">
        <f t="shared" si="653"/>
        <v>87674963.316855684</v>
      </c>
      <c r="O816" s="524">
        <f t="shared" si="653"/>
        <v>87391309.910451233</v>
      </c>
      <c r="P816" s="511">
        <f t="shared" si="644"/>
        <v>3.108486533164978E-3</v>
      </c>
      <c r="Q816" s="530">
        <v>64711176</v>
      </c>
      <c r="R816" s="480"/>
      <c r="T816" s="512"/>
      <c r="U816" s="513"/>
    </row>
    <row r="817" spans="1:21" s="479" customFormat="1" x14ac:dyDescent="0.15">
      <c r="A817" s="579"/>
      <c r="B817" s="528" t="s">
        <v>294</v>
      </c>
      <c r="C817" s="517">
        <f>'FG1'!I68</f>
        <v>735251290.07996619</v>
      </c>
      <c r="D817" s="517">
        <f t="shared" ref="D817:O817" si="654">$C817*D$19%</f>
        <v>55610509.710901149</v>
      </c>
      <c r="E817" s="517">
        <f t="shared" si="654"/>
        <v>79675941.550618678</v>
      </c>
      <c r="F817" s="517">
        <f t="shared" si="654"/>
        <v>51502190.585758165</v>
      </c>
      <c r="G817" s="517">
        <f t="shared" si="654"/>
        <v>63265222.936075062</v>
      </c>
      <c r="H817" s="517">
        <f t="shared" si="654"/>
        <v>77260660.834348425</v>
      </c>
      <c r="I817" s="517">
        <f t="shared" si="654"/>
        <v>75742715.65663743</v>
      </c>
      <c r="J817" s="517">
        <f t="shared" si="654"/>
        <v>58716025.415871263</v>
      </c>
      <c r="K817" s="517">
        <f t="shared" si="654"/>
        <v>62340843.341184244</v>
      </c>
      <c r="L817" s="517">
        <f t="shared" si="654"/>
        <v>58584930.171140619</v>
      </c>
      <c r="M817" s="517">
        <f t="shared" si="654"/>
        <v>38837306.360688843</v>
      </c>
      <c r="N817" s="517">
        <f t="shared" si="654"/>
        <v>56681069.072601326</v>
      </c>
      <c r="O817" s="517">
        <f t="shared" si="654"/>
        <v>57033874.443405747</v>
      </c>
      <c r="P817" s="511">
        <f t="shared" si="644"/>
        <v>7.3518604040145874E-4</v>
      </c>
      <c r="Q817" s="530">
        <v>44539295</v>
      </c>
      <c r="R817" s="480"/>
      <c r="U817" s="513"/>
    </row>
    <row r="818" spans="1:21" s="479" customFormat="1" x14ac:dyDescent="0.15">
      <c r="A818" s="579"/>
      <c r="B818" s="528" t="s">
        <v>296</v>
      </c>
      <c r="C818" s="517">
        <f>FFM!J68</f>
        <v>197632529.01024348</v>
      </c>
      <c r="D818" s="517">
        <f t="shared" ref="D818:O818" si="655">$C818*D$20%</f>
        <v>14945592.398037752</v>
      </c>
      <c r="E818" s="517">
        <f t="shared" si="655"/>
        <v>21426935.071577005</v>
      </c>
      <c r="F818" s="517">
        <f t="shared" si="655"/>
        <v>13839133.032314064</v>
      </c>
      <c r="G818" s="517">
        <f t="shared" si="655"/>
        <v>17007172.720566388</v>
      </c>
      <c r="H818" s="517">
        <f t="shared" si="655"/>
        <v>20776447.651962224</v>
      </c>
      <c r="I818" s="517">
        <f t="shared" si="655"/>
        <v>20367632.037576772</v>
      </c>
      <c r="J818" s="517">
        <f t="shared" si="655"/>
        <v>15780591.461598072</v>
      </c>
      <c r="K818" s="517">
        <f t="shared" si="655"/>
        <v>16756833.541563729</v>
      </c>
      <c r="L818" s="517">
        <f t="shared" si="655"/>
        <v>15745284.584997546</v>
      </c>
      <c r="M818" s="517">
        <f t="shared" si="655"/>
        <v>10426821.234880341</v>
      </c>
      <c r="N818" s="517">
        <f t="shared" si="655"/>
        <v>15232533.550868595</v>
      </c>
      <c r="O818" s="517">
        <f t="shared" si="655"/>
        <v>15327551.721929397</v>
      </c>
      <c r="P818" s="511">
        <f t="shared" si="644"/>
        <v>2.371588721871376E-3</v>
      </c>
      <c r="Q818" s="530">
        <v>13636485</v>
      </c>
      <c r="R818" s="480"/>
      <c r="U818" s="513"/>
    </row>
    <row r="819" spans="1:21" s="479" customFormat="1" ht="18" x14ac:dyDescent="0.15">
      <c r="A819" s="579"/>
      <c r="B819" s="528" t="s">
        <v>297</v>
      </c>
      <c r="C819" s="517">
        <f>IEPS!I67</f>
        <v>17781317.649707709</v>
      </c>
      <c r="D819" s="517">
        <f t="shared" ref="D819:O819" si="656">$C819*D$21%</f>
        <v>1248956.5675437925</v>
      </c>
      <c r="E819" s="517">
        <f t="shared" si="656"/>
        <v>2854748.3669831217</v>
      </c>
      <c r="F819" s="517">
        <f t="shared" si="656"/>
        <v>1185747.7511602917</v>
      </c>
      <c r="G819" s="517">
        <f t="shared" si="656"/>
        <v>1152380.7718302403</v>
      </c>
      <c r="H819" s="517">
        <f t="shared" si="656"/>
        <v>1272291.7675968348</v>
      </c>
      <c r="I819" s="517">
        <f t="shared" si="656"/>
        <v>1319391.9106775804</v>
      </c>
      <c r="J819" s="517">
        <f t="shared" si="656"/>
        <v>1358729.7666076242</v>
      </c>
      <c r="K819" s="517">
        <f t="shared" si="656"/>
        <v>1505074.7980933068</v>
      </c>
      <c r="L819" s="517">
        <f t="shared" si="656"/>
        <v>1508228.6142514343</v>
      </c>
      <c r="M819" s="517">
        <f t="shared" si="656"/>
        <v>1491465.77873705</v>
      </c>
      <c r="N819" s="517">
        <f t="shared" si="656"/>
        <v>1443245.3842298274</v>
      </c>
      <c r="O819" s="517">
        <f t="shared" si="656"/>
        <v>1441056.1719788222</v>
      </c>
      <c r="P819" s="511">
        <f t="shared" si="644"/>
        <v>1.7780344933271408E-5</v>
      </c>
      <c r="Q819" s="530">
        <v>1150268</v>
      </c>
      <c r="R819" s="480"/>
      <c r="U819" s="513"/>
    </row>
    <row r="820" spans="1:21" s="479" customFormat="1" x14ac:dyDescent="0.15">
      <c r="A820" s="579"/>
      <c r="B820" s="528" t="s">
        <v>236</v>
      </c>
      <c r="C820" s="517">
        <f>ISR!C58</f>
        <v>98795129.030000001</v>
      </c>
      <c r="D820" s="517">
        <f>ISR!D58</f>
        <v>11710355.27599277</v>
      </c>
      <c r="E820" s="517">
        <f>ISR!E58</f>
        <v>7914786.084476795</v>
      </c>
      <c r="F820" s="517">
        <f>ISR!F58</f>
        <v>8828358.8996272963</v>
      </c>
      <c r="G820" s="517">
        <f>ISR!G58</f>
        <v>7982771.7390391631</v>
      </c>
      <c r="H820" s="517">
        <f>ISR!H58</f>
        <v>8638135.2864124011</v>
      </c>
      <c r="I820" s="517">
        <f>ISR!I58</f>
        <v>9101466.3860743996</v>
      </c>
      <c r="J820" s="517">
        <f>ISR!J58</f>
        <v>3589545.5946330908</v>
      </c>
      <c r="K820" s="517">
        <f>ISR!K58</f>
        <v>6244568.7818580894</v>
      </c>
      <c r="L820" s="517">
        <f>ISR!L58</f>
        <v>8572349.9384455774</v>
      </c>
      <c r="M820" s="517">
        <f>ISR!M58</f>
        <v>8807049.6622704342</v>
      </c>
      <c r="N820" s="517">
        <f>ISR!N58</f>
        <v>9323232.890205441</v>
      </c>
      <c r="O820" s="517">
        <f>ISR!O58</f>
        <v>8082508.4909645142</v>
      </c>
      <c r="P820" s="511">
        <f t="shared" si="644"/>
        <v>3.4458935260772705E-8</v>
      </c>
      <c r="Q820" s="530">
        <v>0</v>
      </c>
      <c r="R820" s="480"/>
      <c r="U820" s="513"/>
    </row>
    <row r="821" spans="1:21" s="479" customFormat="1" ht="18" x14ac:dyDescent="0.15">
      <c r="A821" s="579"/>
      <c r="B821" s="528" t="s">
        <v>298</v>
      </c>
      <c r="C821" s="517">
        <f>FOFIR!I67</f>
        <v>34388980.820748404</v>
      </c>
      <c r="D821" s="517">
        <f t="shared" ref="D821:O821" si="657">$C821*D$23%</f>
        <v>4701506.5556404563</v>
      </c>
      <c r="E821" s="517">
        <f t="shared" si="657"/>
        <v>1196161.1193531291</v>
      </c>
      <c r="F821" s="517">
        <f t="shared" si="657"/>
        <v>1196161.1193531291</v>
      </c>
      <c r="G821" s="517">
        <f t="shared" si="657"/>
        <v>6750337.2038312824</v>
      </c>
      <c r="H821" s="517">
        <f t="shared" si="657"/>
        <v>1196161.1193531291</v>
      </c>
      <c r="I821" s="517">
        <f t="shared" si="657"/>
        <v>1196161.1193531291</v>
      </c>
      <c r="J821" s="517">
        <f t="shared" si="657"/>
        <v>8396331.7878318932</v>
      </c>
      <c r="K821" s="517">
        <f t="shared" si="657"/>
        <v>1196161.1193531291</v>
      </c>
      <c r="L821" s="517">
        <f t="shared" si="657"/>
        <v>1196161.1193531291</v>
      </c>
      <c r="M821" s="517">
        <f t="shared" si="657"/>
        <v>4971516.3187572956</v>
      </c>
      <c r="N821" s="517">
        <f t="shared" si="657"/>
        <v>1196161.1193531291</v>
      </c>
      <c r="O821" s="517">
        <f t="shared" si="657"/>
        <v>1196161.1193531291</v>
      </c>
      <c r="P821" s="511">
        <f t="shared" si="644"/>
        <v>-1.3755913823843002E-4</v>
      </c>
      <c r="Q821" s="530">
        <v>1354896</v>
      </c>
      <c r="R821" s="480"/>
      <c r="U821" s="513"/>
    </row>
    <row r="822" spans="1:21" s="479" customFormat="1" ht="27" x14ac:dyDescent="0.15">
      <c r="A822" s="579"/>
      <c r="B822" s="528" t="s">
        <v>407</v>
      </c>
      <c r="C822" s="517">
        <f>FCISAN!I67</f>
        <v>2183055.4473262629</v>
      </c>
      <c r="D822" s="517">
        <f t="shared" ref="D822:O822" si="658">$C822*D$24%</f>
        <v>181921.28727646091</v>
      </c>
      <c r="E822" s="517">
        <f t="shared" si="658"/>
        <v>181921.28727646091</v>
      </c>
      <c r="F822" s="517">
        <f t="shared" si="658"/>
        <v>181921.28727646091</v>
      </c>
      <c r="G822" s="517">
        <f t="shared" si="658"/>
        <v>181921.28727646091</v>
      </c>
      <c r="H822" s="517">
        <f t="shared" si="658"/>
        <v>181921.28727646091</v>
      </c>
      <c r="I822" s="517">
        <f t="shared" si="658"/>
        <v>181921.28727646091</v>
      </c>
      <c r="J822" s="517">
        <f t="shared" si="658"/>
        <v>181921.28727646091</v>
      </c>
      <c r="K822" s="517">
        <f t="shared" si="658"/>
        <v>181921.28727646091</v>
      </c>
      <c r="L822" s="517">
        <f t="shared" si="658"/>
        <v>181921.28727646091</v>
      </c>
      <c r="M822" s="517">
        <f t="shared" si="658"/>
        <v>181921.28727646091</v>
      </c>
      <c r="N822" s="517">
        <f t="shared" si="658"/>
        <v>181921.28727646091</v>
      </c>
      <c r="O822" s="517">
        <f t="shared" si="658"/>
        <v>181921.28727646091</v>
      </c>
      <c r="P822" s="511">
        <f t="shared" si="644"/>
        <v>8.7327789515256882E-6</v>
      </c>
      <c r="Q822" s="530">
        <v>161156</v>
      </c>
      <c r="R822" s="480"/>
      <c r="U822" s="513"/>
    </row>
    <row r="823" spans="1:21" s="479" customFormat="1" ht="27" x14ac:dyDescent="0.15">
      <c r="A823" s="579"/>
      <c r="B823" s="528" t="s">
        <v>242</v>
      </c>
      <c r="C823" s="517">
        <f>ISAN!I67</f>
        <v>10904617.97818058</v>
      </c>
      <c r="D823" s="517">
        <f t="shared" ref="D823:O823" si="659">$C823*D$25%</f>
        <v>1049390.7267222889</v>
      </c>
      <c r="E823" s="517">
        <f t="shared" si="659"/>
        <v>1172059.8587191328</v>
      </c>
      <c r="F823" s="517">
        <f t="shared" si="659"/>
        <v>909621.93423951569</v>
      </c>
      <c r="G823" s="517">
        <f t="shared" si="659"/>
        <v>844222.98313478543</v>
      </c>
      <c r="H823" s="517">
        <f t="shared" si="659"/>
        <v>902661.01601845922</v>
      </c>
      <c r="I823" s="517">
        <f t="shared" si="659"/>
        <v>783988.55820568989</v>
      </c>
      <c r="J823" s="517">
        <f t="shared" si="659"/>
        <v>849331.39873714838</v>
      </c>
      <c r="K823" s="517">
        <f t="shared" si="659"/>
        <v>875883.92855128401</v>
      </c>
      <c r="L823" s="517">
        <f t="shared" si="659"/>
        <v>860670.94902817672</v>
      </c>
      <c r="M823" s="517">
        <f t="shared" si="659"/>
        <v>881778.26134438568</v>
      </c>
      <c r="N823" s="517">
        <f t="shared" si="659"/>
        <v>853766.16445456375</v>
      </c>
      <c r="O823" s="517">
        <f t="shared" si="659"/>
        <v>921242.19889429398</v>
      </c>
      <c r="P823" s="511">
        <f t="shared" si="644"/>
        <v>1.3085384853184223E-4</v>
      </c>
      <c r="Q823" s="530">
        <v>692361</v>
      </c>
      <c r="R823" s="480"/>
      <c r="U823" s="513"/>
    </row>
    <row r="824" spans="1:21" s="479" customFormat="1" ht="18" x14ac:dyDescent="0.15">
      <c r="A824" s="579"/>
      <c r="B824" s="528" t="s">
        <v>403</v>
      </c>
      <c r="C824" s="517">
        <f>LOT!I67</f>
        <v>527859.78819722158</v>
      </c>
      <c r="D824" s="517">
        <f t="shared" ref="D824:O824" si="660">$C824*D$26%</f>
        <v>39911.683892961526</v>
      </c>
      <c r="E824" s="517">
        <f t="shared" si="660"/>
        <v>39345.962338463592</v>
      </c>
      <c r="F824" s="517">
        <f t="shared" si="660"/>
        <v>38672.251368379104</v>
      </c>
      <c r="G824" s="517">
        <f t="shared" si="660"/>
        <v>42548.111895879374</v>
      </c>
      <c r="H824" s="517">
        <f t="shared" si="660"/>
        <v>34812.100102310651</v>
      </c>
      <c r="I824" s="517">
        <f t="shared" si="660"/>
        <v>47241.794703565676</v>
      </c>
      <c r="J824" s="517">
        <f t="shared" si="660"/>
        <v>108419.86804931382</v>
      </c>
      <c r="K824" s="517">
        <f t="shared" si="660"/>
        <v>39468.720341362809</v>
      </c>
      <c r="L824" s="517">
        <f t="shared" si="660"/>
        <v>47890.389668387688</v>
      </c>
      <c r="M824" s="517">
        <f t="shared" si="660"/>
        <v>29650.71400730524</v>
      </c>
      <c r="N824" s="517">
        <f t="shared" si="660"/>
        <v>29949.095911478904</v>
      </c>
      <c r="O824" s="517">
        <f t="shared" si="660"/>
        <v>29949.095911478904</v>
      </c>
      <c r="P824" s="511">
        <f t="shared" si="644"/>
        <v>6.3342959037981927E-6</v>
      </c>
      <c r="Q824" s="530">
        <v>33815</v>
      </c>
      <c r="R824" s="480"/>
      <c r="U824" s="513"/>
    </row>
    <row r="825" spans="1:21" s="479" customFormat="1" ht="45" x14ac:dyDescent="0.15">
      <c r="A825" s="579"/>
      <c r="B825" s="518" t="s">
        <v>301</v>
      </c>
      <c r="C825" s="517">
        <f>'ENAJENAC DE INMUE'!I67</f>
        <v>2075607.3435964813</v>
      </c>
      <c r="D825" s="517">
        <f t="shared" ref="D825:O825" si="661">$C825*D$27%</f>
        <v>89636.592686597345</v>
      </c>
      <c r="E825" s="517">
        <f t="shared" si="661"/>
        <v>90956.849889616278</v>
      </c>
      <c r="F825" s="517">
        <f t="shared" si="661"/>
        <v>89730.629907984679</v>
      </c>
      <c r="G825" s="517">
        <f t="shared" si="661"/>
        <v>89205.012872100458</v>
      </c>
      <c r="H825" s="517">
        <f t="shared" si="661"/>
        <v>123744.38885347245</v>
      </c>
      <c r="I825" s="517">
        <f t="shared" si="661"/>
        <v>89068.437908891807</v>
      </c>
      <c r="J825" s="517">
        <f t="shared" si="661"/>
        <v>102364.48552602854</v>
      </c>
      <c r="K825" s="517">
        <f t="shared" si="661"/>
        <v>102259.1179294594</v>
      </c>
      <c r="L825" s="517">
        <f t="shared" si="661"/>
        <v>102129.5756116986</v>
      </c>
      <c r="M825" s="517">
        <f t="shared" si="661"/>
        <v>89190.410364209703</v>
      </c>
      <c r="N825" s="517">
        <f t="shared" si="661"/>
        <v>370820.92652245873</v>
      </c>
      <c r="O825" s="517">
        <f t="shared" si="661"/>
        <v>736500.91551981203</v>
      </c>
      <c r="P825" s="511">
        <f t="shared" si="644"/>
        <v>4.1512539610266685E-6</v>
      </c>
      <c r="Q825" s="530">
        <v>493469</v>
      </c>
      <c r="R825" s="480"/>
      <c r="U825" s="513"/>
    </row>
    <row r="826" spans="1:21" s="479" customFormat="1" ht="27" x14ac:dyDescent="0.15">
      <c r="A826" s="579"/>
      <c r="B826" s="518" t="s">
        <v>248</v>
      </c>
      <c r="C826" s="517">
        <f>'IMP BEBIDAS AL'!I67</f>
        <v>811257.03419446212</v>
      </c>
      <c r="D826" s="517">
        <f t="shared" ref="D826:O826" si="662">$C826*D$28%</f>
        <v>184472.22003896281</v>
      </c>
      <c r="E826" s="517">
        <f t="shared" si="662"/>
        <v>63451.744563518689</v>
      </c>
      <c r="F826" s="517">
        <f t="shared" si="662"/>
        <v>68188.612017915613</v>
      </c>
      <c r="G826" s="517">
        <f t="shared" si="662"/>
        <v>67699.108674835923</v>
      </c>
      <c r="H826" s="517">
        <f t="shared" si="662"/>
        <v>43111.118636690109</v>
      </c>
      <c r="I826" s="517">
        <f t="shared" si="662"/>
        <v>70551.415000697802</v>
      </c>
      <c r="J826" s="517">
        <f t="shared" si="662"/>
        <v>70154.291522473941</v>
      </c>
      <c r="K826" s="517">
        <f t="shared" si="662"/>
        <v>64161.218359968479</v>
      </c>
      <c r="L826" s="517">
        <f t="shared" si="662"/>
        <v>46531.521017932624</v>
      </c>
      <c r="M826" s="517">
        <f t="shared" si="662"/>
        <v>43255.170609935849</v>
      </c>
      <c r="N826" s="517">
        <f t="shared" si="662"/>
        <v>43560.924488792836</v>
      </c>
      <c r="O826" s="517">
        <f t="shared" si="662"/>
        <v>46119.689262737498</v>
      </c>
      <c r="P826" s="511">
        <f t="shared" si="644"/>
        <v>-6.5483618527650833E-11</v>
      </c>
      <c r="Q826" s="530">
        <v>21124</v>
      </c>
      <c r="R826" s="480"/>
      <c r="U826" s="513"/>
    </row>
    <row r="827" spans="1:21" s="479" customFormat="1" ht="18" x14ac:dyDescent="0.15">
      <c r="A827" s="579"/>
      <c r="B827" s="518" t="s">
        <v>253</v>
      </c>
      <c r="C827" s="517">
        <f>'FOND GASO Y D'!Q68</f>
        <v>0</v>
      </c>
      <c r="D827" s="517">
        <f t="shared" ref="D827:O827" si="663">$C827*D$29%</f>
        <v>0</v>
      </c>
      <c r="E827" s="517">
        <f t="shared" si="663"/>
        <v>0</v>
      </c>
      <c r="F827" s="517">
        <f t="shared" si="663"/>
        <v>0</v>
      </c>
      <c r="G827" s="517">
        <f t="shared" si="663"/>
        <v>0</v>
      </c>
      <c r="H827" s="517">
        <f t="shared" si="663"/>
        <v>0</v>
      </c>
      <c r="I827" s="517">
        <f t="shared" si="663"/>
        <v>0</v>
      </c>
      <c r="J827" s="517">
        <f t="shared" si="663"/>
        <v>0</v>
      </c>
      <c r="K827" s="517">
        <f t="shared" si="663"/>
        <v>0</v>
      </c>
      <c r="L827" s="517">
        <f t="shared" si="663"/>
        <v>0</v>
      </c>
      <c r="M827" s="517">
        <f t="shared" si="663"/>
        <v>0</v>
      </c>
      <c r="N827" s="517">
        <f t="shared" si="663"/>
        <v>0</v>
      </c>
      <c r="O827" s="517">
        <f t="shared" si="663"/>
        <v>0</v>
      </c>
      <c r="P827" s="511">
        <f t="shared" si="644"/>
        <v>0</v>
      </c>
      <c r="Q827" s="530">
        <v>882161</v>
      </c>
      <c r="R827" s="480"/>
      <c r="U827" s="513"/>
    </row>
    <row r="828" spans="1:21" s="479" customFormat="1" ht="18" x14ac:dyDescent="0.15">
      <c r="A828" s="579"/>
      <c r="B828" s="528" t="s">
        <v>408</v>
      </c>
      <c r="C828" s="519">
        <f>'FOND GASO Y D'!H68</f>
        <v>28571836.357321475</v>
      </c>
      <c r="D828" s="517">
        <f t="shared" ref="D828:O828" si="664">$C828*D$30%</f>
        <v>2222626.0825633346</v>
      </c>
      <c r="E828" s="517">
        <f t="shared" si="664"/>
        <v>2443726.7931224266</v>
      </c>
      <c r="F828" s="517">
        <f t="shared" si="664"/>
        <v>2379220.1722929897</v>
      </c>
      <c r="G828" s="517">
        <f t="shared" si="664"/>
        <v>2216937.5141172218</v>
      </c>
      <c r="H828" s="517">
        <f t="shared" si="664"/>
        <v>2442748.2628422608</v>
      </c>
      <c r="I828" s="517">
        <f t="shared" si="664"/>
        <v>2357542.3303859853</v>
      </c>
      <c r="J828" s="517">
        <f t="shared" si="664"/>
        <v>2406693.8142908346</v>
      </c>
      <c r="K828" s="517">
        <f t="shared" si="664"/>
        <v>2405263.6841081548</v>
      </c>
      <c r="L828" s="517">
        <f t="shared" si="664"/>
        <v>2502964.4676090106</v>
      </c>
      <c r="M828" s="517">
        <f t="shared" si="664"/>
        <v>2480985.5591193796</v>
      </c>
      <c r="N828" s="517">
        <f t="shared" si="664"/>
        <v>2318702.9009436122</v>
      </c>
      <c r="O828" s="517">
        <f t="shared" si="664"/>
        <v>2394424.775954836</v>
      </c>
      <c r="P828" s="511">
        <f t="shared" si="644"/>
        <v>-2.8567854315042496E-5</v>
      </c>
      <c r="Q828" s="530">
        <v>1746146</v>
      </c>
      <c r="R828" s="480"/>
      <c r="U828" s="513"/>
    </row>
    <row r="829" spans="1:21" s="479" customFormat="1" x14ac:dyDescent="0.15">
      <c r="A829" s="579"/>
      <c r="B829" s="534"/>
      <c r="C829" s="521"/>
      <c r="D829" s="522"/>
      <c r="E829" s="522"/>
      <c r="F829" s="522"/>
      <c r="G829" s="522"/>
      <c r="H829" s="522"/>
      <c r="I829" s="522"/>
      <c r="J829" s="522"/>
      <c r="K829" s="522"/>
      <c r="L829" s="522"/>
      <c r="M829" s="522"/>
      <c r="N829" s="522"/>
      <c r="O829" s="522"/>
      <c r="P829" s="511">
        <f t="shared" si="644"/>
        <v>0</v>
      </c>
      <c r="Q829" s="530">
        <v>0</v>
      </c>
      <c r="R829" s="480"/>
      <c r="U829" s="513"/>
    </row>
    <row r="830" spans="1:21" s="479" customFormat="1" x14ac:dyDescent="0.15">
      <c r="A830" s="591"/>
      <c r="B830" s="532"/>
      <c r="C830" s="521"/>
      <c r="D830" s="521"/>
      <c r="E830" s="521"/>
      <c r="F830" s="521"/>
      <c r="G830" s="521"/>
      <c r="H830" s="521"/>
      <c r="I830" s="521"/>
      <c r="J830" s="521"/>
      <c r="K830" s="521"/>
      <c r="L830" s="521"/>
      <c r="M830" s="521"/>
      <c r="N830" s="521"/>
      <c r="O830" s="521"/>
      <c r="P830" s="511">
        <f t="shared" si="644"/>
        <v>0</v>
      </c>
      <c r="Q830" s="530">
        <v>0</v>
      </c>
      <c r="R830" s="480"/>
      <c r="U830" s="513"/>
    </row>
    <row r="831" spans="1:21" s="479" customFormat="1" x14ac:dyDescent="0.15">
      <c r="A831" s="584">
        <v>54</v>
      </c>
      <c r="B831" s="533" t="s">
        <v>94</v>
      </c>
      <c r="C831" s="524">
        <f t="shared" ref="C831:O831" si="665">SUM(C832:C843)</f>
        <v>26934147.606106814</v>
      </c>
      <c r="D831" s="524">
        <f t="shared" si="665"/>
        <v>2106792.5553078265</v>
      </c>
      <c r="E831" s="524">
        <f t="shared" si="665"/>
        <v>2836068.6973927272</v>
      </c>
      <c r="F831" s="524">
        <f t="shared" si="665"/>
        <v>1874888.1555709993</v>
      </c>
      <c r="G831" s="524">
        <f t="shared" si="665"/>
        <v>2407417.6006734483</v>
      </c>
      <c r="H831" s="524">
        <f t="shared" si="665"/>
        <v>2701077.6494455226</v>
      </c>
      <c r="I831" s="524">
        <f t="shared" si="665"/>
        <v>2649019.4345903909</v>
      </c>
      <c r="J831" s="524">
        <f t="shared" si="665"/>
        <v>2295703.7335498948</v>
      </c>
      <c r="K831" s="524">
        <f t="shared" si="665"/>
        <v>2233138.3086011233</v>
      </c>
      <c r="L831" s="524">
        <f t="shared" si="665"/>
        <v>2115688.7782750782</v>
      </c>
      <c r="M831" s="524">
        <f t="shared" si="665"/>
        <v>1581791.9736529572</v>
      </c>
      <c r="N831" s="524">
        <f t="shared" si="665"/>
        <v>2054123.9770094019</v>
      </c>
      <c r="O831" s="524">
        <f t="shared" si="665"/>
        <v>2078436.7419598449</v>
      </c>
      <c r="P831" s="511">
        <f t="shared" si="644"/>
        <v>7.7596399933099747E-5</v>
      </c>
      <c r="Q831" s="530">
        <v>1617814</v>
      </c>
      <c r="R831" s="480"/>
      <c r="T831" s="512"/>
      <c r="U831" s="513"/>
    </row>
    <row r="832" spans="1:21" s="479" customFormat="1" x14ac:dyDescent="0.15">
      <c r="A832" s="579"/>
      <c r="B832" s="527" t="s">
        <v>294</v>
      </c>
      <c r="C832" s="515">
        <f>'FG1'!I69</f>
        <v>18388759.647968147</v>
      </c>
      <c r="D832" s="515">
        <f t="shared" ref="D832:O832" si="666">$C832*D$19%</f>
        <v>1390828.2933628592</v>
      </c>
      <c r="E832" s="515">
        <f t="shared" si="666"/>
        <v>1992708.8312086281</v>
      </c>
      <c r="F832" s="515">
        <f t="shared" si="666"/>
        <v>1288078.5342414728</v>
      </c>
      <c r="G832" s="515">
        <f t="shared" si="666"/>
        <v>1582273.9712841273</v>
      </c>
      <c r="H832" s="515">
        <f t="shared" si="666"/>
        <v>1932302.2502571882</v>
      </c>
      <c r="I832" s="515">
        <f t="shared" si="666"/>
        <v>1894338.1835383337</v>
      </c>
      <c r="J832" s="515">
        <f t="shared" si="666"/>
        <v>1468497.7686186929</v>
      </c>
      <c r="K832" s="515">
        <f t="shared" si="666"/>
        <v>1559155.0806092336</v>
      </c>
      <c r="L832" s="515">
        <f t="shared" si="666"/>
        <v>1465219.0542813386</v>
      </c>
      <c r="M832" s="515">
        <f t="shared" si="666"/>
        <v>971327.62863093824</v>
      </c>
      <c r="N832" s="515">
        <f t="shared" si="666"/>
        <v>1417603.1648344148</v>
      </c>
      <c r="O832" s="515">
        <f t="shared" si="666"/>
        <v>1426426.8870825311</v>
      </c>
      <c r="P832" s="511">
        <f t="shared" si="644"/>
        <v>1.8387800082564354E-5</v>
      </c>
      <c r="Q832" s="530">
        <v>1104121</v>
      </c>
      <c r="R832" s="480"/>
      <c r="U832" s="513"/>
    </row>
    <row r="833" spans="1:21" s="479" customFormat="1" x14ac:dyDescent="0.15">
      <c r="A833" s="579"/>
      <c r="B833" s="528" t="s">
        <v>296</v>
      </c>
      <c r="C833" s="517">
        <f>FFM!J69</f>
        <v>4942823.1186023513</v>
      </c>
      <c r="D833" s="517">
        <f t="shared" ref="D833:O833" si="667">$C833*D$20%</f>
        <v>373791.80439673283</v>
      </c>
      <c r="E833" s="517">
        <f t="shared" si="667"/>
        <v>535891.28552361415</v>
      </c>
      <c r="F833" s="517">
        <f t="shared" si="667"/>
        <v>346119.06772690214</v>
      </c>
      <c r="G833" s="517">
        <f t="shared" si="667"/>
        <v>425352.27842437674</v>
      </c>
      <c r="H833" s="517">
        <f t="shared" si="667"/>
        <v>519622.48467319709</v>
      </c>
      <c r="I833" s="517">
        <f t="shared" si="667"/>
        <v>509397.9367197309</v>
      </c>
      <c r="J833" s="517">
        <f t="shared" si="667"/>
        <v>394675.27280169033</v>
      </c>
      <c r="K833" s="517">
        <f t="shared" si="667"/>
        <v>419091.25303719391</v>
      </c>
      <c r="L833" s="517">
        <f t="shared" si="667"/>
        <v>393792.24182100763</v>
      </c>
      <c r="M833" s="517">
        <f t="shared" si="667"/>
        <v>260776.57008897158</v>
      </c>
      <c r="N833" s="517">
        <f t="shared" si="667"/>
        <v>380968.25136623549</v>
      </c>
      <c r="O833" s="517">
        <f t="shared" si="667"/>
        <v>383344.67196338478</v>
      </c>
      <c r="P833" s="511">
        <f t="shared" si="644"/>
        <v>5.9314421378076077E-5</v>
      </c>
      <c r="Q833" s="530">
        <v>338046</v>
      </c>
      <c r="R833" s="480"/>
      <c r="U833" s="513"/>
    </row>
    <row r="834" spans="1:21" s="479" customFormat="1" ht="18" x14ac:dyDescent="0.15">
      <c r="A834" s="579"/>
      <c r="B834" s="528" t="s">
        <v>297</v>
      </c>
      <c r="C834" s="517">
        <f>IEPS!I68</f>
        <v>444713.77459138748</v>
      </c>
      <c r="D834" s="517">
        <f t="shared" ref="D834:O834" si="668">$C834*D$21%</f>
        <v>31236.615890624584</v>
      </c>
      <c r="E834" s="517">
        <f t="shared" si="668"/>
        <v>71397.741539729628</v>
      </c>
      <c r="F834" s="517">
        <f t="shared" si="668"/>
        <v>29655.752656801036</v>
      </c>
      <c r="G834" s="517">
        <f t="shared" si="668"/>
        <v>28821.238836346121</v>
      </c>
      <c r="H834" s="517">
        <f t="shared" si="668"/>
        <v>31820.233207455101</v>
      </c>
      <c r="I834" s="517">
        <f t="shared" si="668"/>
        <v>32998.215785904627</v>
      </c>
      <c r="J834" s="517">
        <f t="shared" si="668"/>
        <v>33982.062244283916</v>
      </c>
      <c r="K834" s="517">
        <f t="shared" si="668"/>
        <v>37642.176338571138</v>
      </c>
      <c r="L834" s="517">
        <f t="shared" si="668"/>
        <v>37721.053816364314</v>
      </c>
      <c r="M834" s="517">
        <f t="shared" si="668"/>
        <v>37301.812452967439</v>
      </c>
      <c r="N834" s="517">
        <f t="shared" si="668"/>
        <v>36095.812196066043</v>
      </c>
      <c r="O834" s="517">
        <f t="shared" si="668"/>
        <v>36041.059625828806</v>
      </c>
      <c r="P834" s="511">
        <f t="shared" si="644"/>
        <v>4.4470652937889099E-7</v>
      </c>
      <c r="Q834" s="530">
        <v>28515</v>
      </c>
      <c r="R834" s="480"/>
      <c r="U834" s="513"/>
    </row>
    <row r="835" spans="1:21" s="479" customFormat="1" x14ac:dyDescent="0.15">
      <c r="A835" s="579"/>
      <c r="B835" s="528" t="s">
        <v>236</v>
      </c>
      <c r="C835" s="517">
        <f>ISR!C59</f>
        <v>1028491.05</v>
      </c>
      <c r="D835" s="517">
        <f>ISR!D59</f>
        <v>88069.001509269074</v>
      </c>
      <c r="E835" s="517">
        <f>ISR!E59</f>
        <v>94184.77871813839</v>
      </c>
      <c r="F835" s="517">
        <f>ISR!F59</f>
        <v>77575.255912446359</v>
      </c>
      <c r="G835" s="517">
        <f>ISR!G59</f>
        <v>105028.85948369552</v>
      </c>
      <c r="H835" s="517">
        <f>ISR!H59</f>
        <v>82015.760433161442</v>
      </c>
      <c r="I835" s="517">
        <f>ISR!I59</f>
        <v>82360.689516672821</v>
      </c>
      <c r="J835" s="517">
        <f>ISR!J59</f>
        <v>83586.298302071111</v>
      </c>
      <c r="K835" s="517">
        <f>ISR!K59</f>
        <v>83620.752099661739</v>
      </c>
      <c r="L835" s="517">
        <f>ISR!L59</f>
        <v>83012.413506221026</v>
      </c>
      <c r="M835" s="517">
        <f>ISR!M59</f>
        <v>83012.413506221026</v>
      </c>
      <c r="N835" s="517">
        <f>ISR!N59</f>
        <v>83012.413506221026</v>
      </c>
      <c r="O835" s="517">
        <f>ISR!O59</f>
        <v>83012.413506221026</v>
      </c>
      <c r="P835" s="511">
        <f t="shared" si="644"/>
        <v>-3.4924596548080444E-10</v>
      </c>
      <c r="Q835" s="530">
        <v>0</v>
      </c>
      <c r="R835" s="480"/>
      <c r="U835" s="513"/>
    </row>
    <row r="836" spans="1:21" s="479" customFormat="1" ht="18" x14ac:dyDescent="0.15">
      <c r="A836" s="579"/>
      <c r="B836" s="528" t="s">
        <v>298</v>
      </c>
      <c r="C836" s="517">
        <f>FOFIR!I68</f>
        <v>860074.25132508366</v>
      </c>
      <c r="D836" s="517">
        <f t="shared" ref="D836:O836" si="669">$C836*D$23%</f>
        <v>117585.4775115268</v>
      </c>
      <c r="E836" s="517">
        <f t="shared" si="669"/>
        <v>29916.192764023504</v>
      </c>
      <c r="F836" s="517">
        <f t="shared" si="669"/>
        <v>29916.192764023504</v>
      </c>
      <c r="G836" s="517">
        <f t="shared" si="669"/>
        <v>168827.08001843884</v>
      </c>
      <c r="H836" s="517">
        <f t="shared" si="669"/>
        <v>29916.192764023504</v>
      </c>
      <c r="I836" s="517">
        <f t="shared" si="669"/>
        <v>29916.192764023504</v>
      </c>
      <c r="J836" s="517">
        <f t="shared" si="669"/>
        <v>209993.68413789928</v>
      </c>
      <c r="K836" s="517">
        <f t="shared" si="669"/>
        <v>29916.192764023504</v>
      </c>
      <c r="L836" s="517">
        <f t="shared" si="669"/>
        <v>29916.192764023504</v>
      </c>
      <c r="M836" s="517">
        <f t="shared" si="669"/>
        <v>124338.46754847102</v>
      </c>
      <c r="N836" s="517">
        <f t="shared" si="669"/>
        <v>29916.192764023504</v>
      </c>
      <c r="O836" s="517">
        <f t="shared" si="669"/>
        <v>29916.192764023504</v>
      </c>
      <c r="P836" s="511">
        <f t="shared" si="644"/>
        <v>-3.4403710742481053E-6</v>
      </c>
      <c r="Q836" s="530">
        <v>33585</v>
      </c>
      <c r="R836" s="480"/>
      <c r="U836" s="513"/>
    </row>
    <row r="837" spans="1:21" s="479" customFormat="1" ht="27" x14ac:dyDescent="0.15">
      <c r="A837" s="579"/>
      <c r="B837" s="528" t="s">
        <v>407</v>
      </c>
      <c r="C837" s="517">
        <f>FCISAN!I68</f>
        <v>54598.587531487647</v>
      </c>
      <c r="D837" s="517">
        <f t="shared" ref="D837:O837" si="670">$C837*D$24%</f>
        <v>4549.8822942724382</v>
      </c>
      <c r="E837" s="517">
        <f t="shared" si="670"/>
        <v>4549.8822942724382</v>
      </c>
      <c r="F837" s="517">
        <f t="shared" si="670"/>
        <v>4549.8822942724382</v>
      </c>
      <c r="G837" s="517">
        <f t="shared" si="670"/>
        <v>4549.8822942724382</v>
      </c>
      <c r="H837" s="517">
        <f t="shared" si="670"/>
        <v>4549.8822942724382</v>
      </c>
      <c r="I837" s="517">
        <f t="shared" si="670"/>
        <v>4549.8822942724382</v>
      </c>
      <c r="J837" s="517">
        <f t="shared" si="670"/>
        <v>4549.8822942724382</v>
      </c>
      <c r="K837" s="517">
        <f t="shared" si="670"/>
        <v>4549.8822942724382</v>
      </c>
      <c r="L837" s="517">
        <f t="shared" si="670"/>
        <v>4549.8822942724382</v>
      </c>
      <c r="M837" s="517">
        <f t="shared" si="670"/>
        <v>4549.8822942724382</v>
      </c>
      <c r="N837" s="517">
        <f t="shared" si="670"/>
        <v>4549.8822942724382</v>
      </c>
      <c r="O837" s="517">
        <f t="shared" si="670"/>
        <v>4549.8822942724382</v>
      </c>
      <c r="P837" s="511">
        <f t="shared" si="644"/>
        <v>2.184024197049439E-7</v>
      </c>
      <c r="Q837" s="530">
        <v>3995</v>
      </c>
      <c r="R837" s="480"/>
      <c r="U837" s="513"/>
    </row>
    <row r="838" spans="1:21" s="479" customFormat="1" ht="27" x14ac:dyDescent="0.15">
      <c r="A838" s="579"/>
      <c r="B838" s="528" t="s">
        <v>242</v>
      </c>
      <c r="C838" s="517">
        <f>ISAN!I68</f>
        <v>272726.34779310104</v>
      </c>
      <c r="D838" s="517">
        <f t="shared" ref="D838:O838" si="671">$C838*D$25%</f>
        <v>26245.440315247935</v>
      </c>
      <c r="E838" s="517">
        <f t="shared" si="671"/>
        <v>29313.416141947277</v>
      </c>
      <c r="F838" s="517">
        <f t="shared" si="671"/>
        <v>22749.79907540336</v>
      </c>
      <c r="G838" s="517">
        <f t="shared" si="671"/>
        <v>21114.160200205592</v>
      </c>
      <c r="H838" s="517">
        <f t="shared" si="671"/>
        <v>22575.705328376753</v>
      </c>
      <c r="I838" s="517">
        <f t="shared" si="671"/>
        <v>19607.687001859689</v>
      </c>
      <c r="J838" s="517">
        <f t="shared" si="671"/>
        <v>21241.922542089502</v>
      </c>
      <c r="K838" s="517">
        <f t="shared" si="671"/>
        <v>21906.005822711213</v>
      </c>
      <c r="L838" s="517">
        <f t="shared" si="671"/>
        <v>21525.526620900557</v>
      </c>
      <c r="M838" s="517">
        <f t="shared" si="671"/>
        <v>22053.424087024214</v>
      </c>
      <c r="N838" s="517">
        <f t="shared" si="671"/>
        <v>21352.836785930856</v>
      </c>
      <c r="O838" s="517">
        <f t="shared" si="671"/>
        <v>23040.42386813138</v>
      </c>
      <c r="P838" s="511">
        <f t="shared" si="644"/>
        <v>3.2727184589020908E-6</v>
      </c>
      <c r="Q838" s="530">
        <v>17162</v>
      </c>
      <c r="R838" s="480"/>
      <c r="U838" s="513"/>
    </row>
    <row r="839" spans="1:21" s="479" customFormat="1" ht="18" x14ac:dyDescent="0.15">
      <c r="A839" s="579"/>
      <c r="B839" s="528" t="s">
        <v>403</v>
      </c>
      <c r="C839" s="517">
        <f>LOT!I68</f>
        <v>13201.862960254555</v>
      </c>
      <c r="D839" s="517">
        <f t="shared" ref="D839:O839" si="672">$C839*D$26%</f>
        <v>998.19799319703225</v>
      </c>
      <c r="E839" s="517">
        <f t="shared" si="672"/>
        <v>984.04920103074312</v>
      </c>
      <c r="F839" s="517">
        <f t="shared" si="672"/>
        <v>967.19957523853861</v>
      </c>
      <c r="G839" s="517">
        <f t="shared" si="672"/>
        <v>1064.1355053495865</v>
      </c>
      <c r="H839" s="517">
        <f t="shared" si="672"/>
        <v>870.6565364241319</v>
      </c>
      <c r="I839" s="517">
        <f t="shared" si="672"/>
        <v>1181.5253095959097</v>
      </c>
      <c r="J839" s="517">
        <f t="shared" si="672"/>
        <v>2711.5993151217963</v>
      </c>
      <c r="K839" s="517">
        <f t="shared" si="672"/>
        <v>987.11939953380556</v>
      </c>
      <c r="L839" s="517">
        <f t="shared" si="672"/>
        <v>1197.7467798305245</v>
      </c>
      <c r="M839" s="517">
        <f t="shared" si="672"/>
        <v>741.56939352214954</v>
      </c>
      <c r="N839" s="517">
        <f t="shared" si="672"/>
        <v>749.03197562595767</v>
      </c>
      <c r="O839" s="517">
        <f t="shared" si="672"/>
        <v>749.03197562595767</v>
      </c>
      <c r="P839" s="511">
        <f t="shared" si="644"/>
        <v>1.5842169887037016E-7</v>
      </c>
      <c r="Q839" s="530">
        <v>838</v>
      </c>
      <c r="R839" s="480"/>
      <c r="U839" s="513"/>
    </row>
    <row r="840" spans="1:21" s="479" customFormat="1" ht="45" x14ac:dyDescent="0.15">
      <c r="A840" s="579"/>
      <c r="B840" s="518" t="s">
        <v>301</v>
      </c>
      <c r="C840" s="517">
        <f>'ENAJENAC DE INMUE'!I68</f>
        <v>51911.292207052349</v>
      </c>
      <c r="D840" s="517">
        <f t="shared" ref="D840:O840" si="673">$C840*D$27%</f>
        <v>2241.826407944674</v>
      </c>
      <c r="E840" s="517">
        <f t="shared" si="673"/>
        <v>2274.8462648390068</v>
      </c>
      <c r="F840" s="517">
        <f t="shared" si="673"/>
        <v>2244.1782948238747</v>
      </c>
      <c r="G840" s="517">
        <f t="shared" si="673"/>
        <v>2231.0325234799016</v>
      </c>
      <c r="H840" s="517">
        <f t="shared" si="673"/>
        <v>3094.8681833169294</v>
      </c>
      <c r="I840" s="517">
        <f t="shared" si="673"/>
        <v>2227.6167604526777</v>
      </c>
      <c r="J840" s="517">
        <f t="shared" si="673"/>
        <v>2560.1531697024666</v>
      </c>
      <c r="K840" s="517">
        <f t="shared" si="673"/>
        <v>2557.517908215495</v>
      </c>
      <c r="L840" s="517">
        <f t="shared" si="673"/>
        <v>2554.2780328454223</v>
      </c>
      <c r="M840" s="517">
        <f t="shared" si="673"/>
        <v>2230.667312277305</v>
      </c>
      <c r="N840" s="517">
        <f t="shared" si="673"/>
        <v>9274.2943565821151</v>
      </c>
      <c r="O840" s="517">
        <f t="shared" si="673"/>
        <v>18420.012992468655</v>
      </c>
      <c r="P840" s="511">
        <f t="shared" si="644"/>
        <v>1.038206391967833E-7</v>
      </c>
      <c r="Q840" s="530">
        <v>12235</v>
      </c>
      <c r="R840" s="480"/>
      <c r="U840" s="513"/>
    </row>
    <row r="841" spans="1:21" s="479" customFormat="1" ht="27" x14ac:dyDescent="0.15">
      <c r="A841" s="579"/>
      <c r="B841" s="518" t="s">
        <v>248</v>
      </c>
      <c r="C841" s="517">
        <f>'IMP BEBIDAS AL'!I68</f>
        <v>20289.676217913133</v>
      </c>
      <c r="D841" s="517">
        <f t="shared" ref="D841:O841" si="674">$C841*D$28%</f>
        <v>4613.6815559407469</v>
      </c>
      <c r="E841" s="517">
        <f t="shared" si="674"/>
        <v>1586.9389088673522</v>
      </c>
      <c r="F841" s="517">
        <f t="shared" si="674"/>
        <v>1705.4087684628578</v>
      </c>
      <c r="G841" s="517">
        <f t="shared" si="674"/>
        <v>1693.1662067098678</v>
      </c>
      <c r="H841" s="517">
        <f t="shared" si="674"/>
        <v>1078.2163995644451</v>
      </c>
      <c r="I841" s="517">
        <f t="shared" si="674"/>
        <v>1764.5028723863727</v>
      </c>
      <c r="J841" s="517">
        <f t="shared" si="674"/>
        <v>1754.5707467442271</v>
      </c>
      <c r="K841" s="517">
        <f t="shared" si="674"/>
        <v>1604.6829690213001</v>
      </c>
      <c r="L841" s="517">
        <f t="shared" si="674"/>
        <v>1163.7612440776263</v>
      </c>
      <c r="M841" s="517">
        <f t="shared" si="674"/>
        <v>1081.8191638826736</v>
      </c>
      <c r="N841" s="517">
        <f t="shared" si="674"/>
        <v>1089.4661203254477</v>
      </c>
      <c r="O841" s="517">
        <f t="shared" si="674"/>
        <v>1153.4612619302161</v>
      </c>
      <c r="P841" s="511">
        <f t="shared" si="644"/>
        <v>-2.2737367544323206E-12</v>
      </c>
      <c r="Q841" s="530">
        <v>523</v>
      </c>
      <c r="R841" s="480"/>
      <c r="U841" s="513"/>
    </row>
    <row r="842" spans="1:21" s="479" customFormat="1" ht="18" x14ac:dyDescent="0.15">
      <c r="A842" s="579"/>
      <c r="B842" s="518" t="s">
        <v>253</v>
      </c>
      <c r="C842" s="517">
        <f>'FOND GASO Y D'!Q69</f>
        <v>0</v>
      </c>
      <c r="D842" s="517">
        <f t="shared" ref="D842:O842" si="675">$C842*D$29%</f>
        <v>0</v>
      </c>
      <c r="E842" s="517">
        <f t="shared" si="675"/>
        <v>0</v>
      </c>
      <c r="F842" s="517">
        <f t="shared" si="675"/>
        <v>0</v>
      </c>
      <c r="G842" s="517">
        <f t="shared" si="675"/>
        <v>0</v>
      </c>
      <c r="H842" s="517">
        <f t="shared" si="675"/>
        <v>0</v>
      </c>
      <c r="I842" s="517">
        <f t="shared" si="675"/>
        <v>0</v>
      </c>
      <c r="J842" s="517">
        <f t="shared" si="675"/>
        <v>0</v>
      </c>
      <c r="K842" s="517">
        <f t="shared" si="675"/>
        <v>0</v>
      </c>
      <c r="L842" s="517">
        <f t="shared" si="675"/>
        <v>0</v>
      </c>
      <c r="M842" s="517">
        <f t="shared" si="675"/>
        <v>0</v>
      </c>
      <c r="N842" s="517">
        <f t="shared" si="675"/>
        <v>0</v>
      </c>
      <c r="O842" s="517">
        <f t="shared" si="675"/>
        <v>0</v>
      </c>
      <c r="P842" s="511">
        <f t="shared" si="644"/>
        <v>0</v>
      </c>
      <c r="Q842" s="530">
        <v>26446</v>
      </c>
      <c r="R842" s="480"/>
      <c r="U842" s="513"/>
    </row>
    <row r="843" spans="1:21" s="479" customFormat="1" ht="18" x14ac:dyDescent="0.15">
      <c r="A843" s="579"/>
      <c r="B843" s="528" t="s">
        <v>408</v>
      </c>
      <c r="C843" s="519">
        <f>'FOND GASO Y D'!H69</f>
        <v>856557.99691003794</v>
      </c>
      <c r="D843" s="517">
        <f t="shared" ref="D843:O843" si="676">$C843*D$30%</f>
        <v>66632.334070211335</v>
      </c>
      <c r="E843" s="517">
        <f t="shared" si="676"/>
        <v>73260.734827635955</v>
      </c>
      <c r="F843" s="517">
        <f t="shared" si="676"/>
        <v>71326.884261151819</v>
      </c>
      <c r="G843" s="517">
        <f t="shared" si="676"/>
        <v>66461.795896446391</v>
      </c>
      <c r="H843" s="517">
        <f t="shared" si="676"/>
        <v>73231.399368542159</v>
      </c>
      <c r="I843" s="517">
        <f t="shared" si="676"/>
        <v>70677.002027158203</v>
      </c>
      <c r="J843" s="517">
        <f t="shared" si="676"/>
        <v>72150.519377326884</v>
      </c>
      <c r="K843" s="517">
        <f t="shared" si="676"/>
        <v>72107.64535868571</v>
      </c>
      <c r="L843" s="517">
        <f t="shared" si="676"/>
        <v>75036.627114196497</v>
      </c>
      <c r="M843" s="517">
        <f t="shared" si="676"/>
        <v>74377.719174409023</v>
      </c>
      <c r="N843" s="517">
        <f t="shared" si="676"/>
        <v>69512.630809703609</v>
      </c>
      <c r="O843" s="517">
        <f t="shared" si="676"/>
        <v>71782.704625426893</v>
      </c>
      <c r="P843" s="511">
        <f t="shared" si="644"/>
        <v>-8.5642386693507433E-7</v>
      </c>
      <c r="Q843" s="530">
        <v>52348</v>
      </c>
      <c r="R843" s="480"/>
      <c r="U843" s="513"/>
    </row>
    <row r="844" spans="1:21" s="479" customFormat="1" x14ac:dyDescent="0.15">
      <c r="A844" s="579"/>
      <c r="B844" s="534"/>
      <c r="C844" s="521"/>
      <c r="D844" s="522"/>
      <c r="E844" s="522"/>
      <c r="F844" s="522"/>
      <c r="G844" s="522"/>
      <c r="H844" s="522"/>
      <c r="I844" s="522"/>
      <c r="J844" s="522"/>
      <c r="K844" s="522"/>
      <c r="L844" s="522"/>
      <c r="M844" s="522"/>
      <c r="N844" s="522"/>
      <c r="O844" s="522"/>
      <c r="P844" s="511">
        <f t="shared" si="644"/>
        <v>0</v>
      </c>
      <c r="Q844" s="530">
        <v>0</v>
      </c>
      <c r="R844" s="480"/>
      <c r="U844" s="513"/>
    </row>
    <row r="845" spans="1:21" s="479" customFormat="1" x14ac:dyDescent="0.15">
      <c r="A845" s="591"/>
      <c r="B845" s="532"/>
      <c r="C845" s="521"/>
      <c r="D845" s="522"/>
      <c r="E845" s="522"/>
      <c r="F845" s="522"/>
      <c r="G845" s="522"/>
      <c r="H845" s="522"/>
      <c r="I845" s="522"/>
      <c r="J845" s="522"/>
      <c r="K845" s="522"/>
      <c r="L845" s="522"/>
      <c r="M845" s="522"/>
      <c r="N845" s="522"/>
      <c r="O845" s="522"/>
      <c r="P845" s="511">
        <f t="shared" si="644"/>
        <v>0</v>
      </c>
      <c r="Q845" s="530">
        <v>0</v>
      </c>
      <c r="R845" s="480"/>
      <c r="U845" s="513"/>
    </row>
    <row r="846" spans="1:21" s="479" customFormat="1" x14ac:dyDescent="0.15">
      <c r="A846" s="576">
        <v>55</v>
      </c>
      <c r="B846" s="533" t="s">
        <v>131</v>
      </c>
      <c r="C846" s="524">
        <f t="shared" ref="C846:O846" si="677">SUM(C847:C858)</f>
        <v>81182841.689841896</v>
      </c>
      <c r="D846" s="524">
        <f t="shared" si="677"/>
        <v>6327118.1693682466</v>
      </c>
      <c r="E846" s="524">
        <f t="shared" si="677"/>
        <v>8601378.1801087521</v>
      </c>
      <c r="F846" s="524">
        <f t="shared" si="677"/>
        <v>5626105.4474027716</v>
      </c>
      <c r="G846" s="524">
        <f t="shared" si="677"/>
        <v>7221150.8825475201</v>
      </c>
      <c r="H846" s="524">
        <f t="shared" si="677"/>
        <v>8214349.8893276509</v>
      </c>
      <c r="I846" s="524">
        <f t="shared" si="677"/>
        <v>8050997.6682640603</v>
      </c>
      <c r="J846" s="524">
        <f t="shared" si="677"/>
        <v>6932702.313499175</v>
      </c>
      <c r="K846" s="524">
        <f t="shared" si="677"/>
        <v>6735461.4218810014</v>
      </c>
      <c r="L846" s="524">
        <f t="shared" si="677"/>
        <v>6365212.4720736826</v>
      </c>
      <c r="M846" s="524">
        <f t="shared" si="677"/>
        <v>4683205.2391490145</v>
      </c>
      <c r="N846" s="524">
        <f t="shared" si="677"/>
        <v>6175065.087396007</v>
      </c>
      <c r="O846" s="524">
        <f t="shared" si="677"/>
        <v>6250094.9185788659</v>
      </c>
      <c r="P846" s="511">
        <f t="shared" si="644"/>
        <v>2.4513248354196548E-4</v>
      </c>
      <c r="Q846" s="530">
        <v>5089935</v>
      </c>
      <c r="R846" s="480"/>
      <c r="T846" s="512"/>
      <c r="U846" s="513"/>
    </row>
    <row r="847" spans="1:21" s="479" customFormat="1" x14ac:dyDescent="0.15">
      <c r="A847" s="579"/>
      <c r="B847" s="528" t="s">
        <v>294</v>
      </c>
      <c r="C847" s="517">
        <f>'FG1'!I70</f>
        <v>57948458.774762012</v>
      </c>
      <c r="D847" s="517">
        <f t="shared" ref="D847:O847" si="678">$C847*D$19%</f>
        <v>4382914.2130103204</v>
      </c>
      <c r="E847" s="517">
        <f t="shared" si="678"/>
        <v>6279619.0589263942</v>
      </c>
      <c r="F847" s="517">
        <f t="shared" si="678"/>
        <v>4059119.1178245344</v>
      </c>
      <c r="G847" s="517">
        <f t="shared" si="678"/>
        <v>4986216.566568071</v>
      </c>
      <c r="H847" s="517">
        <f t="shared" si="678"/>
        <v>6089259.9301433051</v>
      </c>
      <c r="I847" s="517">
        <f t="shared" si="678"/>
        <v>5969623.8482489539</v>
      </c>
      <c r="J847" s="517">
        <f t="shared" si="678"/>
        <v>4627673.8635296198</v>
      </c>
      <c r="K847" s="517">
        <f t="shared" si="678"/>
        <v>4913362.0560497204</v>
      </c>
      <c r="L847" s="517">
        <f t="shared" si="678"/>
        <v>4617341.6580818538</v>
      </c>
      <c r="M847" s="517">
        <f t="shared" si="678"/>
        <v>3060942.6694381018</v>
      </c>
      <c r="N847" s="517">
        <f t="shared" si="678"/>
        <v>4467289.8079591859</v>
      </c>
      <c r="O847" s="517">
        <f t="shared" si="678"/>
        <v>4495095.9849240044</v>
      </c>
      <c r="P847" s="511">
        <f t="shared" si="644"/>
        <v>5.7953409850597382E-5</v>
      </c>
      <c r="Q847" s="530">
        <v>3512986</v>
      </c>
      <c r="R847" s="480"/>
      <c r="U847" s="513"/>
    </row>
    <row r="848" spans="1:21" s="479" customFormat="1" x14ac:dyDescent="0.15">
      <c r="A848" s="579"/>
      <c r="B848" s="528" t="s">
        <v>296</v>
      </c>
      <c r="C848" s="517">
        <f>FFM!J70</f>
        <v>15576307.875170778</v>
      </c>
      <c r="D848" s="517">
        <f t="shared" ref="D848:O848" si="679">$C848*D$20%</f>
        <v>1177929.3101925638</v>
      </c>
      <c r="E848" s="517">
        <f t="shared" si="679"/>
        <v>1688753.0568354926</v>
      </c>
      <c r="F848" s="517">
        <f t="shared" si="679"/>
        <v>1090724.2745732248</v>
      </c>
      <c r="G848" s="517">
        <f t="shared" si="679"/>
        <v>1340411.7212304529</v>
      </c>
      <c r="H848" s="517">
        <f t="shared" si="679"/>
        <v>1637485.2196652256</v>
      </c>
      <c r="I848" s="517">
        <f t="shared" si="679"/>
        <v>1605264.623664479</v>
      </c>
      <c r="J848" s="517">
        <f t="shared" si="679"/>
        <v>1243739.3393139374</v>
      </c>
      <c r="K848" s="517">
        <f t="shared" si="679"/>
        <v>1320681.3653781489</v>
      </c>
      <c r="L848" s="517">
        <f t="shared" si="679"/>
        <v>1240956.6456814941</v>
      </c>
      <c r="M848" s="517">
        <f t="shared" si="679"/>
        <v>821784.64510488871</v>
      </c>
      <c r="N848" s="517">
        <f t="shared" si="679"/>
        <v>1200544.4321106665</v>
      </c>
      <c r="O848" s="517">
        <f t="shared" si="679"/>
        <v>1208033.2412332883</v>
      </c>
      <c r="P848" s="511">
        <f t="shared" si="644"/>
        <v>1.8691434524953365E-4</v>
      </c>
      <c r="Q848" s="530">
        <v>1075562</v>
      </c>
      <c r="R848" s="480"/>
      <c r="U848" s="513"/>
    </row>
    <row r="849" spans="1:21" s="479" customFormat="1" ht="18" x14ac:dyDescent="0.15">
      <c r="A849" s="579"/>
      <c r="B849" s="528" t="s">
        <v>297</v>
      </c>
      <c r="C849" s="517">
        <f>IEPS!I69</f>
        <v>1401425.5625079807</v>
      </c>
      <c r="D849" s="517">
        <f t="shared" ref="D849:O849" si="680">$C849*D$21%</f>
        <v>98435.88055167938</v>
      </c>
      <c r="E849" s="517">
        <f t="shared" si="680"/>
        <v>224995.54953306992</v>
      </c>
      <c r="F849" s="517">
        <f t="shared" si="680"/>
        <v>93454.109639040209</v>
      </c>
      <c r="G849" s="517">
        <f t="shared" si="680"/>
        <v>90824.308029395252</v>
      </c>
      <c r="H849" s="517">
        <f t="shared" si="680"/>
        <v>100275.03254844429</v>
      </c>
      <c r="I849" s="517">
        <f t="shared" si="680"/>
        <v>103987.20651729665</v>
      </c>
      <c r="J849" s="517">
        <f t="shared" si="680"/>
        <v>107087.59974802699</v>
      </c>
      <c r="K849" s="517">
        <f t="shared" si="680"/>
        <v>118621.70943046903</v>
      </c>
      <c r="L849" s="517">
        <f t="shared" si="680"/>
        <v>118870.27585678913</v>
      </c>
      <c r="M849" s="517">
        <f t="shared" si="680"/>
        <v>117549.121448957</v>
      </c>
      <c r="N849" s="517">
        <f t="shared" si="680"/>
        <v>113748.65543018858</v>
      </c>
      <c r="O849" s="517">
        <f t="shared" si="680"/>
        <v>113576.11377322287</v>
      </c>
      <c r="P849" s="511">
        <f t="shared" si="644"/>
        <v>1.4014949556440115E-6</v>
      </c>
      <c r="Q849" s="530">
        <v>90726</v>
      </c>
      <c r="R849" s="480"/>
      <c r="U849" s="513"/>
    </row>
    <row r="850" spans="1:21" s="479" customFormat="1" x14ac:dyDescent="0.15">
      <c r="A850" s="579"/>
      <c r="B850" s="528" t="s">
        <v>236</v>
      </c>
      <c r="C850" s="517">
        <f>ISR!C60</f>
        <v>145192.92000000001</v>
      </c>
      <c r="D850" s="517">
        <f>ISR!D60</f>
        <v>12099.409999999996</v>
      </c>
      <c r="E850" s="517">
        <f>ISR!E60</f>
        <v>12099.409999999996</v>
      </c>
      <c r="F850" s="517">
        <f>ISR!F60</f>
        <v>12099.409999999996</v>
      </c>
      <c r="G850" s="517">
        <f>ISR!G60</f>
        <v>12099.409999999996</v>
      </c>
      <c r="H850" s="517">
        <f>ISR!H60</f>
        <v>12099.409999999996</v>
      </c>
      <c r="I850" s="517">
        <f>ISR!I60</f>
        <v>12099.409999999996</v>
      </c>
      <c r="J850" s="517">
        <f>ISR!J60</f>
        <v>12099.409999999996</v>
      </c>
      <c r="K850" s="517">
        <f>ISR!K60</f>
        <v>12099.409999999996</v>
      </c>
      <c r="L850" s="517">
        <f>ISR!L60</f>
        <v>12099.409999999996</v>
      </c>
      <c r="M850" s="517">
        <f>ISR!M60</f>
        <v>12099.409999999996</v>
      </c>
      <c r="N850" s="517">
        <f>ISR!N60</f>
        <v>12099.409999999996</v>
      </c>
      <c r="O850" s="517">
        <f>ISR!O60</f>
        <v>12099.409999999996</v>
      </c>
      <c r="P850" s="511">
        <f t="shared" si="644"/>
        <v>1.4551915228366852E-11</v>
      </c>
      <c r="Q850" s="530">
        <v>0</v>
      </c>
      <c r="R850" s="480"/>
      <c r="U850" s="513"/>
    </row>
    <row r="851" spans="1:21" s="479" customFormat="1" ht="18" x14ac:dyDescent="0.15">
      <c r="A851" s="579"/>
      <c r="B851" s="528" t="s">
        <v>298</v>
      </c>
      <c r="C851" s="517">
        <f>FOFIR!I69</f>
        <v>2710350.1405356037</v>
      </c>
      <c r="D851" s="517">
        <f t="shared" ref="D851:O851" si="681">$C851*D$23%</f>
        <v>370546.86267762014</v>
      </c>
      <c r="E851" s="517">
        <f t="shared" si="681"/>
        <v>94274.833989436695</v>
      </c>
      <c r="F851" s="517">
        <f t="shared" si="681"/>
        <v>94274.833989436695</v>
      </c>
      <c r="G851" s="517">
        <f t="shared" si="681"/>
        <v>532024.41457724664</v>
      </c>
      <c r="H851" s="517">
        <f t="shared" si="681"/>
        <v>94274.833989436695</v>
      </c>
      <c r="I851" s="517">
        <f t="shared" si="681"/>
        <v>94274.833989436695</v>
      </c>
      <c r="J851" s="517">
        <f t="shared" si="681"/>
        <v>661752.64570223656</v>
      </c>
      <c r="K851" s="517">
        <f t="shared" si="681"/>
        <v>94274.833989436695</v>
      </c>
      <c r="L851" s="517">
        <f t="shared" si="681"/>
        <v>94274.833989436695</v>
      </c>
      <c r="M851" s="517">
        <f t="shared" si="681"/>
        <v>391827.54567384819</v>
      </c>
      <c r="N851" s="517">
        <f t="shared" si="681"/>
        <v>94274.833989436695</v>
      </c>
      <c r="O851" s="517">
        <f t="shared" si="681"/>
        <v>94274.833989436695</v>
      </c>
      <c r="P851" s="511">
        <f t="shared" si="644"/>
        <v>-1.0841729817911983E-5</v>
      </c>
      <c r="Q851" s="530">
        <v>106866</v>
      </c>
      <c r="R851" s="480"/>
      <c r="U851" s="513"/>
    </row>
    <row r="852" spans="1:21" s="479" customFormat="1" ht="27" x14ac:dyDescent="0.15">
      <c r="A852" s="579"/>
      <c r="B852" s="528" t="s">
        <v>407</v>
      </c>
      <c r="C852" s="517">
        <f>FCISAN!I69</f>
        <v>172056.41159588704</v>
      </c>
      <c r="D852" s="517">
        <f t="shared" ref="D852:O852" si="682">$C852*D$24%</f>
        <v>14338.034299599904</v>
      </c>
      <c r="E852" s="517">
        <f t="shared" si="682"/>
        <v>14338.034299599904</v>
      </c>
      <c r="F852" s="517">
        <f t="shared" si="682"/>
        <v>14338.034299599904</v>
      </c>
      <c r="G852" s="517">
        <f t="shared" si="682"/>
        <v>14338.034299599904</v>
      </c>
      <c r="H852" s="517">
        <f t="shared" si="682"/>
        <v>14338.034299599904</v>
      </c>
      <c r="I852" s="517">
        <f t="shared" si="682"/>
        <v>14338.034299599904</v>
      </c>
      <c r="J852" s="517">
        <f t="shared" si="682"/>
        <v>14338.034299599904</v>
      </c>
      <c r="K852" s="517">
        <f t="shared" si="682"/>
        <v>14338.034299599904</v>
      </c>
      <c r="L852" s="517">
        <f t="shared" si="682"/>
        <v>14338.034299599904</v>
      </c>
      <c r="M852" s="517">
        <f t="shared" si="682"/>
        <v>14338.034299599904</v>
      </c>
      <c r="N852" s="517">
        <f t="shared" si="682"/>
        <v>14338.034299599904</v>
      </c>
      <c r="O852" s="517">
        <f t="shared" si="682"/>
        <v>14338.034299599904</v>
      </c>
      <c r="P852" s="511">
        <f t="shared" si="644"/>
        <v>6.8816370912827551E-7</v>
      </c>
      <c r="Q852" s="530">
        <v>12710</v>
      </c>
      <c r="R852" s="480"/>
      <c r="U852" s="513"/>
    </row>
    <row r="853" spans="1:21" s="479" customFormat="1" ht="27" x14ac:dyDescent="0.15">
      <c r="A853" s="579"/>
      <c r="B853" s="528" t="s">
        <v>242</v>
      </c>
      <c r="C853" s="517">
        <f>ISAN!I69</f>
        <v>859441.95391265454</v>
      </c>
      <c r="D853" s="517">
        <f t="shared" ref="D853:O853" si="683">$C853*D$25%</f>
        <v>82707.199683349536</v>
      </c>
      <c r="E853" s="517">
        <f t="shared" si="683"/>
        <v>92375.305315210207</v>
      </c>
      <c r="F853" s="517">
        <f t="shared" si="683"/>
        <v>71691.392953781789</v>
      </c>
      <c r="G853" s="517">
        <f t="shared" si="683"/>
        <v>66537.007680152485</v>
      </c>
      <c r="H853" s="517">
        <f t="shared" si="683"/>
        <v>71142.771702775877</v>
      </c>
      <c r="I853" s="517">
        <f t="shared" si="683"/>
        <v>61789.661926504683</v>
      </c>
      <c r="J853" s="517">
        <f t="shared" si="683"/>
        <v>66939.624873664216</v>
      </c>
      <c r="K853" s="517">
        <f t="shared" si="683"/>
        <v>69032.349089262294</v>
      </c>
      <c r="L853" s="517">
        <f t="shared" si="683"/>
        <v>67833.345797965521</v>
      </c>
      <c r="M853" s="517">
        <f t="shared" si="683"/>
        <v>69496.907948898748</v>
      </c>
      <c r="N853" s="517">
        <f t="shared" si="683"/>
        <v>67289.148692008588</v>
      </c>
      <c r="O853" s="517">
        <f t="shared" si="683"/>
        <v>72607.238238767299</v>
      </c>
      <c r="P853" s="511">
        <f t="shared" si="644"/>
        <v>1.0313175152987242E-5</v>
      </c>
      <c r="Q853" s="530">
        <v>54609</v>
      </c>
      <c r="R853" s="480"/>
      <c r="U853" s="513"/>
    </row>
    <row r="854" spans="1:21" s="479" customFormat="1" ht="18" x14ac:dyDescent="0.15">
      <c r="A854" s="579"/>
      <c r="B854" s="528" t="s">
        <v>403</v>
      </c>
      <c r="C854" s="517">
        <f>LOT!I69</f>
        <v>41603.00238558503</v>
      </c>
      <c r="D854" s="517">
        <f t="shared" ref="D854:O854" si="684">$C854*D$26%</f>
        <v>3145.6191915706409</v>
      </c>
      <c r="E854" s="517">
        <f t="shared" si="684"/>
        <v>3101.0321332123317</v>
      </c>
      <c r="F854" s="517">
        <f t="shared" si="684"/>
        <v>3047.9339436507739</v>
      </c>
      <c r="G854" s="517">
        <f t="shared" si="684"/>
        <v>3353.4079319659108</v>
      </c>
      <c r="H854" s="517">
        <f t="shared" si="684"/>
        <v>2743.6980728347094</v>
      </c>
      <c r="I854" s="517">
        <f t="shared" si="684"/>
        <v>3723.3381699032516</v>
      </c>
      <c r="J854" s="517">
        <f t="shared" si="684"/>
        <v>8545.0570965165989</v>
      </c>
      <c r="K854" s="517">
        <f t="shared" si="684"/>
        <v>3110.7072431594402</v>
      </c>
      <c r="L854" s="517">
        <f t="shared" si="684"/>
        <v>3774.4568542056195</v>
      </c>
      <c r="M854" s="517">
        <f t="shared" si="684"/>
        <v>2336.9060367207417</v>
      </c>
      <c r="N854" s="517">
        <f t="shared" si="684"/>
        <v>2360.4228556728881</v>
      </c>
      <c r="O854" s="517">
        <f t="shared" si="684"/>
        <v>2360.4228556728881</v>
      </c>
      <c r="P854" s="511">
        <f t="shared" si="644"/>
        <v>4.9923346523428336E-7</v>
      </c>
      <c r="Q854" s="530">
        <v>2668</v>
      </c>
      <c r="R854" s="480"/>
      <c r="U854" s="513"/>
    </row>
    <row r="855" spans="1:21" s="479" customFormat="1" ht="45" x14ac:dyDescent="0.15">
      <c r="A855" s="579"/>
      <c r="B855" s="518" t="s">
        <v>301</v>
      </c>
      <c r="C855" s="517">
        <f>'ENAJENAC DE INMUE'!I69</f>
        <v>163587.94361300947</v>
      </c>
      <c r="D855" s="517">
        <f t="shared" ref="D855:O855" si="685">$C855*D$27%</f>
        <v>7064.6627433247832</v>
      </c>
      <c r="E855" s="517">
        <f t="shared" si="685"/>
        <v>7168.7181474205781</v>
      </c>
      <c r="F855" s="517">
        <f t="shared" si="685"/>
        <v>7072.0742393947385</v>
      </c>
      <c r="G855" s="517">
        <f t="shared" si="685"/>
        <v>7030.6479983990421</v>
      </c>
      <c r="H855" s="517">
        <f t="shared" si="685"/>
        <v>9752.8514574978435</v>
      </c>
      <c r="I855" s="517">
        <f t="shared" si="685"/>
        <v>7019.8839117093066</v>
      </c>
      <c r="J855" s="517">
        <f t="shared" si="685"/>
        <v>8067.8051838027177</v>
      </c>
      <c r="K855" s="517">
        <f t="shared" si="685"/>
        <v>8059.5006899400569</v>
      </c>
      <c r="L855" s="517">
        <f t="shared" si="685"/>
        <v>8049.2908776464501</v>
      </c>
      <c r="M855" s="517">
        <f t="shared" si="685"/>
        <v>7029.497109120869</v>
      </c>
      <c r="N855" s="517">
        <f t="shared" si="685"/>
        <v>29226.063882279832</v>
      </c>
      <c r="O855" s="517">
        <f t="shared" si="685"/>
        <v>58046.947372146074</v>
      </c>
      <c r="P855" s="511">
        <f t="shared" si="644"/>
        <v>3.2714888220652938E-7</v>
      </c>
      <c r="Q855" s="530">
        <v>38922</v>
      </c>
      <c r="R855" s="480"/>
      <c r="U855" s="513"/>
    </row>
    <row r="856" spans="1:21" s="479" customFormat="1" ht="27" x14ac:dyDescent="0.15">
      <c r="A856" s="579"/>
      <c r="B856" s="518" t="s">
        <v>248</v>
      </c>
      <c r="C856" s="517">
        <f>'IMP BEBIDAS AL'!I69</f>
        <v>63938.813077962142</v>
      </c>
      <c r="D856" s="517">
        <f t="shared" ref="D856:O856" si="686">$C856*D$28%</f>
        <v>14539.084775837695</v>
      </c>
      <c r="E856" s="517">
        <f t="shared" si="686"/>
        <v>5000.9171743525776</v>
      </c>
      <c r="F856" s="517">
        <f t="shared" si="686"/>
        <v>5374.2509883915545</v>
      </c>
      <c r="G856" s="517">
        <f t="shared" si="686"/>
        <v>5335.6710298395919</v>
      </c>
      <c r="H856" s="517">
        <f t="shared" si="686"/>
        <v>3397.7810236557398</v>
      </c>
      <c r="I856" s="517">
        <f t="shared" si="686"/>
        <v>5560.474111136089</v>
      </c>
      <c r="J856" s="517">
        <f t="shared" si="686"/>
        <v>5529.1750249368069</v>
      </c>
      <c r="K856" s="517">
        <f t="shared" si="686"/>
        <v>5056.833992996817</v>
      </c>
      <c r="L856" s="517">
        <f t="shared" si="686"/>
        <v>3667.358308397359</v>
      </c>
      <c r="M856" s="517">
        <f t="shared" si="686"/>
        <v>3409.1344071120898</v>
      </c>
      <c r="N856" s="517">
        <f t="shared" si="686"/>
        <v>3433.2322445225354</v>
      </c>
      <c r="O856" s="517">
        <f t="shared" si="686"/>
        <v>3634.8999967832888</v>
      </c>
      <c r="P856" s="511">
        <f t="shared" si="644"/>
        <v>-5.4569682106375694E-12</v>
      </c>
      <c r="Q856" s="530">
        <v>1663</v>
      </c>
      <c r="R856" s="480"/>
      <c r="U856" s="513"/>
    </row>
    <row r="857" spans="1:21" s="479" customFormat="1" ht="18" x14ac:dyDescent="0.15">
      <c r="A857" s="579"/>
      <c r="B857" s="518" t="s">
        <v>253</v>
      </c>
      <c r="C857" s="517">
        <f>'FOND GASO Y D'!Q70</f>
        <v>0</v>
      </c>
      <c r="D857" s="517">
        <f t="shared" ref="D857:O857" si="687">$C857*D$29%</f>
        <v>0</v>
      </c>
      <c r="E857" s="517">
        <f t="shared" si="687"/>
        <v>0</v>
      </c>
      <c r="F857" s="517">
        <f t="shared" si="687"/>
        <v>0</v>
      </c>
      <c r="G857" s="517">
        <f t="shared" si="687"/>
        <v>0</v>
      </c>
      <c r="H857" s="517">
        <f t="shared" si="687"/>
        <v>0</v>
      </c>
      <c r="I857" s="517">
        <f t="shared" si="687"/>
        <v>0</v>
      </c>
      <c r="J857" s="517">
        <f t="shared" si="687"/>
        <v>0</v>
      </c>
      <c r="K857" s="517">
        <f t="shared" si="687"/>
        <v>0</v>
      </c>
      <c r="L857" s="517">
        <f t="shared" si="687"/>
        <v>0</v>
      </c>
      <c r="M857" s="517">
        <f t="shared" si="687"/>
        <v>0</v>
      </c>
      <c r="N857" s="517">
        <f t="shared" si="687"/>
        <v>0</v>
      </c>
      <c r="O857" s="517">
        <f t="shared" si="687"/>
        <v>0</v>
      </c>
      <c r="P857" s="511">
        <f t="shared" si="644"/>
        <v>0</v>
      </c>
      <c r="Q857" s="530">
        <v>64853</v>
      </c>
      <c r="R857" s="480"/>
      <c r="U857" s="513"/>
    </row>
    <row r="858" spans="1:21" s="479" customFormat="1" ht="18" x14ac:dyDescent="0.15">
      <c r="A858" s="579"/>
      <c r="B858" s="528" t="s">
        <v>408</v>
      </c>
      <c r="C858" s="519">
        <f>'FOND GASO Y D'!H70</f>
        <v>2100478.2922804249</v>
      </c>
      <c r="D858" s="517">
        <f t="shared" ref="D858:O858" si="688">$C858*D$30%</f>
        <v>163397.8922423812</v>
      </c>
      <c r="E858" s="517">
        <f t="shared" si="688"/>
        <v>179652.26375456245</v>
      </c>
      <c r="F858" s="517">
        <f t="shared" si="688"/>
        <v>174910.01495171722</v>
      </c>
      <c r="G858" s="517">
        <f t="shared" si="688"/>
        <v>162979.6932023972</v>
      </c>
      <c r="H858" s="517">
        <f t="shared" si="688"/>
        <v>179580.32642487445</v>
      </c>
      <c r="I858" s="517">
        <f t="shared" si="688"/>
        <v>173316.3534250411</v>
      </c>
      <c r="J858" s="517">
        <f t="shared" si="688"/>
        <v>176929.75872683406</v>
      </c>
      <c r="K858" s="517">
        <f t="shared" si="688"/>
        <v>176824.62171826782</v>
      </c>
      <c r="L858" s="517">
        <f t="shared" si="688"/>
        <v>184007.16232629388</v>
      </c>
      <c r="M858" s="517">
        <f t="shared" si="688"/>
        <v>182391.36768176596</v>
      </c>
      <c r="N858" s="517">
        <f t="shared" si="688"/>
        <v>170461.04593244597</v>
      </c>
      <c r="O858" s="517">
        <f t="shared" si="688"/>
        <v>176027.79189594404</v>
      </c>
      <c r="P858" s="511">
        <f t="shared" si="644"/>
        <v>-2.1005398593842983E-6</v>
      </c>
      <c r="Q858" s="530">
        <v>128370</v>
      </c>
      <c r="R858" s="480"/>
      <c r="U858" s="513"/>
    </row>
    <row r="859" spans="1:21" s="479" customFormat="1" x14ac:dyDescent="0.15">
      <c r="A859" s="579"/>
      <c r="B859" s="534"/>
      <c r="C859" s="521"/>
      <c r="D859" s="522"/>
      <c r="E859" s="522"/>
      <c r="F859" s="522"/>
      <c r="G859" s="522"/>
      <c r="H859" s="522"/>
      <c r="I859" s="522"/>
      <c r="J859" s="522"/>
      <c r="K859" s="522"/>
      <c r="L859" s="522"/>
      <c r="M859" s="522"/>
      <c r="N859" s="522"/>
      <c r="O859" s="522"/>
      <c r="P859" s="511">
        <f t="shared" si="644"/>
        <v>0</v>
      </c>
      <c r="Q859" s="530">
        <v>0</v>
      </c>
      <c r="R859" s="480"/>
      <c r="U859" s="513"/>
    </row>
    <row r="860" spans="1:21" s="479" customFormat="1" x14ac:dyDescent="0.15">
      <c r="A860" s="591"/>
      <c r="B860" s="532"/>
      <c r="C860" s="521"/>
      <c r="D860" s="521"/>
      <c r="E860" s="521"/>
      <c r="F860" s="521"/>
      <c r="G860" s="521"/>
      <c r="H860" s="521"/>
      <c r="I860" s="521"/>
      <c r="J860" s="521"/>
      <c r="K860" s="521"/>
      <c r="L860" s="521"/>
      <c r="M860" s="521"/>
      <c r="N860" s="521"/>
      <c r="O860" s="521"/>
      <c r="P860" s="511">
        <f t="shared" si="644"/>
        <v>0</v>
      </c>
      <c r="Q860" s="530">
        <v>0</v>
      </c>
      <c r="R860" s="480"/>
      <c r="U860" s="513"/>
    </row>
    <row r="861" spans="1:21" s="479" customFormat="1" x14ac:dyDescent="0.15">
      <c r="A861" s="576">
        <v>56</v>
      </c>
      <c r="B861" s="533" t="s">
        <v>80</v>
      </c>
      <c r="C861" s="524">
        <f t="shared" ref="C861:O861" si="689">SUM(C862:C873)</f>
        <v>61686048.083816811</v>
      </c>
      <c r="D861" s="524">
        <f t="shared" si="689"/>
        <v>4798076.1753182728</v>
      </c>
      <c r="E861" s="524">
        <f t="shared" si="689"/>
        <v>6542262.9750578357</v>
      </c>
      <c r="F861" s="524">
        <f t="shared" si="689"/>
        <v>4280301.5904665971</v>
      </c>
      <c r="G861" s="524">
        <f t="shared" si="689"/>
        <v>5473093.5691114282</v>
      </c>
      <c r="H861" s="524">
        <f t="shared" si="689"/>
        <v>6255025.3759307433</v>
      </c>
      <c r="I861" s="524">
        <f t="shared" si="689"/>
        <v>6130477.4990381608</v>
      </c>
      <c r="J861" s="524">
        <f t="shared" si="689"/>
        <v>5244900.8404918676</v>
      </c>
      <c r="K861" s="524">
        <f t="shared" si="689"/>
        <v>5125535.3430924984</v>
      </c>
      <c r="L861" s="524">
        <f t="shared" si="689"/>
        <v>4843334.0147648351</v>
      </c>
      <c r="M861" s="524">
        <f t="shared" si="689"/>
        <v>3543412.6282320842</v>
      </c>
      <c r="N861" s="524">
        <f t="shared" si="689"/>
        <v>4697052.8332604235</v>
      </c>
      <c r="O861" s="524">
        <f t="shared" si="689"/>
        <v>4752575.2388298092</v>
      </c>
      <c r="P861" s="511">
        <f t="shared" si="644"/>
        <v>2.2226385772228241E-4</v>
      </c>
      <c r="Q861" s="530">
        <v>3560129</v>
      </c>
      <c r="R861" s="480"/>
      <c r="T861" s="512"/>
      <c r="U861" s="513"/>
    </row>
    <row r="862" spans="1:21" s="479" customFormat="1" x14ac:dyDescent="0.15">
      <c r="A862" s="579"/>
      <c r="B862" s="528" t="s">
        <v>294</v>
      </c>
      <c r="C862" s="517">
        <f>'FG1'!I71</f>
        <v>40993491.652098849</v>
      </c>
      <c r="D862" s="517">
        <f t="shared" ref="D862:O862" si="690">$C862*D$19%</f>
        <v>3100530.3851351975</v>
      </c>
      <c r="E862" s="517">
        <f t="shared" si="690"/>
        <v>4442284.0039806934</v>
      </c>
      <c r="F862" s="517">
        <f t="shared" si="690"/>
        <v>2871473.5333717815</v>
      </c>
      <c r="G862" s="517">
        <f t="shared" si="690"/>
        <v>3527314.2982395855</v>
      </c>
      <c r="H862" s="517">
        <f t="shared" si="690"/>
        <v>4307621.4862595322</v>
      </c>
      <c r="I862" s="517">
        <f t="shared" si="690"/>
        <v>4222989.3695799801</v>
      </c>
      <c r="J862" s="517">
        <f t="shared" si="690"/>
        <v>3273676.5378108472</v>
      </c>
      <c r="K862" s="517">
        <f t="shared" si="690"/>
        <v>3475776.0721694129</v>
      </c>
      <c r="L862" s="517">
        <f t="shared" si="690"/>
        <v>3266367.4016107447</v>
      </c>
      <c r="M862" s="517">
        <f t="shared" si="690"/>
        <v>2165350.5618653847</v>
      </c>
      <c r="N862" s="517">
        <f t="shared" si="690"/>
        <v>3160218.7758242628</v>
      </c>
      <c r="O862" s="517">
        <f t="shared" si="690"/>
        <v>3179889.2262104345</v>
      </c>
      <c r="P862" s="511">
        <f t="shared" si="644"/>
        <v>4.1000079363584518E-5</v>
      </c>
      <c r="Q862" s="530">
        <v>2444038</v>
      </c>
      <c r="R862" s="480"/>
      <c r="U862" s="513"/>
    </row>
    <row r="863" spans="1:21" s="479" customFormat="1" x14ac:dyDescent="0.15">
      <c r="A863" s="579"/>
      <c r="B863" s="528" t="s">
        <v>296</v>
      </c>
      <c r="C863" s="517">
        <f>FFM!J71</f>
        <v>15103024.235710718</v>
      </c>
      <c r="D863" s="517">
        <f t="shared" ref="D863:O863" si="691">$C863*D$20%</f>
        <v>1142138.1152943631</v>
      </c>
      <c r="E863" s="517">
        <f t="shared" si="691"/>
        <v>1637440.5635736939</v>
      </c>
      <c r="F863" s="517">
        <f t="shared" si="691"/>
        <v>1057582.7908240284</v>
      </c>
      <c r="G863" s="517">
        <f t="shared" si="691"/>
        <v>1299683.5240939464</v>
      </c>
      <c r="H863" s="517">
        <f t="shared" si="691"/>
        <v>1587730.4914885578</v>
      </c>
      <c r="I863" s="517">
        <f t="shared" si="691"/>
        <v>1556488.9131769205</v>
      </c>
      <c r="J863" s="517">
        <f t="shared" si="691"/>
        <v>1205948.5171391608</v>
      </c>
      <c r="K863" s="517">
        <f t="shared" si="691"/>
        <v>1280552.6719687423</v>
      </c>
      <c r="L863" s="517">
        <f t="shared" si="691"/>
        <v>1203250.3752105243</v>
      </c>
      <c r="M863" s="517">
        <f t="shared" si="691"/>
        <v>796814.84925823519</v>
      </c>
      <c r="N863" s="517">
        <f t="shared" si="691"/>
        <v>1164066.0803268927</v>
      </c>
      <c r="O863" s="517">
        <f t="shared" si="691"/>
        <v>1171327.3431744163</v>
      </c>
      <c r="P863" s="511">
        <f t="shared" si="644"/>
        <v>1.8123677000403404E-4</v>
      </c>
      <c r="Q863" s="530">
        <v>748283</v>
      </c>
      <c r="R863" s="480"/>
      <c r="U863" s="513"/>
    </row>
    <row r="864" spans="1:21" s="479" customFormat="1" ht="18" x14ac:dyDescent="0.15">
      <c r="A864" s="579"/>
      <c r="B864" s="528" t="s">
        <v>297</v>
      </c>
      <c r="C864" s="517">
        <f>IEPS!I70</f>
        <v>991386.62722690834</v>
      </c>
      <c r="D864" s="517">
        <f t="shared" ref="D864:O864" si="692">$C864*D$21%</f>
        <v>69634.819164849148</v>
      </c>
      <c r="E864" s="517">
        <f t="shared" si="692"/>
        <v>159164.77118732786</v>
      </c>
      <c r="F864" s="517">
        <f t="shared" si="692"/>
        <v>66110.64977988381</v>
      </c>
      <c r="G864" s="517">
        <f t="shared" si="692"/>
        <v>64250.293998021181</v>
      </c>
      <c r="H864" s="517">
        <f t="shared" si="692"/>
        <v>70935.859151423545</v>
      </c>
      <c r="I864" s="517">
        <f t="shared" si="692"/>
        <v>73561.899184598064</v>
      </c>
      <c r="J864" s="517">
        <f t="shared" si="692"/>
        <v>75755.157585415465</v>
      </c>
      <c r="K864" s="517">
        <f t="shared" si="692"/>
        <v>83914.536436531809</v>
      </c>
      <c r="L864" s="517">
        <f t="shared" si="692"/>
        <v>84090.375551804071</v>
      </c>
      <c r="M864" s="517">
        <f t="shared" si="692"/>
        <v>83155.7737809596</v>
      </c>
      <c r="N864" s="517">
        <f t="shared" si="692"/>
        <v>80467.274806033951</v>
      </c>
      <c r="O864" s="517">
        <f t="shared" si="692"/>
        <v>80345.21659906843</v>
      </c>
      <c r="P864" s="511">
        <f t="shared" si="644"/>
        <v>9.9137832876294851E-7</v>
      </c>
      <c r="Q864" s="530">
        <v>63120</v>
      </c>
      <c r="R864" s="480"/>
      <c r="U864" s="513"/>
    </row>
    <row r="865" spans="1:21" s="479" customFormat="1" x14ac:dyDescent="0.15">
      <c r="A865" s="579"/>
      <c r="B865" s="528" t="s">
        <v>236</v>
      </c>
      <c r="C865" s="517">
        <f>ISR!C61</f>
        <v>93046.080000000002</v>
      </c>
      <c r="D865" s="517">
        <f>ISR!D61</f>
        <v>7753.8399999999974</v>
      </c>
      <c r="E865" s="517">
        <f>ISR!E61</f>
        <v>7753.8399999999974</v>
      </c>
      <c r="F865" s="517">
        <f>ISR!F61</f>
        <v>7753.8399999999974</v>
      </c>
      <c r="G865" s="517">
        <f>ISR!G61</f>
        <v>7753.8399999999974</v>
      </c>
      <c r="H865" s="517">
        <f>ISR!H61</f>
        <v>7753.8399999999974</v>
      </c>
      <c r="I865" s="517">
        <f>ISR!I61</f>
        <v>7753.8399999999974</v>
      </c>
      <c r="J865" s="517">
        <f>ISR!J61</f>
        <v>7753.8399999999974</v>
      </c>
      <c r="K865" s="517">
        <f>ISR!K61</f>
        <v>7753.8399999999974</v>
      </c>
      <c r="L865" s="517">
        <f>ISR!L61</f>
        <v>7753.8399999999974</v>
      </c>
      <c r="M865" s="517">
        <f>ISR!M61</f>
        <v>7753.8399999999974</v>
      </c>
      <c r="N865" s="517">
        <f>ISR!N61</f>
        <v>7753.8399999999974</v>
      </c>
      <c r="O865" s="517">
        <f>ISR!O61</f>
        <v>7753.8399999999974</v>
      </c>
      <c r="P865" s="511">
        <f t="shared" si="644"/>
        <v>4.1836756281554699E-11</v>
      </c>
      <c r="Q865" s="530">
        <v>0</v>
      </c>
      <c r="R865" s="480"/>
      <c r="U865" s="513"/>
    </row>
    <row r="866" spans="1:21" s="479" customFormat="1" ht="18" x14ac:dyDescent="0.15">
      <c r="A866" s="579"/>
      <c r="B866" s="528" t="s">
        <v>298</v>
      </c>
      <c r="C866" s="517">
        <f>FOFIR!I70</f>
        <v>1917336.8577785362</v>
      </c>
      <c r="D866" s="517">
        <f t="shared" ref="D866:O866" si="693">$C866*D$23%</f>
        <v>262129.65871841391</v>
      </c>
      <c r="E866" s="517">
        <f t="shared" si="693"/>
        <v>66691.24083472832</v>
      </c>
      <c r="F866" s="517">
        <f t="shared" si="693"/>
        <v>66691.24083472832</v>
      </c>
      <c r="G866" s="517">
        <f t="shared" si="693"/>
        <v>376360.97419701755</v>
      </c>
      <c r="H866" s="517">
        <f t="shared" si="693"/>
        <v>66691.24083472832</v>
      </c>
      <c r="I866" s="517">
        <f t="shared" si="693"/>
        <v>66691.24083472832</v>
      </c>
      <c r="J866" s="517">
        <f t="shared" si="693"/>
        <v>468132.4081938084</v>
      </c>
      <c r="K866" s="517">
        <f t="shared" si="693"/>
        <v>66691.24083472832</v>
      </c>
      <c r="L866" s="517">
        <f t="shared" si="693"/>
        <v>66691.24083472832</v>
      </c>
      <c r="M866" s="517">
        <f t="shared" si="693"/>
        <v>277183.88999913906</v>
      </c>
      <c r="N866" s="517">
        <f t="shared" si="693"/>
        <v>66691.24083472832</v>
      </c>
      <c r="O866" s="517">
        <f t="shared" si="693"/>
        <v>66691.24083472832</v>
      </c>
      <c r="P866" s="511">
        <f t="shared" si="644"/>
        <v>-7.6694414019584656E-6</v>
      </c>
      <c r="Q866" s="530">
        <v>74351</v>
      </c>
      <c r="R866" s="480"/>
      <c r="U866" s="513"/>
    </row>
    <row r="867" spans="1:21" s="479" customFormat="1" ht="27" x14ac:dyDescent="0.15">
      <c r="A867" s="579"/>
      <c r="B867" s="528" t="s">
        <v>407</v>
      </c>
      <c r="C867" s="517">
        <f>FCISAN!I70</f>
        <v>121714.93809457312</v>
      </c>
      <c r="D867" s="517">
        <f t="shared" ref="D867:O867" si="694">$C867*D$24%</f>
        <v>10142.911507840523</v>
      </c>
      <c r="E867" s="517">
        <f t="shared" si="694"/>
        <v>10142.911507840523</v>
      </c>
      <c r="F867" s="517">
        <f t="shared" si="694"/>
        <v>10142.911507840523</v>
      </c>
      <c r="G867" s="517">
        <f t="shared" si="694"/>
        <v>10142.911507840523</v>
      </c>
      <c r="H867" s="517">
        <f t="shared" si="694"/>
        <v>10142.911507840523</v>
      </c>
      <c r="I867" s="517">
        <f t="shared" si="694"/>
        <v>10142.911507840523</v>
      </c>
      <c r="J867" s="517">
        <f t="shared" si="694"/>
        <v>10142.911507840523</v>
      </c>
      <c r="K867" s="517">
        <f t="shared" si="694"/>
        <v>10142.911507840523</v>
      </c>
      <c r="L867" s="517">
        <f t="shared" si="694"/>
        <v>10142.911507840523</v>
      </c>
      <c r="M867" s="517">
        <f t="shared" si="694"/>
        <v>10142.911507840523</v>
      </c>
      <c r="N867" s="517">
        <f t="shared" si="694"/>
        <v>10142.911507840523</v>
      </c>
      <c r="O867" s="517">
        <f t="shared" si="694"/>
        <v>10142.911507840523</v>
      </c>
      <c r="P867" s="511">
        <f t="shared" si="644"/>
        <v>4.8681249609217048E-7</v>
      </c>
      <c r="Q867" s="530">
        <v>8845</v>
      </c>
      <c r="R867" s="480"/>
      <c r="U867" s="513"/>
    </row>
    <row r="868" spans="1:21" s="479" customFormat="1" ht="27" x14ac:dyDescent="0.15">
      <c r="A868" s="579"/>
      <c r="B868" s="528" t="s">
        <v>242</v>
      </c>
      <c r="C868" s="517">
        <f>ISAN!I70</f>
        <v>607980.38995518768</v>
      </c>
      <c r="D868" s="517">
        <f t="shared" ref="D868:O868" si="695">$C868*D$25%</f>
        <v>58508.146229843987</v>
      </c>
      <c r="E868" s="517">
        <f t="shared" si="695"/>
        <v>65347.489603095208</v>
      </c>
      <c r="F868" s="517">
        <f t="shared" si="695"/>
        <v>50715.42161287208</v>
      </c>
      <c r="G868" s="517">
        <f t="shared" si="695"/>
        <v>47069.142589170944</v>
      </c>
      <c r="H868" s="517">
        <f t="shared" si="695"/>
        <v>50327.319821231853</v>
      </c>
      <c r="I868" s="517">
        <f t="shared" si="695"/>
        <v>43710.808603478377</v>
      </c>
      <c r="J868" s="517">
        <f t="shared" si="695"/>
        <v>47353.959216052543</v>
      </c>
      <c r="K868" s="517">
        <f t="shared" si="695"/>
        <v>48834.379480476004</v>
      </c>
      <c r="L868" s="517">
        <f t="shared" si="695"/>
        <v>47986.188994450167</v>
      </c>
      <c r="M868" s="517">
        <f t="shared" si="695"/>
        <v>49163.014445703229</v>
      </c>
      <c r="N868" s="517">
        <f t="shared" si="695"/>
        <v>47601.216900423431</v>
      </c>
      <c r="O868" s="517">
        <f t="shared" si="695"/>
        <v>51363.302451094103</v>
      </c>
      <c r="P868" s="511">
        <f t="shared" ref="P868:P931" si="696">C868-D868-E868-F868-G868-H868-I868-J868-K868-L868-M868-N868-O868</f>
        <v>7.2957773227244616E-6</v>
      </c>
      <c r="Q868" s="530">
        <v>37993</v>
      </c>
      <c r="R868" s="480"/>
      <c r="U868" s="513"/>
    </row>
    <row r="869" spans="1:21" s="479" customFormat="1" ht="18" x14ac:dyDescent="0.15">
      <c r="A869" s="579"/>
      <c r="B869" s="528" t="s">
        <v>403</v>
      </c>
      <c r="C869" s="517">
        <f>LOT!I70</f>
        <v>29430.50371062665</v>
      </c>
      <c r="D869" s="517">
        <f t="shared" ref="D869:O869" si="697">$C869*D$26%</f>
        <v>2225.2518323488857</v>
      </c>
      <c r="E869" s="517">
        <f t="shared" si="697"/>
        <v>2193.7103687232984</v>
      </c>
      <c r="F869" s="517">
        <f t="shared" si="697"/>
        <v>2156.1480204476743</v>
      </c>
      <c r="G869" s="517">
        <f t="shared" si="697"/>
        <v>2372.2442834838143</v>
      </c>
      <c r="H869" s="517">
        <f t="shared" si="697"/>
        <v>1940.9276177956694</v>
      </c>
      <c r="I869" s="517">
        <f t="shared" si="697"/>
        <v>2633.9377338598915</v>
      </c>
      <c r="J869" s="517">
        <f t="shared" si="697"/>
        <v>6044.8842671433049</v>
      </c>
      <c r="K869" s="517">
        <f t="shared" si="697"/>
        <v>2200.5546670400413</v>
      </c>
      <c r="L869" s="517">
        <f t="shared" si="697"/>
        <v>2670.0997544299371</v>
      </c>
      <c r="M869" s="517">
        <f t="shared" si="697"/>
        <v>1653.1576530862549</v>
      </c>
      <c r="N869" s="517">
        <f t="shared" si="697"/>
        <v>1669.7937559573566</v>
      </c>
      <c r="O869" s="517">
        <f t="shared" si="697"/>
        <v>1669.7937559573566</v>
      </c>
      <c r="P869" s="511">
        <f t="shared" si="696"/>
        <v>3.5315861168783158E-7</v>
      </c>
      <c r="Q869" s="530">
        <v>1854</v>
      </c>
      <c r="R869" s="480"/>
      <c r="U869" s="513"/>
    </row>
    <row r="870" spans="1:21" s="479" customFormat="1" ht="45" x14ac:dyDescent="0.15">
      <c r="A870" s="579"/>
      <c r="B870" s="518" t="s">
        <v>301</v>
      </c>
      <c r="C870" s="517">
        <f>'ENAJENAC DE INMUE'!I70</f>
        <v>115724.23396020618</v>
      </c>
      <c r="D870" s="517">
        <f t="shared" ref="D870:O870" si="698">$C870*D$27%</f>
        <v>4997.6340927208321</v>
      </c>
      <c r="E870" s="517">
        <f t="shared" si="698"/>
        <v>5071.2442357573636</v>
      </c>
      <c r="F870" s="517">
        <f t="shared" si="698"/>
        <v>5002.8770812091752</v>
      </c>
      <c r="G870" s="517">
        <f t="shared" si="698"/>
        <v>4973.5716207993373</v>
      </c>
      <c r="H870" s="517">
        <f t="shared" si="698"/>
        <v>6899.2936699331558</v>
      </c>
      <c r="I870" s="517">
        <f t="shared" si="698"/>
        <v>4965.9569662047561</v>
      </c>
      <c r="J870" s="517">
        <f t="shared" si="698"/>
        <v>5707.2700714693829</v>
      </c>
      <c r="K870" s="517">
        <f t="shared" si="698"/>
        <v>5701.3953647553171</v>
      </c>
      <c r="L870" s="517">
        <f t="shared" si="698"/>
        <v>5694.1728110605882</v>
      </c>
      <c r="M870" s="517">
        <f t="shared" si="698"/>
        <v>4972.7574667905019</v>
      </c>
      <c r="N870" s="517">
        <f t="shared" si="698"/>
        <v>20674.896815439359</v>
      </c>
      <c r="O870" s="517">
        <f t="shared" si="698"/>
        <v>41063.163763834964</v>
      </c>
      <c r="P870" s="511">
        <f t="shared" si="696"/>
        <v>2.3144093574956059E-7</v>
      </c>
      <c r="Q870" s="530">
        <v>27078</v>
      </c>
      <c r="R870" s="480"/>
      <c r="U870" s="513"/>
    </row>
    <row r="871" spans="1:21" s="479" customFormat="1" ht="27" x14ac:dyDescent="0.15">
      <c r="A871" s="579"/>
      <c r="B871" s="518" t="s">
        <v>248</v>
      </c>
      <c r="C871" s="517">
        <f>'IMP BEBIDAS AL'!I70</f>
        <v>45231.14601450097</v>
      </c>
      <c r="D871" s="517">
        <f t="shared" ref="D871:O871" si="699">$C871*D$28%</f>
        <v>10285.13722347757</v>
      </c>
      <c r="E871" s="517">
        <f t="shared" si="699"/>
        <v>3537.7136989352507</v>
      </c>
      <c r="F871" s="517">
        <f t="shared" si="699"/>
        <v>3801.8148832089978</v>
      </c>
      <c r="G871" s="517">
        <f t="shared" si="699"/>
        <v>3774.5229199320211</v>
      </c>
      <c r="H871" s="517">
        <f t="shared" si="699"/>
        <v>2403.634384311777</v>
      </c>
      <c r="I871" s="517">
        <f t="shared" si="699"/>
        <v>3933.5515365914102</v>
      </c>
      <c r="J871" s="517">
        <f t="shared" si="699"/>
        <v>3911.4101568902574</v>
      </c>
      <c r="K871" s="517">
        <f t="shared" si="699"/>
        <v>3577.26998199731</v>
      </c>
      <c r="L871" s="517">
        <f t="shared" si="699"/>
        <v>2594.3368534594811</v>
      </c>
      <c r="M871" s="517">
        <f t="shared" si="699"/>
        <v>2411.6659150855285</v>
      </c>
      <c r="N871" s="517">
        <f t="shared" si="699"/>
        <v>2428.7130379530822</v>
      </c>
      <c r="O871" s="517">
        <f t="shared" si="699"/>
        <v>2571.375422658286</v>
      </c>
      <c r="P871" s="511">
        <f t="shared" si="696"/>
        <v>0</v>
      </c>
      <c r="Q871" s="530">
        <v>1159</v>
      </c>
      <c r="R871" s="480"/>
      <c r="U871" s="513"/>
    </row>
    <row r="872" spans="1:21" s="479" customFormat="1" ht="18" x14ac:dyDescent="0.15">
      <c r="A872" s="579"/>
      <c r="B872" s="518" t="s">
        <v>253</v>
      </c>
      <c r="C872" s="517">
        <f>'FOND GASO Y D'!Q71</f>
        <v>0</v>
      </c>
      <c r="D872" s="517">
        <f t="shared" ref="D872:O872" si="700">$C872*D$29%</f>
        <v>0</v>
      </c>
      <c r="E872" s="517">
        <f t="shared" si="700"/>
        <v>0</v>
      </c>
      <c r="F872" s="517">
        <f t="shared" si="700"/>
        <v>0</v>
      </c>
      <c r="G872" s="517">
        <f t="shared" si="700"/>
        <v>0</v>
      </c>
      <c r="H872" s="517">
        <f t="shared" si="700"/>
        <v>0</v>
      </c>
      <c r="I872" s="517">
        <f t="shared" si="700"/>
        <v>0</v>
      </c>
      <c r="J872" s="517">
        <f t="shared" si="700"/>
        <v>0</v>
      </c>
      <c r="K872" s="517">
        <f t="shared" si="700"/>
        <v>0</v>
      </c>
      <c r="L872" s="517">
        <f t="shared" si="700"/>
        <v>0</v>
      </c>
      <c r="M872" s="517">
        <f t="shared" si="700"/>
        <v>0</v>
      </c>
      <c r="N872" s="517">
        <f t="shared" si="700"/>
        <v>0</v>
      </c>
      <c r="O872" s="517">
        <f t="shared" si="700"/>
        <v>0</v>
      </c>
      <c r="P872" s="511">
        <f t="shared" si="696"/>
        <v>0</v>
      </c>
      <c r="Q872" s="530">
        <v>51491</v>
      </c>
      <c r="R872" s="480"/>
      <c r="U872" s="513"/>
    </row>
    <row r="873" spans="1:21" s="479" customFormat="1" ht="18" x14ac:dyDescent="0.15">
      <c r="A873" s="579"/>
      <c r="B873" s="528" t="s">
        <v>408</v>
      </c>
      <c r="C873" s="519">
        <f>'FOND GASO Y D'!H71</f>
        <v>1667681.4192667115</v>
      </c>
      <c r="D873" s="517">
        <f t="shared" ref="D873:O873" si="701">$C873*D$30%</f>
        <v>129730.27611921822</v>
      </c>
      <c r="E873" s="517">
        <f t="shared" si="701"/>
        <v>142635.48606704085</v>
      </c>
      <c r="F873" s="517">
        <f t="shared" si="701"/>
        <v>138870.36255059703</v>
      </c>
      <c r="G873" s="517">
        <f t="shared" si="701"/>
        <v>129398.24566163166</v>
      </c>
      <c r="H873" s="517">
        <f t="shared" si="701"/>
        <v>142578.3711953884</v>
      </c>
      <c r="I873" s="517">
        <f t="shared" si="701"/>
        <v>137605.06991396015</v>
      </c>
      <c r="J873" s="517">
        <f t="shared" si="701"/>
        <v>140473.9445432417</v>
      </c>
      <c r="K873" s="517">
        <f t="shared" si="701"/>
        <v>140390.47068097538</v>
      </c>
      <c r="L873" s="517">
        <f t="shared" si="701"/>
        <v>146093.07163579381</v>
      </c>
      <c r="M873" s="517">
        <f t="shared" si="701"/>
        <v>144810.20633985952</v>
      </c>
      <c r="N873" s="517">
        <f t="shared" si="701"/>
        <v>135338.08945089419</v>
      </c>
      <c r="O873" s="517">
        <f t="shared" si="701"/>
        <v>139757.82510977826</v>
      </c>
      <c r="P873" s="511">
        <f t="shared" si="696"/>
        <v>-1.6676203813403845E-6</v>
      </c>
      <c r="Q873" s="530">
        <v>101917</v>
      </c>
      <c r="R873" s="480"/>
      <c r="U873" s="513"/>
    </row>
    <row r="874" spans="1:21" s="479" customFormat="1" x14ac:dyDescent="0.15">
      <c r="A874" s="579"/>
      <c r="B874" s="534"/>
      <c r="C874" s="521"/>
      <c r="D874" s="522"/>
      <c r="E874" s="522"/>
      <c r="F874" s="522"/>
      <c r="G874" s="522"/>
      <c r="H874" s="522"/>
      <c r="I874" s="522"/>
      <c r="J874" s="522"/>
      <c r="K874" s="522"/>
      <c r="L874" s="522"/>
      <c r="M874" s="522"/>
      <c r="N874" s="522"/>
      <c r="O874" s="522"/>
      <c r="P874" s="511">
        <f t="shared" si="696"/>
        <v>0</v>
      </c>
      <c r="Q874" s="530">
        <v>0</v>
      </c>
      <c r="R874" s="480"/>
      <c r="U874" s="513"/>
    </row>
    <row r="875" spans="1:21" s="479" customFormat="1" x14ac:dyDescent="0.15">
      <c r="A875" s="591"/>
      <c r="B875" s="532"/>
      <c r="C875" s="521"/>
      <c r="D875" s="521"/>
      <c r="E875" s="521"/>
      <c r="F875" s="521"/>
      <c r="G875" s="521"/>
      <c r="H875" s="521"/>
      <c r="I875" s="521"/>
      <c r="J875" s="521"/>
      <c r="K875" s="521"/>
      <c r="L875" s="521"/>
      <c r="M875" s="521"/>
      <c r="N875" s="521"/>
      <c r="O875" s="521"/>
      <c r="P875" s="511">
        <f t="shared" si="696"/>
        <v>0</v>
      </c>
      <c r="Q875" s="530">
        <v>0</v>
      </c>
      <c r="R875" s="480"/>
      <c r="U875" s="513"/>
    </row>
    <row r="876" spans="1:21" s="511" customFormat="1" x14ac:dyDescent="0.15">
      <c r="A876" s="576">
        <v>57</v>
      </c>
      <c r="B876" s="533" t="s">
        <v>65</v>
      </c>
      <c r="C876" s="524">
        <f t="shared" ref="C876:O876" si="702">SUM(C877:C888)</f>
        <v>42304377.298792064</v>
      </c>
      <c r="D876" s="524">
        <f t="shared" si="702"/>
        <v>3308373.2401079698</v>
      </c>
      <c r="E876" s="524">
        <f t="shared" si="702"/>
        <v>4438588.4227615008</v>
      </c>
      <c r="F876" s="524">
        <f t="shared" si="702"/>
        <v>2958570.0331497556</v>
      </c>
      <c r="G876" s="524">
        <f t="shared" si="702"/>
        <v>3753259.8210003148</v>
      </c>
      <c r="H876" s="524">
        <f t="shared" si="702"/>
        <v>4246018.1291846447</v>
      </c>
      <c r="I876" s="524">
        <f t="shared" si="702"/>
        <v>4165279.2459177589</v>
      </c>
      <c r="J876" s="524">
        <f t="shared" si="702"/>
        <v>3608528.4475064883</v>
      </c>
      <c r="K876" s="524">
        <f t="shared" si="702"/>
        <v>3510394.9353805631</v>
      </c>
      <c r="L876" s="524">
        <f t="shared" si="702"/>
        <v>3325546.5563782104</v>
      </c>
      <c r="M876" s="524">
        <f t="shared" si="702"/>
        <v>2488757.5267932336</v>
      </c>
      <c r="N876" s="524">
        <f t="shared" si="702"/>
        <v>3232104.5035385499</v>
      </c>
      <c r="O876" s="524">
        <f t="shared" si="702"/>
        <v>3268956.4369509001</v>
      </c>
      <c r="P876" s="511">
        <f t="shared" si="696"/>
        <v>1.2217508628964424E-4</v>
      </c>
      <c r="Q876" s="530">
        <v>2540514</v>
      </c>
      <c r="R876" s="480"/>
      <c r="S876" s="479"/>
      <c r="T876" s="512"/>
      <c r="U876" s="513"/>
    </row>
    <row r="877" spans="1:21" s="511" customFormat="1" x14ac:dyDescent="0.15">
      <c r="A877" s="577"/>
      <c r="B877" s="528" t="s">
        <v>294</v>
      </c>
      <c r="C877" s="517">
        <f>'FG1'!I72</f>
        <v>28833840.676418196</v>
      </c>
      <c r="D877" s="517">
        <f t="shared" ref="D877:O877" si="703">$C877*D$19%</f>
        <v>2180838.8486664705</v>
      </c>
      <c r="E877" s="517">
        <f t="shared" si="703"/>
        <v>3124596.2236452322</v>
      </c>
      <c r="F877" s="517">
        <f t="shared" si="703"/>
        <v>2019725.742575394</v>
      </c>
      <c r="G877" s="517">
        <f t="shared" si="703"/>
        <v>2481028.4362758049</v>
      </c>
      <c r="H877" s="517">
        <f t="shared" si="703"/>
        <v>3029877.8323940076</v>
      </c>
      <c r="I877" s="517">
        <f t="shared" si="703"/>
        <v>2970349.6275473414</v>
      </c>
      <c r="J877" s="517">
        <f t="shared" si="703"/>
        <v>2302625.7074769922</v>
      </c>
      <c r="K877" s="517">
        <f t="shared" si="703"/>
        <v>2444777.6818422899</v>
      </c>
      <c r="L877" s="517">
        <f t="shared" si="703"/>
        <v>2297484.6360487621</v>
      </c>
      <c r="M877" s="517">
        <f t="shared" si="703"/>
        <v>1523055.7484415325</v>
      </c>
      <c r="N877" s="517">
        <f t="shared" si="703"/>
        <v>2222822.2337844395</v>
      </c>
      <c r="O877" s="517">
        <f t="shared" si="703"/>
        <v>2236657.9576910962</v>
      </c>
      <c r="P877" s="511">
        <f t="shared" si="696"/>
        <v>2.8832815587520599E-5</v>
      </c>
      <c r="Q877" s="530">
        <v>1765615</v>
      </c>
      <c r="R877" s="480"/>
      <c r="S877" s="479"/>
      <c r="U877" s="513"/>
    </row>
    <row r="878" spans="1:21" s="511" customFormat="1" x14ac:dyDescent="0.15">
      <c r="A878" s="577"/>
      <c r="B878" s="528" t="s">
        <v>296</v>
      </c>
      <c r="C878" s="517">
        <f>FFM!J72</f>
        <v>7750418.0282896021</v>
      </c>
      <c r="D878" s="517">
        <f t="shared" ref="D878:O878" si="704">$C878*D$20%</f>
        <v>586110.94714684342</v>
      </c>
      <c r="E878" s="517">
        <f t="shared" si="704"/>
        <v>840285.27440001408</v>
      </c>
      <c r="F878" s="517">
        <f t="shared" si="704"/>
        <v>542719.69643208757</v>
      </c>
      <c r="G878" s="517">
        <f t="shared" si="704"/>
        <v>666958.51499669312</v>
      </c>
      <c r="H878" s="517">
        <f t="shared" si="704"/>
        <v>814775.55973205739</v>
      </c>
      <c r="I878" s="517">
        <f t="shared" si="704"/>
        <v>798743.3208903682</v>
      </c>
      <c r="J878" s="517">
        <f t="shared" si="704"/>
        <v>618856.52717981162</v>
      </c>
      <c r="K878" s="517">
        <f t="shared" si="704"/>
        <v>657141.13677537371</v>
      </c>
      <c r="L878" s="517">
        <f t="shared" si="704"/>
        <v>617471.92185042717</v>
      </c>
      <c r="M878" s="517">
        <f t="shared" si="704"/>
        <v>408901.42772185482</v>
      </c>
      <c r="N878" s="517">
        <f t="shared" si="704"/>
        <v>597363.71962866047</v>
      </c>
      <c r="O878" s="517">
        <f t="shared" si="704"/>
        <v>601089.98144240561</v>
      </c>
      <c r="P878" s="511">
        <f t="shared" si="696"/>
        <v>9.3004899099469185E-5</v>
      </c>
      <c r="Q878" s="530">
        <v>540572</v>
      </c>
      <c r="R878" s="480"/>
      <c r="S878" s="479"/>
      <c r="U878" s="513"/>
    </row>
    <row r="879" spans="1:21" s="511" customFormat="1" ht="18" x14ac:dyDescent="0.15">
      <c r="A879" s="577"/>
      <c r="B879" s="528" t="s">
        <v>297</v>
      </c>
      <c r="C879" s="517">
        <f>IEPS!I71</f>
        <v>697317.62058206392</v>
      </c>
      <c r="D879" s="517">
        <f t="shared" ref="D879:O879" si="705">$C879*D$21%</f>
        <v>48979.464798228575</v>
      </c>
      <c r="E879" s="517">
        <f t="shared" si="705"/>
        <v>111952.68977481688</v>
      </c>
      <c r="F879" s="517">
        <f t="shared" si="705"/>
        <v>46500.648418663142</v>
      </c>
      <c r="G879" s="517">
        <f t="shared" si="705"/>
        <v>45192.118697142483</v>
      </c>
      <c r="H879" s="517">
        <f t="shared" si="705"/>
        <v>49894.5851789199</v>
      </c>
      <c r="I879" s="517">
        <f t="shared" si="705"/>
        <v>51741.678872939818</v>
      </c>
      <c r="J879" s="517">
        <f t="shared" si="705"/>
        <v>53284.364327208677</v>
      </c>
      <c r="K879" s="517">
        <f t="shared" si="705"/>
        <v>59023.476082027424</v>
      </c>
      <c r="L879" s="517">
        <f t="shared" si="705"/>
        <v>59147.157106261016</v>
      </c>
      <c r="M879" s="517">
        <f t="shared" si="705"/>
        <v>58489.780594273951</v>
      </c>
      <c r="N879" s="517">
        <f t="shared" si="705"/>
        <v>56598.754775843801</v>
      </c>
      <c r="O879" s="517">
        <f t="shared" si="705"/>
        <v>56512.901955040892</v>
      </c>
      <c r="P879" s="511">
        <f t="shared" si="696"/>
        <v>6.9742236519232392E-7</v>
      </c>
      <c r="Q879" s="530">
        <v>45599</v>
      </c>
      <c r="R879" s="480"/>
      <c r="S879" s="479"/>
      <c r="U879" s="513"/>
    </row>
    <row r="880" spans="1:21" s="511" customFormat="1" x14ac:dyDescent="0.15">
      <c r="A880" s="577"/>
      <c r="B880" s="528" t="s">
        <v>236</v>
      </c>
      <c r="C880" s="517">
        <f>ISR!C62</f>
        <v>2163452.17</v>
      </c>
      <c r="D880" s="517">
        <f>ISR!D62</f>
        <v>180287.68083333326</v>
      </c>
      <c r="E880" s="517">
        <f>ISR!E62</f>
        <v>180287.68083333326</v>
      </c>
      <c r="F880" s="517">
        <f>ISR!F62</f>
        <v>180287.68083333326</v>
      </c>
      <c r="G880" s="517">
        <f>ISR!G62</f>
        <v>180287.68083333326</v>
      </c>
      <c r="H880" s="517">
        <f>ISR!H62</f>
        <v>180287.68083333326</v>
      </c>
      <c r="I880" s="517">
        <f>ISR!I62</f>
        <v>180287.68083333326</v>
      </c>
      <c r="J880" s="517">
        <f>ISR!J62</f>
        <v>180287.68083333326</v>
      </c>
      <c r="K880" s="517">
        <f>ISR!K62</f>
        <v>180287.68083333326</v>
      </c>
      <c r="L880" s="517">
        <f>ISR!L62</f>
        <v>180287.68083333326</v>
      </c>
      <c r="M880" s="517">
        <f>ISR!M62</f>
        <v>180287.68083333326</v>
      </c>
      <c r="N880" s="517">
        <f>ISR!N62</f>
        <v>180287.68083333326</v>
      </c>
      <c r="O880" s="517">
        <f>ISR!O62</f>
        <v>180287.68083333326</v>
      </c>
      <c r="P880" s="511">
        <f t="shared" si="696"/>
        <v>1.2223608791828156E-9</v>
      </c>
      <c r="Q880" s="530">
        <v>0</v>
      </c>
      <c r="R880" s="480"/>
      <c r="S880" s="479"/>
      <c r="U880" s="513"/>
    </row>
    <row r="881" spans="1:21" s="511" customFormat="1" ht="18" x14ac:dyDescent="0.15">
      <c r="A881" s="577"/>
      <c r="B881" s="528" t="s">
        <v>298</v>
      </c>
      <c r="C881" s="517">
        <f>FOFIR!I71</f>
        <v>1348608.8462381582</v>
      </c>
      <c r="D881" s="517">
        <f t="shared" ref="D881:O881" si="706">$C881*D$23%</f>
        <v>184375.72676646206</v>
      </c>
      <c r="E881" s="517">
        <f t="shared" si="706"/>
        <v>46909.022267751527</v>
      </c>
      <c r="F881" s="517">
        <f t="shared" si="706"/>
        <v>46909.022267751527</v>
      </c>
      <c r="G881" s="517">
        <f t="shared" si="706"/>
        <v>264723.29946704424</v>
      </c>
      <c r="H881" s="517">
        <f t="shared" si="706"/>
        <v>46909.022267751527</v>
      </c>
      <c r="I881" s="517">
        <f t="shared" si="706"/>
        <v>46909.022267751527</v>
      </c>
      <c r="J881" s="517">
        <f t="shared" si="706"/>
        <v>329273.12920506351</v>
      </c>
      <c r="K881" s="517">
        <f t="shared" si="706"/>
        <v>46909.022267751527</v>
      </c>
      <c r="L881" s="517">
        <f t="shared" si="706"/>
        <v>46909.022267751527</v>
      </c>
      <c r="M881" s="517">
        <f t="shared" si="706"/>
        <v>194964.51266297052</v>
      </c>
      <c r="N881" s="517">
        <f t="shared" si="706"/>
        <v>46909.022267751527</v>
      </c>
      <c r="O881" s="517">
        <f t="shared" si="706"/>
        <v>46909.022267751527</v>
      </c>
      <c r="P881" s="511">
        <f t="shared" si="696"/>
        <v>-5.3943658713251352E-6</v>
      </c>
      <c r="Q881" s="530">
        <v>53707</v>
      </c>
      <c r="R881" s="480"/>
      <c r="S881" s="479"/>
      <c r="U881" s="513"/>
    </row>
    <row r="882" spans="1:21" s="511" customFormat="1" ht="27" x14ac:dyDescent="0.15">
      <c r="A882" s="577"/>
      <c r="B882" s="528" t="s">
        <v>407</v>
      </c>
      <c r="C882" s="517">
        <f>FCISAN!I71</f>
        <v>85611.373696666764</v>
      </c>
      <c r="D882" s="517">
        <f t="shared" ref="D882:O882" si="707">$C882*D$24%</f>
        <v>7134.2811413603613</v>
      </c>
      <c r="E882" s="517">
        <f t="shared" si="707"/>
        <v>7134.2811413603613</v>
      </c>
      <c r="F882" s="517">
        <f t="shared" si="707"/>
        <v>7134.2811413603613</v>
      </c>
      <c r="G882" s="517">
        <f t="shared" si="707"/>
        <v>7134.2811413603613</v>
      </c>
      <c r="H882" s="517">
        <f t="shared" si="707"/>
        <v>7134.2811413603613</v>
      </c>
      <c r="I882" s="517">
        <f t="shared" si="707"/>
        <v>7134.2811413603613</v>
      </c>
      <c r="J882" s="517">
        <f t="shared" si="707"/>
        <v>7134.2811413603613</v>
      </c>
      <c r="K882" s="517">
        <f t="shared" si="707"/>
        <v>7134.2811413603613</v>
      </c>
      <c r="L882" s="517">
        <f t="shared" si="707"/>
        <v>7134.2811413603613</v>
      </c>
      <c r="M882" s="517">
        <f t="shared" si="707"/>
        <v>7134.2811413603613</v>
      </c>
      <c r="N882" s="517">
        <f t="shared" si="707"/>
        <v>7134.2811413603613</v>
      </c>
      <c r="O882" s="517">
        <f t="shared" si="707"/>
        <v>7134.2811413603613</v>
      </c>
      <c r="P882" s="511">
        <f t="shared" si="696"/>
        <v>3.4241202229168266E-7</v>
      </c>
      <c r="Q882" s="530">
        <v>6394</v>
      </c>
      <c r="R882" s="480"/>
      <c r="S882" s="479"/>
      <c r="U882" s="513"/>
    </row>
    <row r="883" spans="1:21" s="511" customFormat="1" ht="27" x14ac:dyDescent="0.15">
      <c r="A883" s="577"/>
      <c r="B883" s="528" t="s">
        <v>242</v>
      </c>
      <c r="C883" s="517">
        <f>ISAN!I71</f>
        <v>427638.85172628221</v>
      </c>
      <c r="D883" s="517">
        <f t="shared" ref="D883:O883" si="708">$C883*D$25%</f>
        <v>41153.229419468713</v>
      </c>
      <c r="E883" s="517">
        <f t="shared" si="708"/>
        <v>45963.859819759229</v>
      </c>
      <c r="F883" s="517">
        <f t="shared" si="708"/>
        <v>35672.013475535678</v>
      </c>
      <c r="G883" s="517">
        <f t="shared" si="708"/>
        <v>33107.308099291367</v>
      </c>
      <c r="H883" s="517">
        <f t="shared" si="708"/>
        <v>35399.031966144939</v>
      </c>
      <c r="I883" s="517">
        <f t="shared" si="708"/>
        <v>30745.136369606516</v>
      </c>
      <c r="J883" s="517">
        <f t="shared" si="708"/>
        <v>33307.641296355789</v>
      </c>
      <c r="K883" s="517">
        <f t="shared" si="708"/>
        <v>34348.933470264608</v>
      </c>
      <c r="L883" s="517">
        <f t="shared" si="708"/>
        <v>33752.336587401362</v>
      </c>
      <c r="M883" s="517">
        <f t="shared" si="708"/>
        <v>34580.087437545095</v>
      </c>
      <c r="N883" s="517">
        <f t="shared" si="708"/>
        <v>33481.556432389472</v>
      </c>
      <c r="O883" s="517">
        <f t="shared" si="708"/>
        <v>36127.717347387777</v>
      </c>
      <c r="P883" s="511">
        <f t="shared" si="696"/>
        <v>5.1317110774107277E-6</v>
      </c>
      <c r="Q883" s="530">
        <v>27447</v>
      </c>
      <c r="R883" s="480"/>
      <c r="S883" s="479"/>
      <c r="U883" s="513"/>
    </row>
    <row r="884" spans="1:21" s="511" customFormat="1" ht="18" x14ac:dyDescent="0.15">
      <c r="A884" s="577"/>
      <c r="B884" s="528" t="s">
        <v>403</v>
      </c>
      <c r="C884" s="517">
        <f>LOT!I71</f>
        <v>20700.711767144516</v>
      </c>
      <c r="D884" s="517">
        <f t="shared" ref="D884:O884" si="709">$C884*D$26%</f>
        <v>1565.1888681107337</v>
      </c>
      <c r="E884" s="517">
        <f t="shared" si="709"/>
        <v>1543.0033576741114</v>
      </c>
      <c r="F884" s="517">
        <f t="shared" si="709"/>
        <v>1516.5829011098551</v>
      </c>
      <c r="G884" s="517">
        <f t="shared" si="709"/>
        <v>1668.5798393563782</v>
      </c>
      <c r="H884" s="517">
        <f t="shared" si="709"/>
        <v>1365.2020220901304</v>
      </c>
      <c r="I884" s="517">
        <f t="shared" si="709"/>
        <v>1852.6487476173222</v>
      </c>
      <c r="J884" s="517">
        <f t="shared" si="709"/>
        <v>4251.8268837749283</v>
      </c>
      <c r="K884" s="517">
        <f t="shared" si="709"/>
        <v>1547.8174732630366</v>
      </c>
      <c r="L884" s="517">
        <f t="shared" si="709"/>
        <v>1878.0842471962087</v>
      </c>
      <c r="M884" s="517">
        <f t="shared" si="709"/>
        <v>1162.7915178981823</v>
      </c>
      <c r="N884" s="517">
        <f t="shared" si="709"/>
        <v>1174.4929544026106</v>
      </c>
      <c r="O884" s="517">
        <f t="shared" si="709"/>
        <v>1174.4929544026106</v>
      </c>
      <c r="P884" s="511">
        <f t="shared" si="696"/>
        <v>2.4840619516908191E-7</v>
      </c>
      <c r="Q884" s="530">
        <v>1341</v>
      </c>
      <c r="R884" s="480"/>
      <c r="S884" s="479"/>
      <c r="U884" s="513"/>
    </row>
    <row r="885" spans="1:21" s="511" customFormat="1" ht="45" x14ac:dyDescent="0.15">
      <c r="A885" s="577"/>
      <c r="B885" s="518" t="s">
        <v>301</v>
      </c>
      <c r="C885" s="517">
        <f>'ENAJENAC DE INMUE'!I71</f>
        <v>81397.655821257344</v>
      </c>
      <c r="D885" s="517">
        <f t="shared" ref="D885:O885" si="710">$C885*D$27%</f>
        <v>3515.2161814245051</v>
      </c>
      <c r="E885" s="517">
        <f t="shared" si="710"/>
        <v>3566.991793867975</v>
      </c>
      <c r="F885" s="517">
        <f t="shared" si="710"/>
        <v>3518.9039740142202</v>
      </c>
      <c r="G885" s="517">
        <f t="shared" si="710"/>
        <v>3498.2912147114134</v>
      </c>
      <c r="H885" s="517">
        <f t="shared" si="710"/>
        <v>4852.7980038140486</v>
      </c>
      <c r="I885" s="517">
        <f t="shared" si="710"/>
        <v>3492.9352489583748</v>
      </c>
      <c r="J885" s="517">
        <f t="shared" si="710"/>
        <v>4014.3571407538911</v>
      </c>
      <c r="K885" s="517">
        <f t="shared" si="710"/>
        <v>4010.2250126870349</v>
      </c>
      <c r="L885" s="517">
        <f t="shared" si="710"/>
        <v>4005.1448413203684</v>
      </c>
      <c r="M885" s="517">
        <f t="shared" si="710"/>
        <v>3497.7185582717998</v>
      </c>
      <c r="N885" s="517">
        <f t="shared" si="710"/>
        <v>14542.227479352623</v>
      </c>
      <c r="O885" s="517">
        <f t="shared" si="710"/>
        <v>28882.846371918291</v>
      </c>
      <c r="P885" s="511">
        <f t="shared" si="696"/>
        <v>1.6279955161735415E-7</v>
      </c>
      <c r="Q885" s="530">
        <v>19562</v>
      </c>
      <c r="R885" s="480"/>
      <c r="S885" s="479"/>
      <c r="U885" s="513"/>
    </row>
    <row r="886" spans="1:21" s="511" customFormat="1" ht="27" x14ac:dyDescent="0.15">
      <c r="A886" s="577"/>
      <c r="B886" s="518" t="s">
        <v>248</v>
      </c>
      <c r="C886" s="517">
        <f>'IMP BEBIDAS AL'!I71</f>
        <v>31814.505308848326</v>
      </c>
      <c r="D886" s="517">
        <f t="shared" ref="D886:O886" si="711">$C886*D$28%</f>
        <v>7234.3193049686606</v>
      </c>
      <c r="E886" s="517">
        <f t="shared" si="711"/>
        <v>2488.3431257717325</v>
      </c>
      <c r="F886" s="517">
        <f t="shared" si="711"/>
        <v>2674.1055764170583</v>
      </c>
      <c r="G886" s="517">
        <f t="shared" si="711"/>
        <v>2654.9090627959818</v>
      </c>
      <c r="H886" s="517">
        <f t="shared" si="711"/>
        <v>1690.6588848246563</v>
      </c>
      <c r="I886" s="517">
        <f t="shared" si="711"/>
        <v>2766.7659847352775</v>
      </c>
      <c r="J886" s="517">
        <f t="shared" si="711"/>
        <v>2751.1922683005514</v>
      </c>
      <c r="K886" s="517">
        <f t="shared" si="711"/>
        <v>2516.1660683315504</v>
      </c>
      <c r="L886" s="517">
        <f t="shared" si="711"/>
        <v>1824.7944363573329</v>
      </c>
      <c r="M886" s="517">
        <f t="shared" si="711"/>
        <v>1696.3080713024381</v>
      </c>
      <c r="N886" s="517">
        <f t="shared" si="711"/>
        <v>1708.2986094328783</v>
      </c>
      <c r="O886" s="517">
        <f t="shared" si="711"/>
        <v>1808.6439156102092</v>
      </c>
      <c r="P886" s="511">
        <f t="shared" si="696"/>
        <v>0</v>
      </c>
      <c r="Q886" s="530">
        <v>838</v>
      </c>
      <c r="R886" s="480"/>
      <c r="S886" s="479"/>
      <c r="U886" s="513"/>
    </row>
    <row r="887" spans="1:21" s="511" customFormat="1" ht="18" x14ac:dyDescent="0.15">
      <c r="A887" s="577"/>
      <c r="B887" s="518" t="s">
        <v>253</v>
      </c>
      <c r="C887" s="517">
        <f>'FOND GASO Y D'!Q72</f>
        <v>0</v>
      </c>
      <c r="D887" s="517">
        <f t="shared" ref="D887:O887" si="712">$C887*D$29%</f>
        <v>0</v>
      </c>
      <c r="E887" s="517">
        <f t="shared" si="712"/>
        <v>0</v>
      </c>
      <c r="F887" s="517">
        <f t="shared" si="712"/>
        <v>0</v>
      </c>
      <c r="G887" s="517">
        <f t="shared" si="712"/>
        <v>0</v>
      </c>
      <c r="H887" s="517">
        <f t="shared" si="712"/>
        <v>0</v>
      </c>
      <c r="I887" s="517">
        <f t="shared" si="712"/>
        <v>0</v>
      </c>
      <c r="J887" s="517">
        <f t="shared" si="712"/>
        <v>0</v>
      </c>
      <c r="K887" s="517">
        <f t="shared" si="712"/>
        <v>0</v>
      </c>
      <c r="L887" s="517">
        <f t="shared" si="712"/>
        <v>0</v>
      </c>
      <c r="M887" s="517">
        <f t="shared" si="712"/>
        <v>0</v>
      </c>
      <c r="N887" s="517">
        <f t="shared" si="712"/>
        <v>0</v>
      </c>
      <c r="O887" s="517">
        <f t="shared" si="712"/>
        <v>0</v>
      </c>
      <c r="P887" s="511">
        <f t="shared" si="696"/>
        <v>0</v>
      </c>
      <c r="Q887" s="530">
        <v>26662</v>
      </c>
      <c r="R887" s="480"/>
      <c r="S887" s="479"/>
      <c r="U887" s="513"/>
    </row>
    <row r="888" spans="1:21" s="511" customFormat="1" ht="18" x14ac:dyDescent="0.15">
      <c r="A888" s="577"/>
      <c r="B888" s="528" t="s">
        <v>408</v>
      </c>
      <c r="C888" s="519">
        <f>'FOND GASO Y D'!H72</f>
        <v>863576.85894383735</v>
      </c>
      <c r="D888" s="517">
        <f t="shared" ref="D888:O888" si="713">$C888*D$30%</f>
        <v>67178.336981299639</v>
      </c>
      <c r="E888" s="517">
        <f t="shared" si="713"/>
        <v>73861.052601919655</v>
      </c>
      <c r="F888" s="517">
        <f t="shared" si="713"/>
        <v>71911.355554089125</v>
      </c>
      <c r="G888" s="517">
        <f t="shared" si="713"/>
        <v>67006.401372781329</v>
      </c>
      <c r="H888" s="517">
        <f t="shared" si="713"/>
        <v>73831.476760340578</v>
      </c>
      <c r="I888" s="517">
        <f t="shared" si="713"/>
        <v>71256.148013747224</v>
      </c>
      <c r="J888" s="517">
        <f t="shared" si="713"/>
        <v>72741.739753534071</v>
      </c>
      <c r="K888" s="517">
        <f t="shared" si="713"/>
        <v>72698.514413881639</v>
      </c>
      <c r="L888" s="517">
        <f t="shared" si="713"/>
        <v>75651.497018039692</v>
      </c>
      <c r="M888" s="517">
        <f t="shared" si="713"/>
        <v>74987.189812891287</v>
      </c>
      <c r="N888" s="517">
        <f t="shared" si="713"/>
        <v>70082.235631583506</v>
      </c>
      <c r="O888" s="517">
        <f t="shared" si="713"/>
        <v>72370.911030593139</v>
      </c>
      <c r="P888" s="511">
        <f t="shared" si="696"/>
        <v>-8.6356885731220245E-7</v>
      </c>
      <c r="Q888" s="530">
        <v>52777</v>
      </c>
      <c r="R888" s="480"/>
      <c r="S888" s="479"/>
      <c r="U888" s="513"/>
    </row>
    <row r="889" spans="1:21" s="511" customFormat="1" x14ac:dyDescent="0.15">
      <c r="A889" s="577"/>
      <c r="B889" s="534"/>
      <c r="C889" s="521"/>
      <c r="D889" s="522"/>
      <c r="E889" s="522"/>
      <c r="F889" s="522"/>
      <c r="G889" s="522"/>
      <c r="H889" s="522"/>
      <c r="I889" s="522"/>
      <c r="J889" s="522"/>
      <c r="K889" s="522"/>
      <c r="L889" s="522"/>
      <c r="M889" s="522"/>
      <c r="N889" s="522"/>
      <c r="O889" s="522"/>
      <c r="P889" s="511">
        <f t="shared" si="696"/>
        <v>0</v>
      </c>
      <c r="Q889" s="530">
        <v>0</v>
      </c>
      <c r="R889" s="480"/>
      <c r="S889" s="479"/>
      <c r="U889" s="513"/>
    </row>
    <row r="890" spans="1:21" s="511" customFormat="1" x14ac:dyDescent="0.15">
      <c r="A890" s="591"/>
      <c r="B890" s="532"/>
      <c r="C890" s="521"/>
      <c r="D890" s="521"/>
      <c r="E890" s="521"/>
      <c r="F890" s="521"/>
      <c r="G890" s="521"/>
      <c r="H890" s="521"/>
      <c r="I890" s="521"/>
      <c r="J890" s="521"/>
      <c r="K890" s="521"/>
      <c r="L890" s="521"/>
      <c r="M890" s="521"/>
      <c r="N890" s="521"/>
      <c r="O890" s="521"/>
      <c r="P890" s="511">
        <f t="shared" si="696"/>
        <v>0</v>
      </c>
      <c r="Q890" s="530">
        <v>0</v>
      </c>
      <c r="R890" s="480"/>
      <c r="S890" s="479"/>
      <c r="U890" s="513"/>
    </row>
    <row r="891" spans="1:21" s="479" customFormat="1" x14ac:dyDescent="0.15">
      <c r="A891" s="576">
        <v>58</v>
      </c>
      <c r="B891" s="533" t="s">
        <v>134</v>
      </c>
      <c r="C891" s="524">
        <f t="shared" ref="C891:O891" si="714">SUM(C892:C903)</f>
        <v>49283430.624422483</v>
      </c>
      <c r="D891" s="524">
        <f t="shared" si="714"/>
        <v>3854067.5449503306</v>
      </c>
      <c r="E891" s="524">
        <f t="shared" si="714"/>
        <v>5165219.9270847077</v>
      </c>
      <c r="F891" s="524">
        <f t="shared" si="714"/>
        <v>3450506.477686632</v>
      </c>
      <c r="G891" s="524">
        <f t="shared" si="714"/>
        <v>4369252.4378620889</v>
      </c>
      <c r="H891" s="524">
        <f t="shared" si="714"/>
        <v>4942186.5401880005</v>
      </c>
      <c r="I891" s="524">
        <f t="shared" si="714"/>
        <v>4847830.3848567205</v>
      </c>
      <c r="J891" s="524">
        <f t="shared" si="714"/>
        <v>4203524.0313955825</v>
      </c>
      <c r="K891" s="524">
        <f t="shared" si="714"/>
        <v>4089857.2933917223</v>
      </c>
      <c r="L891" s="524">
        <f t="shared" si="714"/>
        <v>3876750.3525431249</v>
      </c>
      <c r="M891" s="524">
        <f t="shared" si="714"/>
        <v>2907411.2797693312</v>
      </c>
      <c r="N891" s="524">
        <f t="shared" si="714"/>
        <v>3766695.0031932588</v>
      </c>
      <c r="O891" s="524">
        <f t="shared" si="714"/>
        <v>3810129.3513597916</v>
      </c>
      <c r="P891" s="511">
        <f t="shared" si="696"/>
        <v>1.4119874686002731E-4</v>
      </c>
      <c r="Q891" s="530">
        <v>2906559</v>
      </c>
      <c r="R891" s="480"/>
      <c r="T891" s="512"/>
      <c r="U891" s="513"/>
    </row>
    <row r="892" spans="1:21" s="479" customFormat="1" x14ac:dyDescent="0.15">
      <c r="A892" s="579"/>
      <c r="B892" s="528" t="s">
        <v>294</v>
      </c>
      <c r="C892" s="517">
        <f>'FG1'!I73</f>
        <v>33393665.517118115</v>
      </c>
      <c r="D892" s="517">
        <f t="shared" ref="D892:O892" si="715">$C892*D$19%</f>
        <v>2525719.8261023243</v>
      </c>
      <c r="E892" s="517">
        <f t="shared" si="715"/>
        <v>3618724.3433648893</v>
      </c>
      <c r="F892" s="517">
        <f t="shared" si="715"/>
        <v>2339128.0627778652</v>
      </c>
      <c r="G892" s="517">
        <f t="shared" si="715"/>
        <v>2873381.8248226759</v>
      </c>
      <c r="H892" s="517">
        <f t="shared" si="715"/>
        <v>3509027.0501302155</v>
      </c>
      <c r="I892" s="517">
        <f t="shared" si="715"/>
        <v>3440084.9697534642</v>
      </c>
      <c r="J892" s="517">
        <f t="shared" si="715"/>
        <v>2666766.2331050923</v>
      </c>
      <c r="K892" s="517">
        <f t="shared" si="715"/>
        <v>2831398.3241894762</v>
      </c>
      <c r="L892" s="517">
        <f t="shared" si="715"/>
        <v>2660812.1452816711</v>
      </c>
      <c r="M892" s="517">
        <f t="shared" si="715"/>
        <v>1763913.9647801688</v>
      </c>
      <c r="N892" s="517">
        <f t="shared" si="715"/>
        <v>2574342.5238427757</v>
      </c>
      <c r="O892" s="517">
        <f t="shared" si="715"/>
        <v>2590366.2489341036</v>
      </c>
      <c r="P892" s="511">
        <f t="shared" si="696"/>
        <v>3.3393502235412598E-5</v>
      </c>
      <c r="Q892" s="530">
        <v>2000418</v>
      </c>
      <c r="R892" s="480"/>
      <c r="U892" s="513"/>
    </row>
    <row r="893" spans="1:21" s="479" customFormat="1" x14ac:dyDescent="0.15">
      <c r="A893" s="579"/>
      <c r="B893" s="528" t="s">
        <v>296</v>
      </c>
      <c r="C893" s="517">
        <f>FFM!J73</f>
        <v>8976080.2301379591</v>
      </c>
      <c r="D893" s="517">
        <f t="shared" ref="D893:O893" si="716">$C893*D$20%</f>
        <v>678799.3713563903</v>
      </c>
      <c r="E893" s="517">
        <f t="shared" si="716"/>
        <v>973169.19057623041</v>
      </c>
      <c r="F893" s="517">
        <f t="shared" si="716"/>
        <v>628546.16613829276</v>
      </c>
      <c r="G893" s="517">
        <f t="shared" si="716"/>
        <v>772432.28932067752</v>
      </c>
      <c r="H893" s="517">
        <f t="shared" si="716"/>
        <v>943625.33311309468</v>
      </c>
      <c r="I893" s="517">
        <f t="shared" si="716"/>
        <v>925057.73307055933</v>
      </c>
      <c r="J893" s="517">
        <f t="shared" si="716"/>
        <v>716723.3842916243</v>
      </c>
      <c r="K893" s="517">
        <f t="shared" si="716"/>
        <v>761062.37685369549</v>
      </c>
      <c r="L893" s="517">
        <f t="shared" si="716"/>
        <v>715119.81549336505</v>
      </c>
      <c r="M893" s="517">
        <f t="shared" si="716"/>
        <v>473565.68485110631</v>
      </c>
      <c r="N893" s="517">
        <f t="shared" si="716"/>
        <v>691831.67338701617</v>
      </c>
      <c r="O893" s="517">
        <f t="shared" si="716"/>
        <v>696147.21157819382</v>
      </c>
      <c r="P893" s="511">
        <f t="shared" si="696"/>
        <v>1.0771350935101509E-4</v>
      </c>
      <c r="Q893" s="530">
        <v>612463</v>
      </c>
      <c r="R893" s="480"/>
      <c r="U893" s="513"/>
    </row>
    <row r="894" spans="1:21" s="479" customFormat="1" ht="18" x14ac:dyDescent="0.15">
      <c r="A894" s="579"/>
      <c r="B894" s="528" t="s">
        <v>297</v>
      </c>
      <c r="C894" s="517">
        <f>IEPS!I72</f>
        <v>807592.42732289247</v>
      </c>
      <c r="D894" s="517">
        <f t="shared" ref="D894:O894" si="717">$C894*D$21%</f>
        <v>56725.147476353632</v>
      </c>
      <c r="E894" s="517">
        <f t="shared" si="717"/>
        <v>129657.04839797744</v>
      </c>
      <c r="F894" s="517">
        <f t="shared" si="717"/>
        <v>53854.327526056099</v>
      </c>
      <c r="G894" s="517">
        <f t="shared" si="717"/>
        <v>52338.865041191711</v>
      </c>
      <c r="H894" s="517">
        <f t="shared" si="717"/>
        <v>57784.986304057806</v>
      </c>
      <c r="I894" s="517">
        <f t="shared" si="717"/>
        <v>59924.182038995932</v>
      </c>
      <c r="J894" s="517">
        <f t="shared" si="717"/>
        <v>61710.829979383219</v>
      </c>
      <c r="K894" s="517">
        <f t="shared" si="717"/>
        <v>68357.533082744645</v>
      </c>
      <c r="L894" s="517">
        <f t="shared" si="717"/>
        <v>68500.773201202028</v>
      </c>
      <c r="M894" s="517">
        <f t="shared" si="717"/>
        <v>67739.43822656371</v>
      </c>
      <c r="N894" s="517">
        <f t="shared" si="717"/>
        <v>65549.362878171538</v>
      </c>
      <c r="O894" s="517">
        <f t="shared" si="717"/>
        <v>65449.933169387092</v>
      </c>
      <c r="P894" s="511">
        <f t="shared" si="696"/>
        <v>8.0751487985253334E-7</v>
      </c>
      <c r="Q894" s="530">
        <v>51662</v>
      </c>
      <c r="R894" s="480"/>
      <c r="U894" s="513"/>
    </row>
    <row r="895" spans="1:21" s="479" customFormat="1" x14ac:dyDescent="0.15">
      <c r="A895" s="579"/>
      <c r="B895" s="528" t="s">
        <v>236</v>
      </c>
      <c r="C895" s="517">
        <f>ISR!C63</f>
        <v>2509832.9300000002</v>
      </c>
      <c r="D895" s="517">
        <f>ISR!D63</f>
        <v>209152.74416666661</v>
      </c>
      <c r="E895" s="517">
        <f>ISR!E63</f>
        <v>209152.74416666661</v>
      </c>
      <c r="F895" s="517">
        <f>ISR!F63</f>
        <v>209152.74416666661</v>
      </c>
      <c r="G895" s="517">
        <f>ISR!G63</f>
        <v>209152.74416666661</v>
      </c>
      <c r="H895" s="517">
        <f>ISR!H63</f>
        <v>209152.74416666661</v>
      </c>
      <c r="I895" s="517">
        <f>ISR!I63</f>
        <v>209152.74416666661</v>
      </c>
      <c r="J895" s="517">
        <f>ISR!J63</f>
        <v>209152.74416666661</v>
      </c>
      <c r="K895" s="517">
        <f>ISR!K63</f>
        <v>209152.74416666661</v>
      </c>
      <c r="L895" s="517">
        <f>ISR!L63</f>
        <v>209152.74416666661</v>
      </c>
      <c r="M895" s="517">
        <f>ISR!M63</f>
        <v>209152.74416666661</v>
      </c>
      <c r="N895" s="517">
        <f>ISR!N63</f>
        <v>209152.74416666661</v>
      </c>
      <c r="O895" s="517">
        <f>ISR!O63</f>
        <v>209152.74416666661</v>
      </c>
      <c r="P895" s="511">
        <f t="shared" si="696"/>
        <v>5.2386894822120667E-10</v>
      </c>
      <c r="Q895" s="530">
        <v>0</v>
      </c>
      <c r="R895" s="480"/>
      <c r="U895" s="513"/>
    </row>
    <row r="896" spans="1:21" s="479" customFormat="1" ht="18" x14ac:dyDescent="0.15">
      <c r="A896" s="579"/>
      <c r="B896" s="528" t="s">
        <v>298</v>
      </c>
      <c r="C896" s="517">
        <f>FOFIR!I72</f>
        <v>1561879.7797386586</v>
      </c>
      <c r="D896" s="517">
        <f t="shared" ref="D896:O896" si="718">$C896*D$23%</f>
        <v>213533.16813428511</v>
      </c>
      <c r="E896" s="517">
        <f t="shared" si="718"/>
        <v>54327.282200233392</v>
      </c>
      <c r="F896" s="517">
        <f t="shared" si="718"/>
        <v>54327.282200233392</v>
      </c>
      <c r="G896" s="517">
        <f t="shared" si="718"/>
        <v>306587.02100064815</v>
      </c>
      <c r="H896" s="517">
        <f t="shared" si="718"/>
        <v>54327.282200233392</v>
      </c>
      <c r="I896" s="517">
        <f t="shared" si="718"/>
        <v>54327.282200233392</v>
      </c>
      <c r="J896" s="517">
        <f t="shared" si="718"/>
        <v>381344.85321761202</v>
      </c>
      <c r="K896" s="517">
        <f t="shared" si="718"/>
        <v>54327.282200233392</v>
      </c>
      <c r="L896" s="517">
        <f t="shared" si="718"/>
        <v>54327.282200233392</v>
      </c>
      <c r="M896" s="517">
        <f t="shared" si="718"/>
        <v>225796.4797904937</v>
      </c>
      <c r="N896" s="517">
        <f t="shared" si="718"/>
        <v>54327.282200233392</v>
      </c>
      <c r="O896" s="517">
        <f t="shared" si="718"/>
        <v>54327.282200233392</v>
      </c>
      <c r="P896" s="511">
        <f t="shared" si="696"/>
        <v>-6.2474427977576852E-6</v>
      </c>
      <c r="Q896" s="530">
        <v>60856</v>
      </c>
      <c r="R896" s="480"/>
      <c r="U896" s="513"/>
    </row>
    <row r="897" spans="1:21" s="479" customFormat="1" ht="27" x14ac:dyDescent="0.15">
      <c r="A897" s="579"/>
      <c r="B897" s="528" t="s">
        <v>407</v>
      </c>
      <c r="C897" s="517">
        <f>FCISAN!I72</f>
        <v>99150.078887188691</v>
      </c>
      <c r="D897" s="517">
        <f t="shared" ref="D897:O897" si="719">$C897*D$24%</f>
        <v>8262.5065738993417</v>
      </c>
      <c r="E897" s="517">
        <f t="shared" si="719"/>
        <v>8262.5065738993417</v>
      </c>
      <c r="F897" s="517">
        <f t="shared" si="719"/>
        <v>8262.5065738993417</v>
      </c>
      <c r="G897" s="517">
        <f t="shared" si="719"/>
        <v>8262.5065738993417</v>
      </c>
      <c r="H897" s="517">
        <f t="shared" si="719"/>
        <v>8262.5065738993417</v>
      </c>
      <c r="I897" s="517">
        <f t="shared" si="719"/>
        <v>8262.5065738993417</v>
      </c>
      <c r="J897" s="517">
        <f t="shared" si="719"/>
        <v>8262.5065738993417</v>
      </c>
      <c r="K897" s="517">
        <f t="shared" si="719"/>
        <v>8262.5065738993417</v>
      </c>
      <c r="L897" s="517">
        <f t="shared" si="719"/>
        <v>8262.5065738993417</v>
      </c>
      <c r="M897" s="517">
        <f t="shared" si="719"/>
        <v>8262.5065738993417</v>
      </c>
      <c r="N897" s="517">
        <f t="shared" si="719"/>
        <v>8262.5065738993417</v>
      </c>
      <c r="O897" s="517">
        <f t="shared" si="719"/>
        <v>8262.5065738993417</v>
      </c>
      <c r="P897" s="511">
        <f t="shared" si="696"/>
        <v>3.9657243178226054E-7</v>
      </c>
      <c r="Q897" s="530">
        <v>7239</v>
      </c>
      <c r="R897" s="480"/>
      <c r="U897" s="513"/>
    </row>
    <row r="898" spans="1:21" s="479" customFormat="1" ht="27" x14ac:dyDescent="0.15">
      <c r="A898" s="579"/>
      <c r="B898" s="528" t="s">
        <v>242</v>
      </c>
      <c r="C898" s="517">
        <f>ISAN!I72</f>
        <v>495266.27191053354</v>
      </c>
      <c r="D898" s="517">
        <f t="shared" ref="D898:O898" si="720">$C898*D$25%</f>
        <v>47661.260031408216</v>
      </c>
      <c r="E898" s="517">
        <f t="shared" si="720"/>
        <v>53232.650409699549</v>
      </c>
      <c r="F898" s="517">
        <f t="shared" si="720"/>
        <v>41313.236751648183</v>
      </c>
      <c r="G898" s="517">
        <f t="shared" si="720"/>
        <v>38342.945195785425</v>
      </c>
      <c r="H898" s="517">
        <f t="shared" si="720"/>
        <v>40997.085555584737</v>
      </c>
      <c r="I898" s="517">
        <f t="shared" si="720"/>
        <v>35607.216247279379</v>
      </c>
      <c r="J898" s="517">
        <f t="shared" si="720"/>
        <v>38574.959371413977</v>
      </c>
      <c r="K898" s="517">
        <f t="shared" si="720"/>
        <v>39780.922980332114</v>
      </c>
      <c r="L898" s="517">
        <f t="shared" si="720"/>
        <v>39089.979412374341</v>
      </c>
      <c r="M898" s="517">
        <f t="shared" si="720"/>
        <v>40048.631966899156</v>
      </c>
      <c r="N898" s="517">
        <f t="shared" si="720"/>
        <v>38776.377696022486</v>
      </c>
      <c r="O898" s="517">
        <f t="shared" si="720"/>
        <v>41841.00628614278</v>
      </c>
      <c r="P898" s="511">
        <f t="shared" si="696"/>
        <v>5.943191354162991E-6</v>
      </c>
      <c r="Q898" s="530">
        <v>31096</v>
      </c>
      <c r="R898" s="480"/>
      <c r="U898" s="513"/>
    </row>
    <row r="899" spans="1:21" s="479" customFormat="1" ht="18" x14ac:dyDescent="0.15">
      <c r="A899" s="579"/>
      <c r="B899" s="528" t="s">
        <v>403</v>
      </c>
      <c r="C899" s="517">
        <f>LOT!I72</f>
        <v>23974.35195942015</v>
      </c>
      <c r="D899" s="517">
        <f t="shared" ref="D899:O899" si="721">$C899*D$26%</f>
        <v>1812.7100763081316</v>
      </c>
      <c r="E899" s="517">
        <f t="shared" si="721"/>
        <v>1787.0161174921282</v>
      </c>
      <c r="F899" s="517">
        <f t="shared" si="721"/>
        <v>1756.4174921054694</v>
      </c>
      <c r="G899" s="517">
        <f t="shared" si="721"/>
        <v>1932.4514437524883</v>
      </c>
      <c r="H899" s="517">
        <f t="shared" si="721"/>
        <v>1581.0970241732739</v>
      </c>
      <c r="I899" s="517">
        <f t="shared" si="721"/>
        <v>2145.629272663577</v>
      </c>
      <c r="J899" s="517">
        <f t="shared" si="721"/>
        <v>4924.2168737372713</v>
      </c>
      <c r="K899" s="517">
        <f t="shared" si="721"/>
        <v>1792.5915442117739</v>
      </c>
      <c r="L899" s="517">
        <f t="shared" si="721"/>
        <v>2175.0871785572167</v>
      </c>
      <c r="M899" s="517">
        <f t="shared" si="721"/>
        <v>1346.6770330943471</v>
      </c>
      <c r="N899" s="517">
        <f t="shared" si="721"/>
        <v>1360.2289515183902</v>
      </c>
      <c r="O899" s="517">
        <f t="shared" si="721"/>
        <v>1360.2289515183902</v>
      </c>
      <c r="P899" s="511">
        <f t="shared" si="696"/>
        <v>2.8769318305421621E-7</v>
      </c>
      <c r="Q899" s="530">
        <v>1518</v>
      </c>
      <c r="R899" s="480"/>
      <c r="U899" s="513"/>
    </row>
    <row r="900" spans="1:21" s="479" customFormat="1" ht="45" x14ac:dyDescent="0.15">
      <c r="A900" s="579"/>
      <c r="B900" s="518" t="s">
        <v>301</v>
      </c>
      <c r="C900" s="517">
        <f>'ENAJENAC DE INMUE'!I72</f>
        <v>94269.997634953528</v>
      </c>
      <c r="D900" s="517">
        <f t="shared" ref="D900:O900" si="722">$C900*D$27%</f>
        <v>4071.1175004464603</v>
      </c>
      <c r="E900" s="517">
        <f t="shared" si="722"/>
        <v>4131.0809823594063</v>
      </c>
      <c r="F900" s="517">
        <f t="shared" si="722"/>
        <v>4075.3884858354509</v>
      </c>
      <c r="G900" s="517">
        <f t="shared" si="722"/>
        <v>4051.5159952689837</v>
      </c>
      <c r="H900" s="517">
        <f t="shared" si="722"/>
        <v>5620.2264269997131</v>
      </c>
      <c r="I900" s="517">
        <f t="shared" si="722"/>
        <v>4045.3130294246039</v>
      </c>
      <c r="J900" s="517">
        <f t="shared" si="722"/>
        <v>4649.1933256129305</v>
      </c>
      <c r="K900" s="517">
        <f t="shared" si="722"/>
        <v>4644.4077368983699</v>
      </c>
      <c r="L900" s="517">
        <f t="shared" si="722"/>
        <v>4638.5241799594278</v>
      </c>
      <c r="M900" s="517">
        <f t="shared" si="722"/>
        <v>4050.8527781202424</v>
      </c>
      <c r="N900" s="517">
        <f t="shared" si="722"/>
        <v>16841.956150382317</v>
      </c>
      <c r="O900" s="517">
        <f t="shared" si="722"/>
        <v>33450.421043457085</v>
      </c>
      <c r="P900" s="511">
        <f t="shared" si="696"/>
        <v>1.8853461369872093E-7</v>
      </c>
      <c r="Q900" s="530">
        <v>22167</v>
      </c>
      <c r="R900" s="480"/>
      <c r="U900" s="513"/>
    </row>
    <row r="901" spans="1:21" s="479" customFormat="1" ht="27" x14ac:dyDescent="0.15">
      <c r="A901" s="579"/>
      <c r="B901" s="518" t="s">
        <v>248</v>
      </c>
      <c r="C901" s="517">
        <f>'IMP BEBIDAS AL'!I72</f>
        <v>36845.69672139264</v>
      </c>
      <c r="D901" s="517">
        <f t="shared" ref="D901:O901" si="723">$C901*D$28%</f>
        <v>8378.3649159069828</v>
      </c>
      <c r="E901" s="517">
        <f t="shared" si="723"/>
        <v>2881.8532697865921</v>
      </c>
      <c r="F901" s="517">
        <f t="shared" si="723"/>
        <v>3096.9924602990627</v>
      </c>
      <c r="G901" s="517">
        <f t="shared" si="723"/>
        <v>3074.7601825338152</v>
      </c>
      <c r="H901" s="517">
        <f t="shared" si="723"/>
        <v>1958.0221010776477</v>
      </c>
      <c r="I901" s="517">
        <f t="shared" si="723"/>
        <v>3204.3063182336691</v>
      </c>
      <c r="J901" s="517">
        <f t="shared" si="723"/>
        <v>3186.2697519879162</v>
      </c>
      <c r="K901" s="517">
        <f t="shared" si="723"/>
        <v>2914.0761723118326</v>
      </c>
      <c r="L901" s="517">
        <f t="shared" si="723"/>
        <v>2113.3700407470151</v>
      </c>
      <c r="M901" s="517">
        <f t="shared" si="723"/>
        <v>1964.5646579919319</v>
      </c>
      <c r="N901" s="517">
        <f t="shared" si="723"/>
        <v>1978.4513969869784</v>
      </c>
      <c r="O901" s="517">
        <f t="shared" si="723"/>
        <v>2094.6654535291973</v>
      </c>
      <c r="P901" s="511">
        <f t="shared" si="696"/>
        <v>0</v>
      </c>
      <c r="Q901" s="530">
        <v>948</v>
      </c>
      <c r="R901" s="480"/>
      <c r="U901" s="513"/>
    </row>
    <row r="902" spans="1:21" s="479" customFormat="1" ht="18" x14ac:dyDescent="0.15">
      <c r="A902" s="579"/>
      <c r="B902" s="518" t="s">
        <v>253</v>
      </c>
      <c r="C902" s="517">
        <f>'FOND GASO Y D'!Q73</f>
        <v>0</v>
      </c>
      <c r="D902" s="517">
        <f t="shared" ref="D902:O902" si="724">$C902*D$29%</f>
        <v>0</v>
      </c>
      <c r="E902" s="517">
        <f t="shared" si="724"/>
        <v>0</v>
      </c>
      <c r="F902" s="517">
        <f t="shared" si="724"/>
        <v>0</v>
      </c>
      <c r="G902" s="517">
        <f t="shared" si="724"/>
        <v>0</v>
      </c>
      <c r="H902" s="517">
        <f t="shared" si="724"/>
        <v>0</v>
      </c>
      <c r="I902" s="517">
        <f t="shared" si="724"/>
        <v>0</v>
      </c>
      <c r="J902" s="517">
        <f t="shared" si="724"/>
        <v>0</v>
      </c>
      <c r="K902" s="517">
        <f t="shared" si="724"/>
        <v>0</v>
      </c>
      <c r="L902" s="517">
        <f t="shared" si="724"/>
        <v>0</v>
      </c>
      <c r="M902" s="517">
        <f t="shared" si="724"/>
        <v>0</v>
      </c>
      <c r="N902" s="517">
        <f t="shared" si="724"/>
        <v>0</v>
      </c>
      <c r="O902" s="517">
        <f t="shared" si="724"/>
        <v>0</v>
      </c>
      <c r="P902" s="511">
        <f t="shared" si="696"/>
        <v>0</v>
      </c>
      <c r="Q902" s="530">
        <v>39669</v>
      </c>
      <c r="R902" s="480"/>
      <c r="U902" s="513"/>
    </row>
    <row r="903" spans="1:21" s="479" customFormat="1" ht="18" x14ac:dyDescent="0.15">
      <c r="A903" s="579"/>
      <c r="B903" s="528" t="s">
        <v>408</v>
      </c>
      <c r="C903" s="519">
        <f>'FOND GASO Y D'!H73</f>
        <v>1284873.3429913723</v>
      </c>
      <c r="D903" s="517">
        <f t="shared" ref="D903:O903" si="725">$C903*D$30%</f>
        <v>99951.328616341401</v>
      </c>
      <c r="E903" s="517">
        <f t="shared" si="725"/>
        <v>109894.21102547407</v>
      </c>
      <c r="F903" s="517">
        <f t="shared" si="725"/>
        <v>106993.35311372989</v>
      </c>
      <c r="G903" s="517">
        <f t="shared" si="725"/>
        <v>99695.514118988678</v>
      </c>
      <c r="H903" s="517">
        <f t="shared" si="725"/>
        <v>109850.20659199727</v>
      </c>
      <c r="I903" s="517">
        <f t="shared" si="725"/>
        <v>106018.50218529967</v>
      </c>
      <c r="J903" s="517">
        <f t="shared" si="725"/>
        <v>108228.8407385522</v>
      </c>
      <c r="K903" s="517">
        <f t="shared" si="725"/>
        <v>108164.52789125209</v>
      </c>
      <c r="L903" s="517">
        <f t="shared" si="725"/>
        <v>112558.12481444927</v>
      </c>
      <c r="M903" s="517">
        <f t="shared" si="725"/>
        <v>111569.73494432679</v>
      </c>
      <c r="N903" s="517">
        <f t="shared" si="725"/>
        <v>104271.89594958561</v>
      </c>
      <c r="O903" s="517">
        <f t="shared" si="725"/>
        <v>107677.10300266025</v>
      </c>
      <c r="P903" s="511">
        <f t="shared" si="696"/>
        <v>-1.2847594916820526E-6</v>
      </c>
      <c r="Q903" s="530">
        <v>78523</v>
      </c>
      <c r="R903" s="480"/>
      <c r="U903" s="513"/>
    </row>
    <row r="904" spans="1:21" s="479" customFormat="1" x14ac:dyDescent="0.15">
      <c r="A904" s="579"/>
      <c r="B904" s="534"/>
      <c r="C904" s="521"/>
      <c r="D904" s="522"/>
      <c r="E904" s="522"/>
      <c r="F904" s="522"/>
      <c r="G904" s="522"/>
      <c r="H904" s="522"/>
      <c r="I904" s="522"/>
      <c r="J904" s="522"/>
      <c r="K904" s="522"/>
      <c r="L904" s="522"/>
      <c r="M904" s="522"/>
      <c r="N904" s="522"/>
      <c r="O904" s="522"/>
      <c r="P904" s="511">
        <f t="shared" si="696"/>
        <v>0</v>
      </c>
      <c r="Q904" s="530">
        <v>0</v>
      </c>
      <c r="R904" s="480"/>
      <c r="U904" s="513"/>
    </row>
    <row r="905" spans="1:21" s="479" customFormat="1" x14ac:dyDescent="0.15">
      <c r="A905" s="591"/>
      <c r="B905" s="532"/>
      <c r="C905" s="521"/>
      <c r="D905" s="521"/>
      <c r="E905" s="521"/>
      <c r="F905" s="521"/>
      <c r="G905" s="521"/>
      <c r="H905" s="521"/>
      <c r="I905" s="521"/>
      <c r="J905" s="521"/>
      <c r="K905" s="521"/>
      <c r="L905" s="521"/>
      <c r="M905" s="521"/>
      <c r="N905" s="521"/>
      <c r="O905" s="521"/>
      <c r="P905" s="511">
        <f t="shared" si="696"/>
        <v>0</v>
      </c>
      <c r="Q905" s="530">
        <v>0</v>
      </c>
      <c r="R905" s="480"/>
      <c r="U905" s="513"/>
    </row>
    <row r="906" spans="1:21" s="479" customFormat="1" x14ac:dyDescent="0.15">
      <c r="A906" s="576">
        <v>59</v>
      </c>
      <c r="B906" s="533" t="s">
        <v>136</v>
      </c>
      <c r="C906" s="524">
        <f t="shared" ref="C906:O906" si="726">SUM(C907:C918)</f>
        <v>29911718.939045902</v>
      </c>
      <c r="D906" s="524">
        <f t="shared" si="726"/>
        <v>2353251.1371631781</v>
      </c>
      <c r="E906" s="524">
        <f t="shared" si="726"/>
        <v>3140898.2293421086</v>
      </c>
      <c r="F906" s="524">
        <f t="shared" si="726"/>
        <v>2034527.1153957339</v>
      </c>
      <c r="G906" s="524">
        <f t="shared" si="726"/>
        <v>2665726.4595752792</v>
      </c>
      <c r="H906" s="524">
        <f t="shared" si="726"/>
        <v>3011293.9092994155</v>
      </c>
      <c r="I906" s="524">
        <f t="shared" si="726"/>
        <v>2955580.4047093415</v>
      </c>
      <c r="J906" s="524">
        <f t="shared" si="726"/>
        <v>2508144.4306602702</v>
      </c>
      <c r="K906" s="524">
        <f t="shared" si="726"/>
        <v>2443930.1047444907</v>
      </c>
      <c r="L906" s="524">
        <f t="shared" si="726"/>
        <v>2371627.8429697892</v>
      </c>
      <c r="M906" s="524">
        <f t="shared" si="726"/>
        <v>1791399.2760566901</v>
      </c>
      <c r="N906" s="524">
        <f t="shared" si="726"/>
        <v>2307165.2580369697</v>
      </c>
      <c r="O906" s="524">
        <f t="shared" si="726"/>
        <v>2328174.7710080943</v>
      </c>
      <c r="P906" s="511">
        <f t="shared" si="696"/>
        <v>8.4546394646167755E-5</v>
      </c>
      <c r="Q906" s="530">
        <v>1758886</v>
      </c>
      <c r="R906" s="480"/>
      <c r="T906" s="512"/>
      <c r="U906" s="513"/>
    </row>
    <row r="907" spans="1:21" s="479" customFormat="1" x14ac:dyDescent="0.15">
      <c r="A907" s="579"/>
      <c r="B907" s="528" t="s">
        <v>294</v>
      </c>
      <c r="C907" s="517">
        <f>'FG1'!I74</f>
        <v>20022919.205409467</v>
      </c>
      <c r="D907" s="517">
        <f t="shared" ref="D907:O907" si="727">$C907*D$19%</f>
        <v>1514427.4589329986</v>
      </c>
      <c r="E907" s="517">
        <f t="shared" si="727"/>
        <v>2169795.4995896094</v>
      </c>
      <c r="F907" s="517">
        <f t="shared" si="727"/>
        <v>1402546.6053763463</v>
      </c>
      <c r="G907" s="517">
        <f t="shared" si="727"/>
        <v>1722886.3987759561</v>
      </c>
      <c r="H907" s="517">
        <f t="shared" si="727"/>
        <v>2104020.7484361595</v>
      </c>
      <c r="I907" s="517">
        <f t="shared" si="727"/>
        <v>2062682.917327774</v>
      </c>
      <c r="J907" s="517">
        <f t="shared" si="727"/>
        <v>1598999.211326638</v>
      </c>
      <c r="K907" s="517">
        <f t="shared" si="727"/>
        <v>1697712.9945353258</v>
      </c>
      <c r="L907" s="517">
        <f t="shared" si="727"/>
        <v>1595429.1264741931</v>
      </c>
      <c r="M907" s="517">
        <f t="shared" si="727"/>
        <v>1057646.8996487337</v>
      </c>
      <c r="N907" s="517">
        <f t="shared" si="727"/>
        <v>1543581.7411398154</v>
      </c>
      <c r="O907" s="517">
        <f t="shared" si="727"/>
        <v>1553189.6038258953</v>
      </c>
      <c r="P907" s="511">
        <f t="shared" si="696"/>
        <v>2.0022038370370865E-5</v>
      </c>
      <c r="Q907" s="530">
        <v>1203054</v>
      </c>
      <c r="R907" s="480"/>
      <c r="U907" s="513"/>
    </row>
    <row r="908" spans="1:21" s="479" customFormat="1" x14ac:dyDescent="0.15">
      <c r="A908" s="579"/>
      <c r="B908" s="528" t="s">
        <v>296</v>
      </c>
      <c r="C908" s="517">
        <f>FFM!J74</f>
        <v>5382078.5004028538</v>
      </c>
      <c r="D908" s="517">
        <f t="shared" ref="D908:O908" si="728">$C908*D$20%</f>
        <v>407009.67560403037</v>
      </c>
      <c r="E908" s="517">
        <f t="shared" si="728"/>
        <v>583514.50115929684</v>
      </c>
      <c r="F908" s="517">
        <f t="shared" si="728"/>
        <v>376877.73733630631</v>
      </c>
      <c r="G908" s="517">
        <f t="shared" si="728"/>
        <v>463152.19012986467</v>
      </c>
      <c r="H908" s="517">
        <f t="shared" si="728"/>
        <v>565799.93578170263</v>
      </c>
      <c r="I908" s="517">
        <f t="shared" si="728"/>
        <v>554666.75978161779</v>
      </c>
      <c r="J908" s="517">
        <f t="shared" si="728"/>
        <v>429749.00161655928</v>
      </c>
      <c r="K908" s="517">
        <f t="shared" si="728"/>
        <v>456334.76427458512</v>
      </c>
      <c r="L908" s="517">
        <f t="shared" si="728"/>
        <v>428787.49805021973</v>
      </c>
      <c r="M908" s="517">
        <f t="shared" si="728"/>
        <v>283951.08172139403</v>
      </c>
      <c r="N908" s="517">
        <f t="shared" si="728"/>
        <v>414823.87409284111</v>
      </c>
      <c r="O908" s="517">
        <f t="shared" si="728"/>
        <v>417411.48078985122</v>
      </c>
      <c r="P908" s="511">
        <f t="shared" si="696"/>
        <v>6.4585707150399685E-5</v>
      </c>
      <c r="Q908" s="530">
        <v>368337</v>
      </c>
      <c r="R908" s="480"/>
      <c r="U908" s="513"/>
    </row>
    <row r="909" spans="1:21" s="479" customFormat="1" ht="18" x14ac:dyDescent="0.15">
      <c r="A909" s="579"/>
      <c r="B909" s="528" t="s">
        <v>297</v>
      </c>
      <c r="C909" s="517">
        <f>IEPS!I73</f>
        <v>484234.29032963188</v>
      </c>
      <c r="D909" s="517">
        <f t="shared" ref="D909:O909" si="729">$C909*D$21%</f>
        <v>34012.529838982031</v>
      </c>
      <c r="E909" s="517">
        <f t="shared" si="729"/>
        <v>77742.666589079861</v>
      </c>
      <c r="F909" s="517">
        <f t="shared" si="729"/>
        <v>32291.179546106316</v>
      </c>
      <c r="G909" s="517">
        <f t="shared" si="729"/>
        <v>31382.504729389537</v>
      </c>
      <c r="H909" s="517">
        <f t="shared" si="729"/>
        <v>34648.011655346229</v>
      </c>
      <c r="I909" s="517">
        <f t="shared" si="729"/>
        <v>35930.678373777177</v>
      </c>
      <c r="J909" s="517">
        <f t="shared" si="729"/>
        <v>37001.956617866541</v>
      </c>
      <c r="K909" s="517">
        <f t="shared" si="729"/>
        <v>40987.335196708933</v>
      </c>
      <c r="L909" s="517">
        <f t="shared" si="729"/>
        <v>41073.222303572802</v>
      </c>
      <c r="M909" s="517">
        <f t="shared" si="729"/>
        <v>40616.724089035051</v>
      </c>
      <c r="N909" s="517">
        <f t="shared" si="729"/>
        <v>39303.549836506936</v>
      </c>
      <c r="O909" s="517">
        <f t="shared" si="729"/>
        <v>39243.931552776216</v>
      </c>
      <c r="P909" s="511">
        <f t="shared" si="696"/>
        <v>4.8420770326629281E-7</v>
      </c>
      <c r="Q909" s="530">
        <v>31069</v>
      </c>
      <c r="R909" s="480"/>
      <c r="U909" s="513"/>
    </row>
    <row r="910" spans="1:21" s="479" customFormat="1" x14ac:dyDescent="0.15">
      <c r="A910" s="579"/>
      <c r="B910" s="528" t="s">
        <v>236</v>
      </c>
      <c r="C910" s="517">
        <f>ISR!C64</f>
        <v>1745614.13</v>
      </c>
      <c r="D910" s="517">
        <f>ISR!D64</f>
        <v>158374.30946882514</v>
      </c>
      <c r="E910" s="517">
        <f>ISR!E64</f>
        <v>158918.55108212007</v>
      </c>
      <c r="F910" s="517">
        <f>ISR!F64</f>
        <v>80965.753301057615</v>
      </c>
      <c r="G910" s="517">
        <f>ISR!G64</f>
        <v>161967.57719636889</v>
      </c>
      <c r="H910" s="517">
        <f>ISR!H64</f>
        <v>163049.6950239728</v>
      </c>
      <c r="I910" s="517">
        <f>ISR!I64</f>
        <v>164271.85162926666</v>
      </c>
      <c r="J910" s="517">
        <f>ISR!J64</f>
        <v>102956.08499769958</v>
      </c>
      <c r="K910" s="517">
        <f>ISR!K64</f>
        <v>106902.63236896116</v>
      </c>
      <c r="L910" s="517">
        <f>ISR!L64</f>
        <v>161967.57719636889</v>
      </c>
      <c r="M910" s="517">
        <f>ISR!M64</f>
        <v>163049.6950239728</v>
      </c>
      <c r="N910" s="517">
        <f>ISR!N64</f>
        <v>164271.85162926666</v>
      </c>
      <c r="O910" s="517">
        <f>ISR!O64</f>
        <v>158918.55108212007</v>
      </c>
      <c r="P910" s="511">
        <f t="shared" si="696"/>
        <v>-2.9103830456733704E-10</v>
      </c>
      <c r="Q910" s="530">
        <v>0</v>
      </c>
      <c r="R910" s="480"/>
      <c r="U910" s="513"/>
    </row>
    <row r="911" spans="1:21" s="479" customFormat="1" ht="18" x14ac:dyDescent="0.15">
      <c r="A911" s="579"/>
      <c r="B911" s="528" t="s">
        <v>298</v>
      </c>
      <c r="C911" s="517">
        <f>FOFIR!I73</f>
        <v>936506.73425589246</v>
      </c>
      <c r="D911" s="517">
        <f t="shared" ref="D911:O911" si="730">$C911*D$23%</f>
        <v>128034.98229435725</v>
      </c>
      <c r="E911" s="517">
        <f t="shared" si="730"/>
        <v>32574.764264412199</v>
      </c>
      <c r="F911" s="517">
        <f t="shared" si="730"/>
        <v>32574.764264412199</v>
      </c>
      <c r="G911" s="517">
        <f t="shared" si="730"/>
        <v>183830.28804598658</v>
      </c>
      <c r="H911" s="517">
        <f t="shared" si="730"/>
        <v>32574.764264412199</v>
      </c>
      <c r="I911" s="517">
        <f t="shared" si="730"/>
        <v>32574.764264412199</v>
      </c>
      <c r="J911" s="517">
        <f t="shared" si="730"/>
        <v>228655.25743080914</v>
      </c>
      <c r="K911" s="517">
        <f t="shared" si="730"/>
        <v>32574.764264412199</v>
      </c>
      <c r="L911" s="517">
        <f t="shared" si="730"/>
        <v>32574.764264412199</v>
      </c>
      <c r="M911" s="517">
        <f t="shared" si="730"/>
        <v>135388.09237318789</v>
      </c>
      <c r="N911" s="517">
        <f t="shared" si="730"/>
        <v>32574.764264412199</v>
      </c>
      <c r="O911" s="517">
        <f t="shared" si="730"/>
        <v>32574.764264412199</v>
      </c>
      <c r="P911" s="511">
        <f t="shared" si="696"/>
        <v>-3.7460777093656361E-6</v>
      </c>
      <c r="Q911" s="530">
        <v>36599</v>
      </c>
      <c r="R911" s="480"/>
      <c r="U911" s="513"/>
    </row>
    <row r="912" spans="1:21" s="479" customFormat="1" ht="27" x14ac:dyDescent="0.15">
      <c r="A912" s="579"/>
      <c r="B912" s="528" t="s">
        <v>407</v>
      </c>
      <c r="C912" s="517">
        <f>FCISAN!I73</f>
        <v>59450.616996522032</v>
      </c>
      <c r="D912" s="517">
        <f t="shared" ref="D912:O912" si="731">$C912*D$24%</f>
        <v>4954.2180830236866</v>
      </c>
      <c r="E912" s="517">
        <f t="shared" si="731"/>
        <v>4954.2180830236866</v>
      </c>
      <c r="F912" s="517">
        <f t="shared" si="731"/>
        <v>4954.2180830236866</v>
      </c>
      <c r="G912" s="517">
        <f t="shared" si="731"/>
        <v>4954.2180830236866</v>
      </c>
      <c r="H912" s="517">
        <f t="shared" si="731"/>
        <v>4954.2180830236866</v>
      </c>
      <c r="I912" s="517">
        <f t="shared" si="731"/>
        <v>4954.2180830236866</v>
      </c>
      <c r="J912" s="517">
        <f t="shared" si="731"/>
        <v>4954.2180830236866</v>
      </c>
      <c r="K912" s="517">
        <f t="shared" si="731"/>
        <v>4954.2180830236866</v>
      </c>
      <c r="L912" s="517">
        <f t="shared" si="731"/>
        <v>4954.2180830236866</v>
      </c>
      <c r="M912" s="517">
        <f t="shared" si="731"/>
        <v>4954.2180830236866</v>
      </c>
      <c r="N912" s="517">
        <f t="shared" si="731"/>
        <v>4954.2180830236866</v>
      </c>
      <c r="O912" s="517">
        <f t="shared" si="731"/>
        <v>4954.2180830236866</v>
      </c>
      <c r="P912" s="511">
        <f t="shared" si="696"/>
        <v>2.3777465685270727E-7</v>
      </c>
      <c r="Q912" s="530">
        <v>4353</v>
      </c>
      <c r="R912" s="480"/>
      <c r="U912" s="513"/>
    </row>
    <row r="913" spans="1:21" s="479" customFormat="1" ht="27" x14ac:dyDescent="0.15">
      <c r="A913" s="579"/>
      <c r="B913" s="528" t="s">
        <v>242</v>
      </c>
      <c r="C913" s="517">
        <f>ISAN!I73</f>
        <v>296962.80399483326</v>
      </c>
      <c r="D913" s="517">
        <f t="shared" ref="D913:O913" si="732">$C913*D$25%</f>
        <v>28577.801929162288</v>
      </c>
      <c r="E913" s="517">
        <f t="shared" si="732"/>
        <v>31918.420506932311</v>
      </c>
      <c r="F913" s="517">
        <f t="shared" si="732"/>
        <v>24771.512464487103</v>
      </c>
      <c r="G913" s="517">
        <f t="shared" si="732"/>
        <v>22990.518766473848</v>
      </c>
      <c r="H913" s="517">
        <f t="shared" si="732"/>
        <v>24581.947474916644</v>
      </c>
      <c r="I913" s="517">
        <f t="shared" si="732"/>
        <v>21350.16935123051</v>
      </c>
      <c r="J913" s="517">
        <f t="shared" si="732"/>
        <v>23129.635003675747</v>
      </c>
      <c r="K913" s="517">
        <f t="shared" si="732"/>
        <v>23852.733577375413</v>
      </c>
      <c r="L913" s="517">
        <f t="shared" si="732"/>
        <v>23438.442213355371</v>
      </c>
      <c r="M913" s="517">
        <f t="shared" si="732"/>
        <v>24013.252505908316</v>
      </c>
      <c r="N913" s="517">
        <f t="shared" si="732"/>
        <v>23250.405897726228</v>
      </c>
      <c r="O913" s="517">
        <f t="shared" si="732"/>
        <v>25087.964300025938</v>
      </c>
      <c r="P913" s="511">
        <f t="shared" si="696"/>
        <v>3.5635057429317385E-6</v>
      </c>
      <c r="Q913" s="530">
        <v>18701</v>
      </c>
      <c r="R913" s="480"/>
      <c r="U913" s="513"/>
    </row>
    <row r="914" spans="1:21" s="479" customFormat="1" ht="18" x14ac:dyDescent="0.15">
      <c r="A914" s="579"/>
      <c r="B914" s="528" t="s">
        <v>403</v>
      </c>
      <c r="C914" s="517">
        <f>LOT!I73</f>
        <v>14375.076974986338</v>
      </c>
      <c r="D914" s="517">
        <f t="shared" ref="D914:O914" si="733">$C914*D$26%</f>
        <v>1086.9051611642808</v>
      </c>
      <c r="E914" s="517">
        <f t="shared" si="733"/>
        <v>1071.4990039343645</v>
      </c>
      <c r="F914" s="517">
        <f t="shared" si="733"/>
        <v>1053.1519972663007</v>
      </c>
      <c r="G914" s="517">
        <f t="shared" si="733"/>
        <v>1158.702362482434</v>
      </c>
      <c r="H914" s="517">
        <f t="shared" si="733"/>
        <v>948.02943853846557</v>
      </c>
      <c r="I914" s="517">
        <f t="shared" si="733"/>
        <v>1286.5242825553671</v>
      </c>
      <c r="J914" s="517">
        <f t="shared" si="733"/>
        <v>2952.5718451666507</v>
      </c>
      <c r="K914" s="517">
        <f t="shared" si="733"/>
        <v>1074.8420427117615</v>
      </c>
      <c r="L914" s="517">
        <f t="shared" si="733"/>
        <v>1304.1873111727721</v>
      </c>
      <c r="M914" s="517">
        <f t="shared" si="733"/>
        <v>807.47066881909893</v>
      </c>
      <c r="N914" s="517">
        <f t="shared" si="733"/>
        <v>815.59643050117052</v>
      </c>
      <c r="O914" s="517">
        <f t="shared" si="733"/>
        <v>815.59643050117052</v>
      </c>
      <c r="P914" s="511">
        <f t="shared" si="696"/>
        <v>1.7249976735911332E-7</v>
      </c>
      <c r="Q914" s="530">
        <v>914</v>
      </c>
      <c r="R914" s="480"/>
      <c r="U914" s="513"/>
    </row>
    <row r="915" spans="1:21" s="479" customFormat="1" ht="45" x14ac:dyDescent="0.15">
      <c r="A915" s="579"/>
      <c r="B915" s="518" t="s">
        <v>301</v>
      </c>
      <c r="C915" s="517">
        <f>'ENAJENAC DE INMUE'!I73</f>
        <v>56524.508972254727</v>
      </c>
      <c r="D915" s="517">
        <f t="shared" ref="D915:O915" si="734">$C915*D$27%</f>
        <v>2441.0514846111105</v>
      </c>
      <c r="E915" s="517">
        <f t="shared" si="734"/>
        <v>2477.0057272803524</v>
      </c>
      <c r="F915" s="517">
        <f t="shared" si="734"/>
        <v>2443.6123773447162</v>
      </c>
      <c r="G915" s="517">
        <f t="shared" si="734"/>
        <v>2429.2983766969214</v>
      </c>
      <c r="H915" s="517">
        <f t="shared" si="734"/>
        <v>3369.9007857114711</v>
      </c>
      <c r="I915" s="517">
        <f t="shared" si="734"/>
        <v>2425.579064006547</v>
      </c>
      <c r="J915" s="517">
        <f t="shared" si="734"/>
        <v>2787.6670885787321</v>
      </c>
      <c r="K915" s="517">
        <f t="shared" si="734"/>
        <v>2784.7976384989606</v>
      </c>
      <c r="L915" s="517">
        <f t="shared" si="734"/>
        <v>2781.2698441282446</v>
      </c>
      <c r="M915" s="517">
        <f t="shared" si="734"/>
        <v>2428.900710158096</v>
      </c>
      <c r="N915" s="517">
        <f t="shared" si="734"/>
        <v>10098.475924641676</v>
      </c>
      <c r="O915" s="517">
        <f t="shared" si="734"/>
        <v>20056.94995048485</v>
      </c>
      <c r="P915" s="511">
        <f t="shared" si="696"/>
        <v>1.1305019143037498E-7</v>
      </c>
      <c r="Q915" s="530">
        <v>13330</v>
      </c>
      <c r="R915" s="480"/>
      <c r="U915" s="513"/>
    </row>
    <row r="916" spans="1:21" s="479" customFormat="1" ht="27" x14ac:dyDescent="0.15">
      <c r="A916" s="579"/>
      <c r="B916" s="518" t="s">
        <v>248</v>
      </c>
      <c r="C916" s="517">
        <f>'IMP BEBIDAS AL'!I73</f>
        <v>22092.765112631281</v>
      </c>
      <c r="D916" s="517">
        <f t="shared" ref="D916:O916" si="735">$C916*D$28%</f>
        <v>5023.687013294385</v>
      </c>
      <c r="E916" s="517">
        <f t="shared" si="735"/>
        <v>1727.9658968016706</v>
      </c>
      <c r="F916" s="517">
        <f t="shared" si="735"/>
        <v>1856.9638538345753</v>
      </c>
      <c r="G916" s="517">
        <f t="shared" si="735"/>
        <v>1843.6333285821863</v>
      </c>
      <c r="H916" s="517">
        <f t="shared" si="735"/>
        <v>1174.0345878527942</v>
      </c>
      <c r="I916" s="517">
        <f t="shared" si="735"/>
        <v>1921.3094916605257</v>
      </c>
      <c r="J916" s="517">
        <f t="shared" si="735"/>
        <v>1910.4947247552097</v>
      </c>
      <c r="K916" s="517">
        <f t="shared" si="735"/>
        <v>1747.2868238049055</v>
      </c>
      <c r="L916" s="517">
        <f t="shared" si="735"/>
        <v>1267.1815723649336</v>
      </c>
      <c r="M916" s="517">
        <f t="shared" si="735"/>
        <v>1177.957520135396</v>
      </c>
      <c r="N916" s="517">
        <f t="shared" si="735"/>
        <v>1186.2840410075023</v>
      </c>
      <c r="O916" s="517">
        <f t="shared" si="735"/>
        <v>1255.9662585371984</v>
      </c>
      <c r="P916" s="511">
        <f t="shared" si="696"/>
        <v>0</v>
      </c>
      <c r="Q916" s="530">
        <v>570</v>
      </c>
      <c r="R916" s="480"/>
      <c r="U916" s="513"/>
    </row>
    <row r="917" spans="1:21" s="479" customFormat="1" ht="18" x14ac:dyDescent="0.15">
      <c r="A917" s="579"/>
      <c r="B917" s="518" t="s">
        <v>253</v>
      </c>
      <c r="C917" s="517">
        <f>'FOND GASO Y D'!Q74</f>
        <v>0</v>
      </c>
      <c r="D917" s="517">
        <f t="shared" ref="D917:O917" si="736">$C917*D$29%</f>
        <v>0</v>
      </c>
      <c r="E917" s="517">
        <f t="shared" si="736"/>
        <v>0</v>
      </c>
      <c r="F917" s="517">
        <f t="shared" si="736"/>
        <v>0</v>
      </c>
      <c r="G917" s="517">
        <f t="shared" si="736"/>
        <v>0</v>
      </c>
      <c r="H917" s="517">
        <f t="shared" si="736"/>
        <v>0</v>
      </c>
      <c r="I917" s="517">
        <f t="shared" si="736"/>
        <v>0</v>
      </c>
      <c r="J917" s="517">
        <f t="shared" si="736"/>
        <v>0</v>
      </c>
      <c r="K917" s="517">
        <f t="shared" si="736"/>
        <v>0</v>
      </c>
      <c r="L917" s="517">
        <f t="shared" si="736"/>
        <v>0</v>
      </c>
      <c r="M917" s="517">
        <f t="shared" si="736"/>
        <v>0</v>
      </c>
      <c r="N917" s="517">
        <f t="shared" si="736"/>
        <v>0</v>
      </c>
      <c r="O917" s="517">
        <f t="shared" si="736"/>
        <v>0</v>
      </c>
      <c r="P917" s="511">
        <f t="shared" si="696"/>
        <v>0</v>
      </c>
      <c r="Q917" s="530">
        <v>27509</v>
      </c>
      <c r="R917" s="480"/>
      <c r="U917" s="513"/>
    </row>
    <row r="918" spans="1:21" s="479" customFormat="1" ht="18" x14ac:dyDescent="0.15">
      <c r="A918" s="579"/>
      <c r="B918" s="528" t="s">
        <v>408</v>
      </c>
      <c r="C918" s="519">
        <f>'FOND GASO Y D'!H74</f>
        <v>890960.30659682921</v>
      </c>
      <c r="D918" s="517">
        <f t="shared" ref="D918:O918" si="737">$C918*D$30%</f>
        <v>69308.517352728624</v>
      </c>
      <c r="E918" s="517">
        <f t="shared" si="737"/>
        <v>76203.137439618033</v>
      </c>
      <c r="F918" s="517">
        <f t="shared" si="737"/>
        <v>74191.616795548762</v>
      </c>
      <c r="G918" s="517">
        <f t="shared" si="737"/>
        <v>69131.129780454256</v>
      </c>
      <c r="H918" s="517">
        <f t="shared" si="737"/>
        <v>76172.6237677795</v>
      </c>
      <c r="I918" s="517">
        <f t="shared" si="737"/>
        <v>73515.633060017077</v>
      </c>
      <c r="J918" s="517">
        <f t="shared" si="737"/>
        <v>75048.331925497318</v>
      </c>
      <c r="K918" s="517">
        <f t="shared" si="737"/>
        <v>75003.735939082646</v>
      </c>
      <c r="L918" s="517">
        <f t="shared" si="737"/>
        <v>78050.355656977219</v>
      </c>
      <c r="M918" s="517">
        <f t="shared" si="737"/>
        <v>77364.983712322093</v>
      </c>
      <c r="N918" s="517">
        <f t="shared" si="737"/>
        <v>72304.496697227602</v>
      </c>
      <c r="O918" s="517">
        <f t="shared" si="737"/>
        <v>74665.744470467034</v>
      </c>
      <c r="P918" s="511">
        <f t="shared" si="696"/>
        <v>-8.9088280219584703E-7</v>
      </c>
      <c r="Q918" s="530">
        <v>54450</v>
      </c>
      <c r="R918" s="480"/>
      <c r="U918" s="513"/>
    </row>
    <row r="919" spans="1:21" s="479" customFormat="1" x14ac:dyDescent="0.15">
      <c r="A919" s="579"/>
      <c r="B919" s="534"/>
      <c r="C919" s="521"/>
      <c r="D919" s="522"/>
      <c r="E919" s="522"/>
      <c r="F919" s="522"/>
      <c r="G919" s="522"/>
      <c r="H919" s="522"/>
      <c r="I919" s="522"/>
      <c r="J919" s="522"/>
      <c r="K919" s="522"/>
      <c r="L919" s="522"/>
      <c r="M919" s="522"/>
      <c r="N919" s="522"/>
      <c r="O919" s="522"/>
      <c r="P919" s="511">
        <f t="shared" si="696"/>
        <v>0</v>
      </c>
      <c r="Q919" s="530">
        <v>0</v>
      </c>
      <c r="R919" s="480"/>
      <c r="U919" s="513"/>
    </row>
    <row r="920" spans="1:21" s="479" customFormat="1" x14ac:dyDescent="0.15">
      <c r="A920" s="591"/>
      <c r="B920" s="532"/>
      <c r="C920" s="521"/>
      <c r="D920" s="521"/>
      <c r="E920" s="521"/>
      <c r="F920" s="521"/>
      <c r="G920" s="521"/>
      <c r="H920" s="521"/>
      <c r="I920" s="521"/>
      <c r="J920" s="521"/>
      <c r="K920" s="521"/>
      <c r="L920" s="521"/>
      <c r="M920" s="521"/>
      <c r="N920" s="521"/>
      <c r="O920" s="521"/>
      <c r="P920" s="511">
        <f t="shared" si="696"/>
        <v>0</v>
      </c>
      <c r="Q920" s="530">
        <v>0</v>
      </c>
      <c r="R920" s="480"/>
      <c r="U920" s="513"/>
    </row>
    <row r="921" spans="1:21" s="479" customFormat="1" x14ac:dyDescent="0.15">
      <c r="A921" s="576">
        <v>60</v>
      </c>
      <c r="B921" s="533" t="s">
        <v>137</v>
      </c>
      <c r="C921" s="524">
        <f t="shared" ref="C921:O921" si="738">SUM(C922:C933)</f>
        <v>32190127.37040402</v>
      </c>
      <c r="D921" s="524">
        <f t="shared" si="738"/>
        <v>2527990.5244687432</v>
      </c>
      <c r="E921" s="524">
        <f t="shared" si="738"/>
        <v>3386757.0909711914</v>
      </c>
      <c r="F921" s="524">
        <f t="shared" si="738"/>
        <v>2196669.9253831985</v>
      </c>
      <c r="G921" s="524">
        <f t="shared" si="738"/>
        <v>2868168.0161397941</v>
      </c>
      <c r="H921" s="524">
        <f t="shared" si="738"/>
        <v>3244449.7806321252</v>
      </c>
      <c r="I921" s="524">
        <f t="shared" si="738"/>
        <v>3183596.6442560339</v>
      </c>
      <c r="J921" s="524">
        <f t="shared" si="738"/>
        <v>2708596.5283550001</v>
      </c>
      <c r="K921" s="524">
        <f t="shared" si="738"/>
        <v>2637677.9545865036</v>
      </c>
      <c r="L921" s="524">
        <f t="shared" si="738"/>
        <v>2546597.1708406592</v>
      </c>
      <c r="M921" s="524">
        <f t="shared" si="738"/>
        <v>1913321.9111402808</v>
      </c>
      <c r="N921" s="524">
        <f t="shared" si="738"/>
        <v>2476197.3915914791</v>
      </c>
      <c r="O921" s="524">
        <f t="shared" si="738"/>
        <v>2500104.4319467032</v>
      </c>
      <c r="P921" s="511">
        <f t="shared" si="696"/>
        <v>9.2307105660438538E-5</v>
      </c>
      <c r="Q921" s="530">
        <v>1912515</v>
      </c>
      <c r="R921" s="480"/>
      <c r="T921" s="512"/>
      <c r="U921" s="513"/>
    </row>
    <row r="922" spans="1:21" s="479" customFormat="1" x14ac:dyDescent="0.15">
      <c r="A922" s="579"/>
      <c r="B922" s="528" t="s">
        <v>294</v>
      </c>
      <c r="C922" s="517">
        <f>'FG1'!I75</f>
        <v>21847175.910417181</v>
      </c>
      <c r="D922" s="517">
        <f t="shared" ref="D922:O922" si="739">$C922*D$19%</f>
        <v>1652404.5649615708</v>
      </c>
      <c r="E922" s="517">
        <f t="shared" si="739"/>
        <v>2367482.1579642044</v>
      </c>
      <c r="F922" s="517">
        <f t="shared" si="739"/>
        <v>1530330.4226457265</v>
      </c>
      <c r="G922" s="517">
        <f t="shared" si="739"/>
        <v>1879855.8712435127</v>
      </c>
      <c r="H922" s="517">
        <f t="shared" si="739"/>
        <v>2295714.7725908915</v>
      </c>
      <c r="I922" s="517">
        <f t="shared" si="739"/>
        <v>2250610.7166480385</v>
      </c>
      <c r="J922" s="517">
        <f t="shared" si="739"/>
        <v>1744681.5168206641</v>
      </c>
      <c r="K922" s="517">
        <f t="shared" si="739"/>
        <v>1852388.9576997319</v>
      </c>
      <c r="L922" s="517">
        <f t="shared" si="739"/>
        <v>1740786.1671473053</v>
      </c>
      <c r="M922" s="517">
        <f t="shared" si="739"/>
        <v>1154007.446700912</v>
      </c>
      <c r="N922" s="517">
        <f t="shared" si="739"/>
        <v>1684215.048007529</v>
      </c>
      <c r="O922" s="517">
        <f t="shared" si="739"/>
        <v>1694698.2679652469</v>
      </c>
      <c r="P922" s="511">
        <f t="shared" si="696"/>
        <v>2.1848129108548164E-5</v>
      </c>
      <c r="Q922" s="530">
        <v>1312381</v>
      </c>
      <c r="R922" s="480"/>
      <c r="U922" s="513"/>
    </row>
    <row r="923" spans="1:21" s="479" customFormat="1" x14ac:dyDescent="0.15">
      <c r="A923" s="579"/>
      <c r="B923" s="528" t="s">
        <v>296</v>
      </c>
      <c r="C923" s="517">
        <f>FFM!J75</f>
        <v>5872431.2152350266</v>
      </c>
      <c r="D923" s="517">
        <f t="shared" ref="D923:O923" si="740">$C923*D$20%</f>
        <v>444091.68757774268</v>
      </c>
      <c r="E923" s="517">
        <f t="shared" si="740"/>
        <v>636677.59043158917</v>
      </c>
      <c r="F923" s="517">
        <f t="shared" si="740"/>
        <v>411214.47576344584</v>
      </c>
      <c r="G923" s="517">
        <f t="shared" si="740"/>
        <v>505349.25838028995</v>
      </c>
      <c r="H923" s="517">
        <f t="shared" si="740"/>
        <v>617349.07883891743</v>
      </c>
      <c r="I923" s="517">
        <f t="shared" si="740"/>
        <v>605201.57666801626</v>
      </c>
      <c r="J923" s="517">
        <f t="shared" si="740"/>
        <v>468902.75785094395</v>
      </c>
      <c r="K923" s="517">
        <f t="shared" si="740"/>
        <v>497910.70756816457</v>
      </c>
      <c r="L923" s="517">
        <f t="shared" si="740"/>
        <v>467853.65320557135</v>
      </c>
      <c r="M923" s="517">
        <f t="shared" si="740"/>
        <v>309821.41857939336</v>
      </c>
      <c r="N923" s="517">
        <f t="shared" si="740"/>
        <v>452617.82541172259</v>
      </c>
      <c r="O923" s="517">
        <f t="shared" si="740"/>
        <v>455441.18488876027</v>
      </c>
      <c r="P923" s="511">
        <f t="shared" si="696"/>
        <v>7.0468522608280182E-5</v>
      </c>
      <c r="Q923" s="530">
        <v>401809</v>
      </c>
      <c r="R923" s="480"/>
      <c r="U923" s="513"/>
    </row>
    <row r="924" spans="1:21" s="479" customFormat="1" ht="18" x14ac:dyDescent="0.15">
      <c r="A924" s="579"/>
      <c r="B924" s="528" t="s">
        <v>297</v>
      </c>
      <c r="C924" s="517">
        <f>IEPS!I74</f>
        <v>528352.11560107546</v>
      </c>
      <c r="D924" s="517">
        <f t="shared" ref="D924:O924" si="741">$C924*D$21%</f>
        <v>37111.35798569279</v>
      </c>
      <c r="E924" s="517">
        <f t="shared" si="741"/>
        <v>84825.678778031477</v>
      </c>
      <c r="F924" s="517">
        <f t="shared" si="741"/>
        <v>35233.178172544263</v>
      </c>
      <c r="G924" s="517">
        <f t="shared" si="741"/>
        <v>34241.715421158129</v>
      </c>
      <c r="H924" s="517">
        <f t="shared" si="741"/>
        <v>37804.73755175672</v>
      </c>
      <c r="I924" s="517">
        <f t="shared" si="741"/>
        <v>39204.266019335402</v>
      </c>
      <c r="J924" s="517">
        <f t="shared" si="741"/>
        <v>40373.146740848781</v>
      </c>
      <c r="K924" s="517">
        <f t="shared" si="741"/>
        <v>44721.626899429015</v>
      </c>
      <c r="L924" s="517">
        <f t="shared" si="741"/>
        <v>44815.3390456372</v>
      </c>
      <c r="M924" s="517">
        <f t="shared" si="741"/>
        <v>44317.249996109233</v>
      </c>
      <c r="N924" s="517">
        <f t="shared" si="741"/>
        <v>42884.434500940995</v>
      </c>
      <c r="O924" s="517">
        <f t="shared" si="741"/>
        <v>42819.384489063093</v>
      </c>
      <c r="P924" s="511">
        <f t="shared" si="696"/>
        <v>5.2833638619631529E-7</v>
      </c>
      <c r="Q924" s="530">
        <v>33895</v>
      </c>
      <c r="R924" s="480"/>
      <c r="U924" s="513"/>
    </row>
    <row r="925" spans="1:21" s="479" customFormat="1" x14ac:dyDescent="0.15">
      <c r="A925" s="579"/>
      <c r="B925" s="528" t="s">
        <v>236</v>
      </c>
      <c r="C925" s="517">
        <f>ISR!C65</f>
        <v>1525516.52</v>
      </c>
      <c r="D925" s="517">
        <f>ISR!D65</f>
        <v>138405.51659505942</v>
      </c>
      <c r="E925" s="517">
        <f>ISR!E65</f>
        <v>138881.13692700121</v>
      </c>
      <c r="F925" s="517">
        <f>ISR!F65</f>
        <v>70757.100376477785</v>
      </c>
      <c r="G925" s="517">
        <f>ISR!G65</f>
        <v>141545.72334805518</v>
      </c>
      <c r="H925" s="517">
        <f>ISR!H65</f>
        <v>142491.40120103883</v>
      </c>
      <c r="I925" s="517">
        <f>ISR!I65</f>
        <v>143559.46089382036</v>
      </c>
      <c r="J925" s="517">
        <f>ISR!J65</f>
        <v>89974.757765345814</v>
      </c>
      <c r="K925" s="517">
        <f>ISR!K65</f>
        <v>93423.700523286316</v>
      </c>
      <c r="L925" s="517">
        <f>ISR!L65</f>
        <v>141545.72334805518</v>
      </c>
      <c r="M925" s="517">
        <f>ISR!M65</f>
        <v>142491.40120103883</v>
      </c>
      <c r="N925" s="517">
        <f>ISR!N65</f>
        <v>143559.46089382036</v>
      </c>
      <c r="O925" s="517">
        <f>ISR!O65</f>
        <v>138881.13692700121</v>
      </c>
      <c r="P925" s="511">
        <f t="shared" si="696"/>
        <v>-5.8207660913467407E-10</v>
      </c>
      <c r="Q925" s="530">
        <v>0</v>
      </c>
      <c r="R925" s="480"/>
      <c r="U925" s="513"/>
    </row>
    <row r="926" spans="1:21" s="479" customFormat="1" ht="18" x14ac:dyDescent="0.15">
      <c r="A926" s="579"/>
      <c r="B926" s="528" t="s">
        <v>298</v>
      </c>
      <c r="C926" s="517">
        <f>FOFIR!I74</f>
        <v>1021830.3911974655</v>
      </c>
      <c r="D926" s="517">
        <f t="shared" ref="D926:O926" si="742">$C926*D$23%</f>
        <v>139700.04833841958</v>
      </c>
      <c r="E926" s="517">
        <f t="shared" si="742"/>
        <v>35542.599848913051</v>
      </c>
      <c r="F926" s="517">
        <f t="shared" si="742"/>
        <v>35542.599848913051</v>
      </c>
      <c r="G926" s="517">
        <f t="shared" si="742"/>
        <v>200578.77672094415</v>
      </c>
      <c r="H926" s="517">
        <f t="shared" si="742"/>
        <v>35542.599848913051</v>
      </c>
      <c r="I926" s="517">
        <f t="shared" si="742"/>
        <v>35542.599848913051</v>
      </c>
      <c r="J926" s="517">
        <f t="shared" si="742"/>
        <v>249487.67862894927</v>
      </c>
      <c r="K926" s="517">
        <f t="shared" si="742"/>
        <v>35542.599848913051</v>
      </c>
      <c r="L926" s="517">
        <f t="shared" si="742"/>
        <v>35542.599848913051</v>
      </c>
      <c r="M926" s="517">
        <f t="shared" si="742"/>
        <v>147723.0887219354</v>
      </c>
      <c r="N926" s="517">
        <f t="shared" si="742"/>
        <v>35542.599848913051</v>
      </c>
      <c r="O926" s="517">
        <f t="shared" si="742"/>
        <v>35542.599848913051</v>
      </c>
      <c r="P926" s="511">
        <f t="shared" si="696"/>
        <v>-4.0872691897675395E-6</v>
      </c>
      <c r="Q926" s="530">
        <v>39923</v>
      </c>
      <c r="R926" s="480"/>
      <c r="U926" s="513"/>
    </row>
    <row r="927" spans="1:21" s="479" customFormat="1" ht="27" x14ac:dyDescent="0.15">
      <c r="A927" s="579"/>
      <c r="B927" s="528" t="s">
        <v>407</v>
      </c>
      <c r="C927" s="517">
        <f>FCISAN!I74</f>
        <v>64867.069291023174</v>
      </c>
      <c r="D927" s="517">
        <f t="shared" ref="D927:O927" si="743">$C927*D$24%</f>
        <v>5405.5891075636428</v>
      </c>
      <c r="E927" s="517">
        <f t="shared" si="743"/>
        <v>5405.5891075636428</v>
      </c>
      <c r="F927" s="517">
        <f t="shared" si="743"/>
        <v>5405.5891075636428</v>
      </c>
      <c r="G927" s="517">
        <f t="shared" si="743"/>
        <v>5405.5891075636428</v>
      </c>
      <c r="H927" s="517">
        <f t="shared" si="743"/>
        <v>5405.5891075636428</v>
      </c>
      <c r="I927" s="517">
        <f t="shared" si="743"/>
        <v>5405.5891075636428</v>
      </c>
      <c r="J927" s="517">
        <f t="shared" si="743"/>
        <v>5405.5891075636428</v>
      </c>
      <c r="K927" s="517">
        <f t="shared" si="743"/>
        <v>5405.5891075636428</v>
      </c>
      <c r="L927" s="517">
        <f t="shared" si="743"/>
        <v>5405.5891075636428</v>
      </c>
      <c r="M927" s="517">
        <f t="shared" si="743"/>
        <v>5405.5891075636428</v>
      </c>
      <c r="N927" s="517">
        <f t="shared" si="743"/>
        <v>5405.5891075636428</v>
      </c>
      <c r="O927" s="517">
        <f t="shared" si="743"/>
        <v>5405.5891075636428</v>
      </c>
      <c r="P927" s="511">
        <f t="shared" si="696"/>
        <v>2.5944245862774551E-7</v>
      </c>
      <c r="Q927" s="530">
        <v>4744</v>
      </c>
      <c r="R927" s="480"/>
      <c r="U927" s="513"/>
    </row>
    <row r="928" spans="1:21" s="479" customFormat="1" ht="27" x14ac:dyDescent="0.15">
      <c r="A928" s="579"/>
      <c r="B928" s="528" t="s">
        <v>242</v>
      </c>
      <c r="C928" s="517">
        <f>ISAN!I74</f>
        <v>324018.61842268694</v>
      </c>
      <c r="D928" s="517">
        <f t="shared" ref="D928:O928" si="744">$C928*D$25%</f>
        <v>31181.480556081591</v>
      </c>
      <c r="E928" s="517">
        <f t="shared" si="744"/>
        <v>34826.457643060596</v>
      </c>
      <c r="F928" s="517">
        <f t="shared" si="744"/>
        <v>27028.406039441656</v>
      </c>
      <c r="G928" s="517">
        <f t="shared" si="744"/>
        <v>25085.148804236509</v>
      </c>
      <c r="H928" s="517">
        <f t="shared" si="744"/>
        <v>26821.570081551792</v>
      </c>
      <c r="I928" s="517">
        <f t="shared" si="744"/>
        <v>23295.349731397557</v>
      </c>
      <c r="J928" s="517">
        <f t="shared" si="744"/>
        <v>25236.939703204134</v>
      </c>
      <c r="K928" s="517">
        <f t="shared" si="744"/>
        <v>26025.918651684355</v>
      </c>
      <c r="L928" s="517">
        <f t="shared" si="744"/>
        <v>25573.881852501381</v>
      </c>
      <c r="M928" s="517">
        <f t="shared" si="744"/>
        <v>26201.062207558192</v>
      </c>
      <c r="N928" s="517">
        <f t="shared" si="744"/>
        <v>25368.713843633486</v>
      </c>
      <c r="O928" s="517">
        <f t="shared" si="744"/>
        <v>27373.689304447467</v>
      </c>
      <c r="P928" s="511">
        <f t="shared" si="696"/>
        <v>3.8882826629560441E-6</v>
      </c>
      <c r="Q928" s="530">
        <v>20400</v>
      </c>
      <c r="R928" s="480"/>
      <c r="U928" s="513"/>
    </row>
    <row r="929" spans="1:21" s="479" customFormat="1" ht="18" x14ac:dyDescent="0.15">
      <c r="A929" s="579"/>
      <c r="B929" s="528" t="s">
        <v>403</v>
      </c>
      <c r="C929" s="517">
        <f>LOT!I74</f>
        <v>15684.767649337964</v>
      </c>
      <c r="D929" s="517">
        <f t="shared" ref="D929:O929" si="745">$C929*D$26%</f>
        <v>1185.9313824470273</v>
      </c>
      <c r="E929" s="517">
        <f t="shared" si="745"/>
        <v>1169.121594440961</v>
      </c>
      <c r="F929" s="517">
        <f t="shared" si="745"/>
        <v>1149.1030208256564</v>
      </c>
      <c r="G929" s="517">
        <f t="shared" si="745"/>
        <v>1264.2699139559372</v>
      </c>
      <c r="H929" s="517">
        <f t="shared" si="745"/>
        <v>1034.4029109605719</v>
      </c>
      <c r="I929" s="517">
        <f t="shared" si="745"/>
        <v>1403.7374883087423</v>
      </c>
      <c r="J929" s="517">
        <f t="shared" si="745"/>
        <v>3221.5760263405473</v>
      </c>
      <c r="K929" s="517">
        <f t="shared" si="745"/>
        <v>1172.7692122281517</v>
      </c>
      <c r="L929" s="517">
        <f t="shared" si="745"/>
        <v>1423.0097677079884</v>
      </c>
      <c r="M929" s="517">
        <f t="shared" si="745"/>
        <v>881.03805260459342</v>
      </c>
      <c r="N929" s="517">
        <f t="shared" si="745"/>
        <v>889.90413966478513</v>
      </c>
      <c r="O929" s="517">
        <f t="shared" si="745"/>
        <v>889.90413966478513</v>
      </c>
      <c r="P929" s="511">
        <f t="shared" si="696"/>
        <v>1.8821629055310041E-7</v>
      </c>
      <c r="Q929" s="530">
        <v>996</v>
      </c>
      <c r="R929" s="480"/>
      <c r="U929" s="513"/>
    </row>
    <row r="930" spans="1:21" s="479" customFormat="1" ht="45" x14ac:dyDescent="0.15">
      <c r="A930" s="579"/>
      <c r="B930" s="518" t="s">
        <v>301</v>
      </c>
      <c r="C930" s="517">
        <f>'ENAJENAC DE INMUE'!I74</f>
        <v>61674.36816271914</v>
      </c>
      <c r="D930" s="517">
        <f t="shared" ref="D930:O930" si="746">$C930*D$27%</f>
        <v>2663.4518495323146</v>
      </c>
      <c r="E930" s="517">
        <f t="shared" si="746"/>
        <v>2702.6818267530457</v>
      </c>
      <c r="F930" s="517">
        <f t="shared" si="746"/>
        <v>2666.2460611787201</v>
      </c>
      <c r="G930" s="517">
        <f t="shared" si="746"/>
        <v>2650.6279344247691</v>
      </c>
      <c r="H930" s="517">
        <f t="shared" si="746"/>
        <v>3676.9271508722545</v>
      </c>
      <c r="I930" s="517">
        <f t="shared" si="746"/>
        <v>2646.5697609996623</v>
      </c>
      <c r="J930" s="517">
        <f t="shared" si="746"/>
        <v>3041.6470565094414</v>
      </c>
      <c r="K930" s="517">
        <f t="shared" si="746"/>
        <v>3038.5161753419247</v>
      </c>
      <c r="L930" s="517">
        <f t="shared" si="746"/>
        <v>3034.6669691696302</v>
      </c>
      <c r="M930" s="517">
        <f t="shared" si="746"/>
        <v>2650.1940371124801</v>
      </c>
      <c r="N930" s="517">
        <f t="shared" si="746"/>
        <v>11018.532197500706</v>
      </c>
      <c r="O930" s="517">
        <f t="shared" si="746"/>
        <v>21884.30714320084</v>
      </c>
      <c r="P930" s="511">
        <f t="shared" si="696"/>
        <v>1.233565853908658E-7</v>
      </c>
      <c r="Q930" s="530">
        <v>14540</v>
      </c>
      <c r="R930" s="480"/>
      <c r="U930" s="513"/>
    </row>
    <row r="931" spans="1:21" s="479" customFormat="1" ht="27" x14ac:dyDescent="0.15">
      <c r="A931" s="579"/>
      <c r="B931" s="518" t="s">
        <v>248</v>
      </c>
      <c r="C931" s="517">
        <f>'IMP BEBIDAS AL'!I74</f>
        <v>24105.602225712661</v>
      </c>
      <c r="D931" s="517">
        <f t="shared" ref="D931:O931" si="747">$C931*D$28%</f>
        <v>5481.3872429085841</v>
      </c>
      <c r="E931" s="517">
        <f t="shared" si="747"/>
        <v>1885.3981543524819</v>
      </c>
      <c r="F931" s="517">
        <f t="shared" si="747"/>
        <v>2026.1489125446701</v>
      </c>
      <c r="G931" s="517">
        <f t="shared" si="747"/>
        <v>2011.6038640839781</v>
      </c>
      <c r="H931" s="517">
        <f t="shared" si="747"/>
        <v>1280.9990342868989</v>
      </c>
      <c r="I931" s="517">
        <f t="shared" si="747"/>
        <v>2096.3569803209084</v>
      </c>
      <c r="J931" s="517">
        <f t="shared" si="747"/>
        <v>2084.5568969970559</v>
      </c>
      <c r="K931" s="517">
        <f t="shared" si="747"/>
        <v>1906.4793806542873</v>
      </c>
      <c r="L931" s="517">
        <f t="shared" si="747"/>
        <v>1382.6324941877824</v>
      </c>
      <c r="M931" s="517">
        <f t="shared" si="747"/>
        <v>1285.2793787653154</v>
      </c>
      <c r="N931" s="517">
        <f t="shared" si="747"/>
        <v>1294.364515869875</v>
      </c>
      <c r="O931" s="517">
        <f t="shared" si="747"/>
        <v>1370.3953707408241</v>
      </c>
      <c r="P931" s="511">
        <f t="shared" si="696"/>
        <v>0</v>
      </c>
      <c r="Q931" s="530">
        <v>623</v>
      </c>
      <c r="R931" s="480"/>
      <c r="U931" s="513"/>
    </row>
    <row r="932" spans="1:21" s="479" customFormat="1" ht="18" x14ac:dyDescent="0.15">
      <c r="A932" s="579"/>
      <c r="B932" s="518" t="s">
        <v>253</v>
      </c>
      <c r="C932" s="517">
        <f>'FOND GASO Y D'!Q75</f>
        <v>0</v>
      </c>
      <c r="D932" s="517">
        <f t="shared" ref="D932:O932" si="748">$C932*D$29%</f>
        <v>0</v>
      </c>
      <c r="E932" s="517">
        <f t="shared" si="748"/>
        <v>0</v>
      </c>
      <c r="F932" s="517">
        <f t="shared" si="748"/>
        <v>0</v>
      </c>
      <c r="G932" s="517">
        <f t="shared" si="748"/>
        <v>0</v>
      </c>
      <c r="H932" s="517">
        <f t="shared" si="748"/>
        <v>0</v>
      </c>
      <c r="I932" s="517">
        <f t="shared" si="748"/>
        <v>0</v>
      </c>
      <c r="J932" s="517">
        <f t="shared" si="748"/>
        <v>0</v>
      </c>
      <c r="K932" s="517">
        <f t="shared" si="748"/>
        <v>0</v>
      </c>
      <c r="L932" s="517">
        <f t="shared" si="748"/>
        <v>0</v>
      </c>
      <c r="M932" s="517">
        <f t="shared" si="748"/>
        <v>0</v>
      </c>
      <c r="N932" s="517">
        <f t="shared" si="748"/>
        <v>0</v>
      </c>
      <c r="O932" s="517">
        <f t="shared" si="748"/>
        <v>0</v>
      </c>
      <c r="P932" s="511">
        <f t="shared" ref="P932:P995" si="749">C932-D932-E932-F932-G932-H932-I932-J932-K932-L932-M932-N932-O932</f>
        <v>0</v>
      </c>
      <c r="Q932" s="530">
        <v>27927</v>
      </c>
      <c r="R932" s="480"/>
      <c r="U932" s="513"/>
    </row>
    <row r="933" spans="1:21" s="479" customFormat="1" ht="18" x14ac:dyDescent="0.15">
      <c r="A933" s="579"/>
      <c r="B933" s="528" t="s">
        <v>408</v>
      </c>
      <c r="C933" s="519">
        <f>'FOND GASO Y D'!H75</f>
        <v>904470.79220179515</v>
      </c>
      <c r="D933" s="517">
        <f t="shared" ref="D933:O933" si="750">$C933*D$30%</f>
        <v>70359.508871724887</v>
      </c>
      <c r="E933" s="517">
        <f t="shared" si="750"/>
        <v>77358.678695281487</v>
      </c>
      <c r="F933" s="517">
        <f t="shared" si="750"/>
        <v>75316.655434536064</v>
      </c>
      <c r="G933" s="517">
        <f t="shared" si="750"/>
        <v>70179.43140156845</v>
      </c>
      <c r="H933" s="517">
        <f t="shared" si="750"/>
        <v>77327.70231537272</v>
      </c>
      <c r="I933" s="517">
        <f t="shared" si="750"/>
        <v>74630.421109319897</v>
      </c>
      <c r="J933" s="517">
        <f t="shared" si="750"/>
        <v>76186.361757633218</v>
      </c>
      <c r="K933" s="517">
        <f t="shared" si="750"/>
        <v>76141.089519506728</v>
      </c>
      <c r="L933" s="517">
        <f t="shared" si="750"/>
        <v>79233.908054046289</v>
      </c>
      <c r="M933" s="517">
        <f t="shared" si="750"/>
        <v>78538.143157287966</v>
      </c>
      <c r="N933" s="517">
        <f t="shared" si="750"/>
        <v>73400.919124320353</v>
      </c>
      <c r="O933" s="517">
        <f t="shared" si="750"/>
        <v>75797.972762101563</v>
      </c>
      <c r="P933" s="511">
        <f t="shared" si="749"/>
        <v>-9.0445973910391331E-7</v>
      </c>
      <c r="Q933" s="530">
        <v>55277</v>
      </c>
      <c r="R933" s="480"/>
      <c r="U933" s="513"/>
    </row>
    <row r="934" spans="1:21" s="479" customFormat="1" x14ac:dyDescent="0.15">
      <c r="A934" s="579"/>
      <c r="B934" s="534"/>
      <c r="C934" s="521"/>
      <c r="D934" s="522"/>
      <c r="E934" s="522"/>
      <c r="F934" s="522"/>
      <c r="G934" s="522"/>
      <c r="H934" s="522"/>
      <c r="I934" s="522"/>
      <c r="J934" s="522"/>
      <c r="K934" s="522"/>
      <c r="L934" s="522"/>
      <c r="M934" s="522"/>
      <c r="N934" s="522"/>
      <c r="O934" s="522"/>
      <c r="P934" s="511">
        <f t="shared" si="749"/>
        <v>0</v>
      </c>
      <c r="Q934" s="530">
        <v>0</v>
      </c>
      <c r="R934" s="480"/>
      <c r="U934" s="513"/>
    </row>
    <row r="935" spans="1:21" s="479" customFormat="1" x14ac:dyDescent="0.15">
      <c r="A935" s="591"/>
      <c r="B935" s="532"/>
      <c r="C935" s="521"/>
      <c r="D935" s="521"/>
      <c r="E935" s="521"/>
      <c r="F935" s="521"/>
      <c r="G935" s="521"/>
      <c r="H935" s="521"/>
      <c r="I935" s="521"/>
      <c r="J935" s="521"/>
      <c r="K935" s="521"/>
      <c r="L935" s="521"/>
      <c r="M935" s="521"/>
      <c r="N935" s="521"/>
      <c r="O935" s="521"/>
      <c r="P935" s="511">
        <f t="shared" si="749"/>
        <v>0</v>
      </c>
      <c r="Q935" s="530">
        <v>0</v>
      </c>
      <c r="R935" s="480"/>
      <c r="U935" s="513"/>
    </row>
    <row r="936" spans="1:21" s="479" customFormat="1" x14ac:dyDescent="0.15">
      <c r="A936" s="576">
        <v>61</v>
      </c>
      <c r="B936" s="533" t="s">
        <v>135</v>
      </c>
      <c r="C936" s="524">
        <f t="shared" ref="C936:O936" si="751">SUM(C937:C948)</f>
        <v>54122376.704139441</v>
      </c>
      <c r="D936" s="524">
        <f t="shared" si="751"/>
        <v>4223521.3796524452</v>
      </c>
      <c r="E936" s="524">
        <f t="shared" si="751"/>
        <v>5728732.2650275482</v>
      </c>
      <c r="F936" s="524">
        <f t="shared" si="751"/>
        <v>3763989.6810157546</v>
      </c>
      <c r="G936" s="524">
        <f t="shared" si="751"/>
        <v>4814767.1067691771</v>
      </c>
      <c r="H936" s="524">
        <f t="shared" si="751"/>
        <v>5470157.8306626622</v>
      </c>
      <c r="I936" s="524">
        <f t="shared" si="751"/>
        <v>5360552.3749603936</v>
      </c>
      <c r="J936" s="524">
        <f t="shared" si="751"/>
        <v>4623803.6393244062</v>
      </c>
      <c r="K936" s="524">
        <f t="shared" si="751"/>
        <v>4479237.7491154056</v>
      </c>
      <c r="L936" s="524">
        <f t="shared" si="751"/>
        <v>4228848.7376802843</v>
      </c>
      <c r="M936" s="524">
        <f t="shared" si="751"/>
        <v>3137023.8614056474</v>
      </c>
      <c r="N936" s="524">
        <f t="shared" si="751"/>
        <v>4121812.1857964126</v>
      </c>
      <c r="O936" s="524">
        <f t="shared" si="751"/>
        <v>4169929.8925672532</v>
      </c>
      <c r="P936" s="511">
        <f t="shared" si="749"/>
        <v>1.6206083819270134E-4</v>
      </c>
      <c r="Q936" s="530">
        <v>3334456</v>
      </c>
      <c r="R936" s="480"/>
      <c r="T936" s="512"/>
      <c r="U936" s="513"/>
    </row>
    <row r="937" spans="1:21" s="479" customFormat="1" x14ac:dyDescent="0.15">
      <c r="A937" s="579"/>
      <c r="B937" s="528" t="s">
        <v>294</v>
      </c>
      <c r="C937" s="517">
        <f>'FG1'!I76</f>
        <v>38312074.311603658</v>
      </c>
      <c r="D937" s="517">
        <f t="shared" ref="D937:O937" si="752">$C937*D$19%</f>
        <v>2897722.1928008883</v>
      </c>
      <c r="E937" s="517">
        <f t="shared" si="752"/>
        <v>4151710.6256315387</v>
      </c>
      <c r="F937" s="517">
        <f t="shared" si="752"/>
        <v>2683648.1343913591</v>
      </c>
      <c r="G937" s="517">
        <f t="shared" si="752"/>
        <v>3296589.8260490834</v>
      </c>
      <c r="H937" s="517">
        <f t="shared" si="752"/>
        <v>4025856.4917679108</v>
      </c>
      <c r="I937" s="517">
        <f t="shared" si="752"/>
        <v>3946760.2300761035</v>
      </c>
      <c r="J937" s="517">
        <f t="shared" si="752"/>
        <v>3059542.7160287048</v>
      </c>
      <c r="K937" s="517">
        <f t="shared" si="752"/>
        <v>3248422.7568995208</v>
      </c>
      <c r="L937" s="517">
        <f t="shared" si="752"/>
        <v>3052711.6763205365</v>
      </c>
      <c r="M937" s="517">
        <f t="shared" si="752"/>
        <v>2023713.2357719492</v>
      </c>
      <c r="N937" s="517">
        <f t="shared" si="752"/>
        <v>2953506.3177304473</v>
      </c>
      <c r="O937" s="517">
        <f t="shared" si="752"/>
        <v>2971890.1080973051</v>
      </c>
      <c r="P937" s="511">
        <f t="shared" si="749"/>
        <v>3.8314145058393478E-5</v>
      </c>
      <c r="Q937" s="530">
        <v>2299153</v>
      </c>
      <c r="R937" s="480"/>
      <c r="U937" s="513"/>
    </row>
    <row r="938" spans="1:21" s="479" customFormat="1" x14ac:dyDescent="0.15">
      <c r="A938" s="579"/>
      <c r="B938" s="528" t="s">
        <v>296</v>
      </c>
      <c r="C938" s="517">
        <f>FFM!J76</f>
        <v>10298128.326992955</v>
      </c>
      <c r="D938" s="517">
        <f t="shared" ref="D938:O938" si="753">$C938*D$20%</f>
        <v>778776.79959226632</v>
      </c>
      <c r="E938" s="517">
        <f t="shared" si="753"/>
        <v>1116503.0783460201</v>
      </c>
      <c r="F938" s="517">
        <f t="shared" si="753"/>
        <v>721122.0167794876</v>
      </c>
      <c r="G938" s="517">
        <f t="shared" si="753"/>
        <v>886200.50572063879</v>
      </c>
      <c r="H938" s="517">
        <f t="shared" si="753"/>
        <v>1082607.8336925434</v>
      </c>
      <c r="I938" s="517">
        <f t="shared" si="753"/>
        <v>1061305.4920178</v>
      </c>
      <c r="J938" s="517">
        <f t="shared" si="753"/>
        <v>822286.47663038911</v>
      </c>
      <c r="K938" s="517">
        <f t="shared" si="753"/>
        <v>873155.96794361202</v>
      </c>
      <c r="L938" s="517">
        <f t="shared" si="753"/>
        <v>820446.72510831722</v>
      </c>
      <c r="M938" s="517">
        <f t="shared" si="753"/>
        <v>543315.12963560503</v>
      </c>
      <c r="N938" s="517">
        <f t="shared" si="753"/>
        <v>793728.57311328501</v>
      </c>
      <c r="O938" s="517">
        <f t="shared" si="753"/>
        <v>798679.72828941292</v>
      </c>
      <c r="P938" s="511">
        <f t="shared" si="749"/>
        <v>1.2357847299426794E-4</v>
      </c>
      <c r="Q938" s="530">
        <v>703926</v>
      </c>
      <c r="R938" s="480"/>
      <c r="U938" s="513"/>
    </row>
    <row r="939" spans="1:21" s="479" customFormat="1" ht="18" x14ac:dyDescent="0.15">
      <c r="A939" s="579"/>
      <c r="B939" s="528" t="s">
        <v>297</v>
      </c>
      <c r="C939" s="517">
        <f>IEPS!I75</f>
        <v>926539.22862174036</v>
      </c>
      <c r="D939" s="517">
        <f t="shared" ref="D939:O939" si="754">$C939*D$21%</f>
        <v>65079.949499305214</v>
      </c>
      <c r="E939" s="517">
        <f t="shared" si="754"/>
        <v>148753.67517531491</v>
      </c>
      <c r="F939" s="517">
        <f t="shared" si="754"/>
        <v>61786.298875217472</v>
      </c>
      <c r="G939" s="517">
        <f t="shared" si="754"/>
        <v>60047.630464982329</v>
      </c>
      <c r="H939" s="517">
        <f t="shared" si="754"/>
        <v>66295.887411377509</v>
      </c>
      <c r="I939" s="517">
        <f t="shared" si="754"/>
        <v>68750.156048703429</v>
      </c>
      <c r="J939" s="517">
        <f t="shared" si="754"/>
        <v>70799.951649180482</v>
      </c>
      <c r="K939" s="517">
        <f t="shared" si="754"/>
        <v>78425.618951040859</v>
      </c>
      <c r="L939" s="517">
        <f t="shared" si="754"/>
        <v>78589.95628801061</v>
      </c>
      <c r="M939" s="517">
        <f t="shared" si="754"/>
        <v>77716.487572531812</v>
      </c>
      <c r="N939" s="517">
        <f t="shared" si="754"/>
        <v>75203.845483193028</v>
      </c>
      <c r="O939" s="517">
        <f t="shared" si="754"/>
        <v>75089.77120195613</v>
      </c>
      <c r="P939" s="511">
        <f t="shared" si="749"/>
        <v>9.2659320216625929E-7</v>
      </c>
      <c r="Q939" s="530">
        <v>59378</v>
      </c>
      <c r="R939" s="480"/>
      <c r="U939" s="513"/>
    </row>
    <row r="940" spans="1:21" s="479" customFormat="1" x14ac:dyDescent="0.15">
      <c r="A940" s="579"/>
      <c r="B940" s="528" t="s">
        <v>236</v>
      </c>
      <c r="C940" s="517">
        <f>ISR!C66</f>
        <v>523952.76</v>
      </c>
      <c r="D940" s="517">
        <f>ISR!D66</f>
        <v>46761.263561136802</v>
      </c>
      <c r="E940" s="517">
        <f>ISR!E66</f>
        <v>48203.025867545701</v>
      </c>
      <c r="F940" s="517">
        <f>ISR!F66</f>
        <v>50581.562358324773</v>
      </c>
      <c r="G940" s="517">
        <f>ISR!G66</f>
        <v>46929.946568288397</v>
      </c>
      <c r="H940" s="517">
        <f>ISR!H66</f>
        <v>45509.402250200445</v>
      </c>
      <c r="I940" s="517">
        <f>ISR!I66</f>
        <v>43965.793599851</v>
      </c>
      <c r="J940" s="517">
        <f>ISR!J66</f>
        <v>46531.048387854426</v>
      </c>
      <c r="K940" s="517">
        <f>ISR!K66</f>
        <v>32370.162982449037</v>
      </c>
      <c r="L940" s="517">
        <f>ISR!L66</f>
        <v>26695.412006009603</v>
      </c>
      <c r="M940" s="517">
        <f>ISR!M66</f>
        <v>46929.946568288397</v>
      </c>
      <c r="N940" s="517">
        <f>ISR!N66</f>
        <v>45509.402250200445</v>
      </c>
      <c r="O940" s="517">
        <f>ISR!O66</f>
        <v>43965.793599851</v>
      </c>
      <c r="P940" s="511">
        <f t="shared" si="749"/>
        <v>5.8207660913467407E-11</v>
      </c>
      <c r="Q940" s="530">
        <v>0</v>
      </c>
      <c r="R940" s="480"/>
      <c r="U940" s="513"/>
    </row>
    <row r="941" spans="1:21" s="479" customFormat="1" ht="18" x14ac:dyDescent="0.15">
      <c r="A941" s="579"/>
      <c r="B941" s="528" t="s">
        <v>298</v>
      </c>
      <c r="C941" s="517">
        <f>FOFIR!I75</f>
        <v>1791922.3080336689</v>
      </c>
      <c r="D941" s="517">
        <f t="shared" ref="D941:O941" si="755">$C941*D$23%</f>
        <v>244983.54639622392</v>
      </c>
      <c r="E941" s="517">
        <f t="shared" si="755"/>
        <v>62328.913001055567</v>
      </c>
      <c r="F941" s="517">
        <f t="shared" si="755"/>
        <v>62328.913001055567</v>
      </c>
      <c r="G941" s="517">
        <f t="shared" si="755"/>
        <v>351742.89942890056</v>
      </c>
      <c r="H941" s="517">
        <f t="shared" si="755"/>
        <v>62328.913001055567</v>
      </c>
      <c r="I941" s="517">
        <f t="shared" si="755"/>
        <v>62328.913001055567</v>
      </c>
      <c r="J941" s="517">
        <f t="shared" si="755"/>
        <v>437511.48993605888</v>
      </c>
      <c r="K941" s="517">
        <f t="shared" si="755"/>
        <v>62328.913001055567</v>
      </c>
      <c r="L941" s="517">
        <f t="shared" si="755"/>
        <v>62328.913001055567</v>
      </c>
      <c r="M941" s="517">
        <f t="shared" si="755"/>
        <v>259053.0682712087</v>
      </c>
      <c r="N941" s="517">
        <f t="shared" si="755"/>
        <v>62328.913001055567</v>
      </c>
      <c r="O941" s="517">
        <f t="shared" si="755"/>
        <v>62328.913001055567</v>
      </c>
      <c r="P941" s="511">
        <f t="shared" si="749"/>
        <v>-7.1677786763757467E-6</v>
      </c>
      <c r="Q941" s="530">
        <v>69940</v>
      </c>
      <c r="R941" s="480"/>
      <c r="U941" s="513"/>
    </row>
    <row r="942" spans="1:21" s="479" customFormat="1" ht="27" x14ac:dyDescent="0.15">
      <c r="A942" s="579"/>
      <c r="B942" s="528" t="s">
        <v>407</v>
      </c>
      <c r="C942" s="517">
        <f>FCISAN!I75</f>
        <v>113753.46585956827</v>
      </c>
      <c r="D942" s="517">
        <f t="shared" ref="D942:O942" si="756">$C942*D$24%</f>
        <v>9479.4554882594402</v>
      </c>
      <c r="E942" s="517">
        <f t="shared" si="756"/>
        <v>9479.4554882594402</v>
      </c>
      <c r="F942" s="517">
        <f t="shared" si="756"/>
        <v>9479.4554882594402</v>
      </c>
      <c r="G942" s="517">
        <f t="shared" si="756"/>
        <v>9479.4554882594402</v>
      </c>
      <c r="H942" s="517">
        <f t="shared" si="756"/>
        <v>9479.4554882594402</v>
      </c>
      <c r="I942" s="517">
        <f t="shared" si="756"/>
        <v>9479.4554882594402</v>
      </c>
      <c r="J942" s="517">
        <f t="shared" si="756"/>
        <v>9479.4554882594402</v>
      </c>
      <c r="K942" s="517">
        <f t="shared" si="756"/>
        <v>9479.4554882594402</v>
      </c>
      <c r="L942" s="517">
        <f t="shared" si="756"/>
        <v>9479.4554882594402</v>
      </c>
      <c r="M942" s="517">
        <f t="shared" si="756"/>
        <v>9479.4554882594402</v>
      </c>
      <c r="N942" s="517">
        <f t="shared" si="756"/>
        <v>9479.4554882594402</v>
      </c>
      <c r="O942" s="517">
        <f t="shared" si="756"/>
        <v>9479.4554882594402</v>
      </c>
      <c r="P942" s="511">
        <f t="shared" si="749"/>
        <v>4.5500564738176763E-7</v>
      </c>
      <c r="Q942" s="530">
        <v>8318</v>
      </c>
      <c r="R942" s="480"/>
      <c r="U942" s="513"/>
    </row>
    <row r="943" spans="1:21" s="479" customFormat="1" ht="27" x14ac:dyDescent="0.15">
      <c r="A943" s="579"/>
      <c r="B943" s="528" t="s">
        <v>242</v>
      </c>
      <c r="C943" s="517">
        <f>ISAN!I75</f>
        <v>568211.90245618729</v>
      </c>
      <c r="D943" s="517">
        <f t="shared" ref="D943:O943" si="757">$C943*D$25%</f>
        <v>54681.081212002311</v>
      </c>
      <c r="E943" s="517">
        <f t="shared" si="757"/>
        <v>61073.057620900356</v>
      </c>
      <c r="F943" s="517">
        <f t="shared" si="757"/>
        <v>47398.084995211277</v>
      </c>
      <c r="G943" s="517">
        <f t="shared" si="757"/>
        <v>43990.312022309932</v>
      </c>
      <c r="H943" s="517">
        <f t="shared" si="757"/>
        <v>47035.369254674319</v>
      </c>
      <c r="I943" s="517">
        <f t="shared" si="757"/>
        <v>40851.649370321611</v>
      </c>
      <c r="J943" s="517">
        <f t="shared" si="757"/>
        <v>44256.498563990121</v>
      </c>
      <c r="K943" s="517">
        <f t="shared" si="757"/>
        <v>45640.083345309708</v>
      </c>
      <c r="L943" s="517">
        <f t="shared" si="757"/>
        <v>44847.373682839345</v>
      </c>
      <c r="M943" s="517">
        <f t="shared" si="757"/>
        <v>45947.22203249525</v>
      </c>
      <c r="N943" s="517">
        <f t="shared" si="757"/>
        <v>44487.582923871611</v>
      </c>
      <c r="O943" s="517">
        <f t="shared" si="757"/>
        <v>48003.587425442922</v>
      </c>
      <c r="P943" s="511">
        <f t="shared" si="749"/>
        <v>6.8186054704710841E-6</v>
      </c>
      <c r="Q943" s="530">
        <v>35739</v>
      </c>
      <c r="R943" s="480"/>
      <c r="U943" s="513"/>
    </row>
    <row r="944" spans="1:21" s="479" customFormat="1" ht="18" x14ac:dyDescent="0.15">
      <c r="A944" s="579"/>
      <c r="B944" s="528" t="s">
        <v>403</v>
      </c>
      <c r="C944" s="517">
        <f>LOT!I75</f>
        <v>27505.430734191323</v>
      </c>
      <c r="D944" s="517">
        <f t="shared" ref="D944:O944" si="758">$C944*D$26%</f>
        <v>2079.696315856952</v>
      </c>
      <c r="E944" s="517">
        <f t="shared" si="758"/>
        <v>2050.2180047978263</v>
      </c>
      <c r="F944" s="517">
        <f t="shared" si="758"/>
        <v>2015.1126400080382</v>
      </c>
      <c r="G944" s="517">
        <f t="shared" si="758"/>
        <v>2217.0738722485853</v>
      </c>
      <c r="H944" s="517">
        <f t="shared" si="758"/>
        <v>1813.969977417727</v>
      </c>
      <c r="I944" s="517">
        <f t="shared" si="758"/>
        <v>2461.6497430418431</v>
      </c>
      <c r="J944" s="517">
        <f t="shared" si="758"/>
        <v>5649.4835134635487</v>
      </c>
      <c r="K944" s="517">
        <f t="shared" si="758"/>
        <v>2056.6146120433668</v>
      </c>
      <c r="L944" s="517">
        <f t="shared" si="758"/>
        <v>2495.4463766903064</v>
      </c>
      <c r="M944" s="517">
        <f t="shared" si="758"/>
        <v>1545.0232781182012</v>
      </c>
      <c r="N944" s="517">
        <f t="shared" si="758"/>
        <v>1560.5712000874316</v>
      </c>
      <c r="O944" s="517">
        <f t="shared" si="758"/>
        <v>1560.5712000874316</v>
      </c>
      <c r="P944" s="511">
        <f t="shared" si="749"/>
        <v>3.3006517696776427E-7</v>
      </c>
      <c r="Q944" s="530">
        <v>1746</v>
      </c>
      <c r="R944" s="480"/>
      <c r="U944" s="513"/>
    </row>
    <row r="945" spans="1:21" s="479" customFormat="1" ht="45" x14ac:dyDescent="0.15">
      <c r="A945" s="579"/>
      <c r="B945" s="518" t="s">
        <v>301</v>
      </c>
      <c r="C945" s="517">
        <f>'ENAJENAC DE INMUE'!I75</f>
        <v>108154.61851271277</v>
      </c>
      <c r="D945" s="517">
        <f t="shared" ref="D945:O945" si="759">$C945*D$27%</f>
        <v>4670.7348173090122</v>
      </c>
      <c r="E945" s="517">
        <f t="shared" si="759"/>
        <v>4739.5300615403967</v>
      </c>
      <c r="F945" s="517">
        <f t="shared" si="759"/>
        <v>4675.634857693105</v>
      </c>
      <c r="G945" s="517">
        <f t="shared" si="759"/>
        <v>4648.2462910765798</v>
      </c>
      <c r="H945" s="517">
        <f t="shared" si="759"/>
        <v>6448.0053083383145</v>
      </c>
      <c r="I945" s="517">
        <f t="shared" si="759"/>
        <v>4641.1297171784436</v>
      </c>
      <c r="J945" s="517">
        <f t="shared" si="759"/>
        <v>5333.952934534459</v>
      </c>
      <c r="K945" s="517">
        <f t="shared" si="759"/>
        <v>5328.4624971231178</v>
      </c>
      <c r="L945" s="517">
        <f t="shared" si="759"/>
        <v>5321.7123764888383</v>
      </c>
      <c r="M945" s="517">
        <f t="shared" si="759"/>
        <v>4647.4853915378853</v>
      </c>
      <c r="N945" s="517">
        <f t="shared" si="759"/>
        <v>19322.535145339232</v>
      </c>
      <c r="O945" s="517">
        <f t="shared" si="759"/>
        <v>38377.189114337074</v>
      </c>
      <c r="P945" s="511">
        <f t="shared" si="749"/>
        <v>2.1631421986967325E-7</v>
      </c>
      <c r="Q945" s="530">
        <v>25473</v>
      </c>
      <c r="R945" s="480"/>
      <c r="U945" s="513"/>
    </row>
    <row r="946" spans="1:21" s="479" customFormat="1" ht="27" x14ac:dyDescent="0.15">
      <c r="A946" s="579"/>
      <c r="B946" s="518" t="s">
        <v>248</v>
      </c>
      <c r="C946" s="517">
        <f>'IMP BEBIDAS AL'!I75</f>
        <v>42272.540285497555</v>
      </c>
      <c r="D946" s="517">
        <f t="shared" ref="D946:O946" si="760">$C946*D$28%</f>
        <v>9612.3781051653477</v>
      </c>
      <c r="E946" s="517">
        <f t="shared" si="760"/>
        <v>3306.3089935605935</v>
      </c>
      <c r="F946" s="517">
        <f t="shared" si="760"/>
        <v>3553.1351064360083</v>
      </c>
      <c r="G946" s="517">
        <f t="shared" si="760"/>
        <v>3527.6283324814763</v>
      </c>
      <c r="H946" s="517">
        <f t="shared" si="760"/>
        <v>2246.4107212727172</v>
      </c>
      <c r="I946" s="517">
        <f t="shared" si="760"/>
        <v>3676.2547591063012</v>
      </c>
      <c r="J946" s="517">
        <f t="shared" si="760"/>
        <v>3655.561664903174</v>
      </c>
      <c r="K946" s="517">
        <f t="shared" si="760"/>
        <v>3343.2778682548001</v>
      </c>
      <c r="L946" s="517">
        <f t="shared" si="760"/>
        <v>2424.639188157144</v>
      </c>
      <c r="M946" s="517">
        <f t="shared" si="760"/>
        <v>2253.916903143032</v>
      </c>
      <c r="N946" s="517">
        <f t="shared" si="760"/>
        <v>2269.8489599593568</v>
      </c>
      <c r="O946" s="517">
        <f t="shared" si="760"/>
        <v>2403.179683057605</v>
      </c>
      <c r="P946" s="511">
        <f t="shared" si="749"/>
        <v>-3.637978807091713E-12</v>
      </c>
      <c r="Q946" s="530">
        <v>1091</v>
      </c>
      <c r="R946" s="480"/>
      <c r="U946" s="513"/>
    </row>
    <row r="947" spans="1:21" s="479" customFormat="1" ht="18" x14ac:dyDescent="0.15">
      <c r="A947" s="579"/>
      <c r="B947" s="518" t="s">
        <v>253</v>
      </c>
      <c r="C947" s="517">
        <f>'FOND GASO Y D'!Q76</f>
        <v>0</v>
      </c>
      <c r="D947" s="517">
        <f t="shared" ref="D947:O947" si="761">$C947*D$29%</f>
        <v>0</v>
      </c>
      <c r="E947" s="517">
        <f t="shared" si="761"/>
        <v>0</v>
      </c>
      <c r="F947" s="517">
        <f t="shared" si="761"/>
        <v>0</v>
      </c>
      <c r="G947" s="517">
        <f t="shared" si="761"/>
        <v>0</v>
      </c>
      <c r="H947" s="517">
        <f t="shared" si="761"/>
        <v>0</v>
      </c>
      <c r="I947" s="517">
        <f t="shared" si="761"/>
        <v>0</v>
      </c>
      <c r="J947" s="517">
        <f t="shared" si="761"/>
        <v>0</v>
      </c>
      <c r="K947" s="517">
        <f t="shared" si="761"/>
        <v>0</v>
      </c>
      <c r="L947" s="517">
        <f t="shared" si="761"/>
        <v>0</v>
      </c>
      <c r="M947" s="517">
        <f t="shared" si="761"/>
        <v>0</v>
      </c>
      <c r="N947" s="517">
        <f t="shared" si="761"/>
        <v>0</v>
      </c>
      <c r="O947" s="517">
        <f t="shared" si="761"/>
        <v>0</v>
      </c>
      <c r="P947" s="511">
        <f t="shared" si="749"/>
        <v>0</v>
      </c>
      <c r="Q947" s="530">
        <v>43529</v>
      </c>
      <c r="R947" s="480"/>
      <c r="U947" s="513"/>
    </row>
    <row r="948" spans="1:21" s="479" customFormat="1" ht="18" x14ac:dyDescent="0.15">
      <c r="A948" s="579"/>
      <c r="B948" s="528" t="s">
        <v>408</v>
      </c>
      <c r="C948" s="519">
        <f>'FOND GASO Y D'!H76</f>
        <v>1409861.8110392643</v>
      </c>
      <c r="D948" s="517">
        <f t="shared" ref="D948:O948" si="762">$C948*D$30%</f>
        <v>109674.28186403115</v>
      </c>
      <c r="E948" s="517">
        <f t="shared" si="762"/>
        <v>120584.37683701429</v>
      </c>
      <c r="F948" s="517">
        <f t="shared" si="762"/>
        <v>117401.33252270268</v>
      </c>
      <c r="G948" s="517">
        <f t="shared" si="762"/>
        <v>109393.58253090612</v>
      </c>
      <c r="H948" s="517">
        <f t="shared" si="762"/>
        <v>120536.09178960961</v>
      </c>
      <c r="I948" s="517">
        <f t="shared" si="762"/>
        <v>116331.65113897181</v>
      </c>
      <c r="J948" s="517">
        <f t="shared" si="762"/>
        <v>118757.00452706794</v>
      </c>
      <c r="K948" s="517">
        <f t="shared" si="762"/>
        <v>118686.43552673634</v>
      </c>
      <c r="L948" s="517">
        <f t="shared" si="762"/>
        <v>123507.42784391985</v>
      </c>
      <c r="M948" s="517">
        <f t="shared" si="762"/>
        <v>122422.89049251097</v>
      </c>
      <c r="N948" s="517">
        <f t="shared" si="762"/>
        <v>114415.14050071442</v>
      </c>
      <c r="O948" s="517">
        <f t="shared" si="762"/>
        <v>118151.595466489</v>
      </c>
      <c r="P948" s="511">
        <f t="shared" si="749"/>
        <v>-1.4098186511546373E-6</v>
      </c>
      <c r="Q948" s="530">
        <v>86163</v>
      </c>
      <c r="R948" s="480"/>
      <c r="U948" s="513"/>
    </row>
    <row r="949" spans="1:21" s="479" customFormat="1" x14ac:dyDescent="0.15">
      <c r="A949" s="579"/>
      <c r="B949" s="534"/>
      <c r="C949" s="521"/>
      <c r="D949" s="522"/>
      <c r="E949" s="522"/>
      <c r="F949" s="522"/>
      <c r="G949" s="522"/>
      <c r="H949" s="522"/>
      <c r="I949" s="522"/>
      <c r="J949" s="522"/>
      <c r="K949" s="522"/>
      <c r="L949" s="522"/>
      <c r="M949" s="522"/>
      <c r="N949" s="522"/>
      <c r="O949" s="522"/>
      <c r="P949" s="511">
        <f t="shared" si="749"/>
        <v>0</v>
      </c>
      <c r="Q949" s="530">
        <v>0</v>
      </c>
      <c r="R949" s="480"/>
      <c r="U949" s="513"/>
    </row>
    <row r="950" spans="1:21" s="479" customFormat="1" x14ac:dyDescent="0.15">
      <c r="A950" s="591"/>
      <c r="B950" s="532"/>
      <c r="C950" s="521"/>
      <c r="D950" s="521"/>
      <c r="E950" s="521"/>
      <c r="F950" s="521"/>
      <c r="G950" s="521"/>
      <c r="H950" s="521"/>
      <c r="I950" s="521"/>
      <c r="J950" s="521"/>
      <c r="K950" s="521"/>
      <c r="L950" s="521"/>
      <c r="M950" s="521"/>
      <c r="N950" s="521"/>
      <c r="O950" s="521"/>
      <c r="P950" s="511">
        <f t="shared" si="749"/>
        <v>0</v>
      </c>
      <c r="Q950" s="530">
        <v>0</v>
      </c>
      <c r="R950" s="480"/>
      <c r="U950" s="513"/>
    </row>
    <row r="951" spans="1:21" s="479" customFormat="1" x14ac:dyDescent="0.15">
      <c r="A951" s="594">
        <v>62</v>
      </c>
      <c r="B951" s="533" t="s">
        <v>113</v>
      </c>
      <c r="C951" s="524">
        <f t="shared" ref="C951:O951" si="763">SUM(C952:C963)</f>
        <v>47564653.963776425</v>
      </c>
      <c r="D951" s="524">
        <f t="shared" si="763"/>
        <v>3667349.3549562618</v>
      </c>
      <c r="E951" s="524">
        <f t="shared" si="763"/>
        <v>5018137.163751767</v>
      </c>
      <c r="F951" s="524">
        <f t="shared" si="763"/>
        <v>3318354.1794409743</v>
      </c>
      <c r="G951" s="524">
        <f t="shared" si="763"/>
        <v>4169285.7617373001</v>
      </c>
      <c r="H951" s="524">
        <f t="shared" si="763"/>
        <v>4801065.819788252</v>
      </c>
      <c r="I951" s="524">
        <f t="shared" si="763"/>
        <v>4707846.7621478094</v>
      </c>
      <c r="J951" s="524">
        <f t="shared" si="763"/>
        <v>4070827.3095751014</v>
      </c>
      <c r="K951" s="524">
        <f t="shared" si="763"/>
        <v>3956865.6256105313</v>
      </c>
      <c r="L951" s="524">
        <f t="shared" si="763"/>
        <v>3746894.1743431883</v>
      </c>
      <c r="M951" s="524">
        <f t="shared" si="763"/>
        <v>2788098.7440775791</v>
      </c>
      <c r="N951" s="524">
        <f t="shared" si="763"/>
        <v>3638463.2559681851</v>
      </c>
      <c r="O951" s="524">
        <f t="shared" si="763"/>
        <v>3681465.8122398295</v>
      </c>
      <c r="P951" s="511">
        <f t="shared" si="749"/>
        <v>1.3964343816041946E-4</v>
      </c>
      <c r="Q951" s="530">
        <v>2871875</v>
      </c>
      <c r="R951" s="480"/>
      <c r="T951" s="512"/>
      <c r="U951" s="513"/>
    </row>
    <row r="952" spans="1:21" s="479" customFormat="1" x14ac:dyDescent="0.15">
      <c r="A952" s="579"/>
      <c r="B952" s="528" t="s">
        <v>294</v>
      </c>
      <c r="C952" s="517">
        <f>'FG1'!I77</f>
        <v>33030025.916038971</v>
      </c>
      <c r="D952" s="517">
        <f t="shared" ref="D952:O952" si="764">$C952*D$19%</f>
        <v>2498216.0544804065</v>
      </c>
      <c r="E952" s="517">
        <f t="shared" si="764"/>
        <v>3579318.3226043941</v>
      </c>
      <c r="F952" s="517">
        <f t="shared" si="764"/>
        <v>2313656.1781419739</v>
      </c>
      <c r="G952" s="517">
        <f t="shared" si="764"/>
        <v>2842092.1953571429</v>
      </c>
      <c r="H952" s="517">
        <f t="shared" si="764"/>
        <v>3470815.5756806326</v>
      </c>
      <c r="I952" s="517">
        <f t="shared" si="764"/>
        <v>3402624.238602574</v>
      </c>
      <c r="J952" s="517">
        <f t="shared" si="764"/>
        <v>2637726.5396733978</v>
      </c>
      <c r="K952" s="517">
        <f t="shared" si="764"/>
        <v>2800565.8731494243</v>
      </c>
      <c r="L952" s="517">
        <f t="shared" si="764"/>
        <v>2631837.2887610304</v>
      </c>
      <c r="M952" s="517">
        <f t="shared" si="764"/>
        <v>1744705.8616696617</v>
      </c>
      <c r="N952" s="517">
        <f t="shared" si="764"/>
        <v>2546309.2764015389</v>
      </c>
      <c r="O952" s="517">
        <f t="shared" si="764"/>
        <v>2562158.5114837657</v>
      </c>
      <c r="P952" s="511">
        <f t="shared" si="749"/>
        <v>3.3024698495864868E-5</v>
      </c>
      <c r="Q952" s="530">
        <v>1975441</v>
      </c>
      <c r="R952" s="480"/>
      <c r="U952" s="513"/>
    </row>
    <row r="953" spans="1:21" s="479" customFormat="1" x14ac:dyDescent="0.15">
      <c r="A953" s="579"/>
      <c r="B953" s="528" t="s">
        <v>296</v>
      </c>
      <c r="C953" s="517">
        <f>FFM!J77</f>
        <v>8878335.3978892043</v>
      </c>
      <c r="D953" s="517">
        <f t="shared" ref="D953:O953" si="765">$C953*D$20%</f>
        <v>671407.60022883094</v>
      </c>
      <c r="E953" s="517">
        <f t="shared" si="765"/>
        <v>962571.88564538222</v>
      </c>
      <c r="F953" s="517">
        <f t="shared" si="765"/>
        <v>621701.62620609545</v>
      </c>
      <c r="G953" s="517">
        <f t="shared" si="765"/>
        <v>764020.90455055598</v>
      </c>
      <c r="H953" s="517">
        <f t="shared" si="765"/>
        <v>933349.74538147775</v>
      </c>
      <c r="I953" s="517">
        <f t="shared" si="765"/>
        <v>914984.33681950939</v>
      </c>
      <c r="J953" s="517">
        <f t="shared" si="765"/>
        <v>708918.64044239651</v>
      </c>
      <c r="K953" s="517">
        <f t="shared" si="765"/>
        <v>752774.80450038332</v>
      </c>
      <c r="L953" s="517">
        <f t="shared" si="765"/>
        <v>707332.53367201204</v>
      </c>
      <c r="M953" s="517">
        <f t="shared" si="765"/>
        <v>468408.80153035343</v>
      </c>
      <c r="N953" s="517">
        <f t="shared" si="765"/>
        <v>684297.98728731542</v>
      </c>
      <c r="O953" s="517">
        <f t="shared" si="765"/>
        <v>688566.53151835187</v>
      </c>
      <c r="P953" s="511">
        <f t="shared" si="749"/>
        <v>1.0654027573764324E-4</v>
      </c>
      <c r="Q953" s="530">
        <v>604815</v>
      </c>
      <c r="R953" s="480"/>
      <c r="U953" s="513"/>
    </row>
    <row r="954" spans="1:21" s="479" customFormat="1" ht="18" x14ac:dyDescent="0.15">
      <c r="A954" s="579"/>
      <c r="B954" s="528" t="s">
        <v>297</v>
      </c>
      <c r="C954" s="517">
        <f>IEPS!I76</f>
        <v>798798.16698762949</v>
      </c>
      <c r="D954" s="517">
        <f t="shared" ref="D954:O954" si="766">$C954*D$21%</f>
        <v>56107.440205228137</v>
      </c>
      <c r="E954" s="517">
        <f t="shared" si="766"/>
        <v>128245.15076330867</v>
      </c>
      <c r="F954" s="517">
        <f t="shared" si="766"/>
        <v>53267.881986918699</v>
      </c>
      <c r="G954" s="517">
        <f t="shared" si="766"/>
        <v>51768.922098127929</v>
      </c>
      <c r="H954" s="517">
        <f t="shared" si="766"/>
        <v>57155.737940855521</v>
      </c>
      <c r="I954" s="517">
        <f t="shared" si="766"/>
        <v>59271.638949933607</v>
      </c>
      <c r="J954" s="517">
        <f t="shared" si="766"/>
        <v>61038.831226072885</v>
      </c>
      <c r="K954" s="517">
        <f t="shared" si="766"/>
        <v>67613.155199213987</v>
      </c>
      <c r="L954" s="517">
        <f t="shared" si="766"/>
        <v>67754.835507487966</v>
      </c>
      <c r="M954" s="517">
        <f t="shared" si="766"/>
        <v>67001.79107365066</v>
      </c>
      <c r="N954" s="517">
        <f t="shared" si="766"/>
        <v>64835.564503572881</v>
      </c>
      <c r="O954" s="517">
        <f t="shared" si="766"/>
        <v>64737.217532459726</v>
      </c>
      <c r="P954" s="511">
        <f t="shared" si="749"/>
        <v>7.9883466241881251E-7</v>
      </c>
      <c r="Q954" s="530">
        <v>51017</v>
      </c>
      <c r="R954" s="480"/>
      <c r="U954" s="513"/>
    </row>
    <row r="955" spans="1:21" s="479" customFormat="1" x14ac:dyDescent="0.15">
      <c r="A955" s="579"/>
      <c r="B955" s="528" t="s">
        <v>236</v>
      </c>
      <c r="C955" s="517">
        <f>ISR!C67</f>
        <v>1284855.99</v>
      </c>
      <c r="D955" s="517">
        <f>ISR!D67</f>
        <v>60916.878000000033</v>
      </c>
      <c r="E955" s="517">
        <f>ISR!E67</f>
        <v>114709.81249999994</v>
      </c>
      <c r="F955" s="517">
        <f>ISR!F67</f>
        <v>111003.02790000003</v>
      </c>
      <c r="G955" s="517">
        <f>ISR!G67</f>
        <v>53281.580699999977</v>
      </c>
      <c r="H955" s="517">
        <f>ISR!H67</f>
        <v>118243.67039999997</v>
      </c>
      <c r="I955" s="517">
        <f>ISR!I67</f>
        <v>118399.62270000005</v>
      </c>
      <c r="J955" s="517">
        <f>ISR!J67</f>
        <v>118643.62970000005</v>
      </c>
      <c r="K955" s="517">
        <f>ISR!K67</f>
        <v>117111.69010000005</v>
      </c>
      <c r="L955" s="517">
        <f>ISR!L67</f>
        <v>117873.41629999995</v>
      </c>
      <c r="M955" s="517">
        <f>ISR!M67</f>
        <v>117873.41629999995</v>
      </c>
      <c r="N955" s="517">
        <f>ISR!N67</f>
        <v>118399.62270000005</v>
      </c>
      <c r="O955" s="517">
        <f>ISR!O67</f>
        <v>118399.62270000005</v>
      </c>
      <c r="P955" s="511">
        <f t="shared" si="749"/>
        <v>-1.1641532182693481E-10</v>
      </c>
      <c r="Q955" s="530">
        <v>0</v>
      </c>
      <c r="R955" s="480"/>
      <c r="U955" s="513"/>
    </row>
    <row r="956" spans="1:21" s="479" customFormat="1" ht="18" x14ac:dyDescent="0.15">
      <c r="A956" s="579"/>
      <c r="B956" s="528" t="s">
        <v>298</v>
      </c>
      <c r="C956" s="517">
        <f>FOFIR!I76</f>
        <v>1544871.7235327116</v>
      </c>
      <c r="D956" s="517">
        <f t="shared" ref="D956:O956" si="767">$C956*D$23%</f>
        <v>211207.90330111751</v>
      </c>
      <c r="E956" s="517">
        <f t="shared" si="767"/>
        <v>53735.68643136281</v>
      </c>
      <c r="F956" s="517">
        <f t="shared" si="767"/>
        <v>53735.68643136281</v>
      </c>
      <c r="G956" s="517">
        <f t="shared" si="767"/>
        <v>303248.44824182452</v>
      </c>
      <c r="H956" s="517">
        <f t="shared" si="767"/>
        <v>53735.68643136281</v>
      </c>
      <c r="I956" s="517">
        <f t="shared" si="767"/>
        <v>53735.68643136281</v>
      </c>
      <c r="J956" s="517">
        <f t="shared" si="767"/>
        <v>377192.20665574988</v>
      </c>
      <c r="K956" s="517">
        <f t="shared" si="767"/>
        <v>53735.68643136281</v>
      </c>
      <c r="L956" s="517">
        <f t="shared" si="767"/>
        <v>53735.68643136281</v>
      </c>
      <c r="M956" s="517">
        <f t="shared" si="767"/>
        <v>223337.67388929671</v>
      </c>
      <c r="N956" s="517">
        <f t="shared" si="767"/>
        <v>53735.68643136281</v>
      </c>
      <c r="O956" s="517">
        <f t="shared" si="767"/>
        <v>53735.68643136281</v>
      </c>
      <c r="P956" s="511">
        <f t="shared" si="749"/>
        <v>-6.1792525229975581E-6</v>
      </c>
      <c r="Q956" s="530">
        <v>60091</v>
      </c>
      <c r="R956" s="480"/>
      <c r="U956" s="513"/>
    </row>
    <row r="957" spans="1:21" s="479" customFormat="1" ht="27" x14ac:dyDescent="0.15">
      <c r="A957" s="579"/>
      <c r="B957" s="528" t="s">
        <v>407</v>
      </c>
      <c r="C957" s="517">
        <f>FCISAN!I76</f>
        <v>98070.386239640895</v>
      </c>
      <c r="D957" s="517">
        <f t="shared" ref="D957:O957" si="768">$C957*D$24%</f>
        <v>8172.5321866040522</v>
      </c>
      <c r="E957" s="517">
        <f t="shared" si="768"/>
        <v>8172.5321866040522</v>
      </c>
      <c r="F957" s="517">
        <f t="shared" si="768"/>
        <v>8172.5321866040522</v>
      </c>
      <c r="G957" s="517">
        <f t="shared" si="768"/>
        <v>8172.5321866040522</v>
      </c>
      <c r="H957" s="517">
        <f t="shared" si="768"/>
        <v>8172.5321866040522</v>
      </c>
      <c r="I957" s="517">
        <f t="shared" si="768"/>
        <v>8172.5321866040522</v>
      </c>
      <c r="J957" s="517">
        <f t="shared" si="768"/>
        <v>8172.5321866040522</v>
      </c>
      <c r="K957" s="517">
        <f t="shared" si="768"/>
        <v>8172.5321866040522</v>
      </c>
      <c r="L957" s="517">
        <f t="shared" si="768"/>
        <v>8172.5321866040522</v>
      </c>
      <c r="M957" s="517">
        <f t="shared" si="768"/>
        <v>8172.5321866040522</v>
      </c>
      <c r="N957" s="517">
        <f t="shared" si="768"/>
        <v>8172.5321866040522</v>
      </c>
      <c r="O957" s="517">
        <f t="shared" si="768"/>
        <v>8172.5321866040522</v>
      </c>
      <c r="P957" s="511">
        <f t="shared" si="749"/>
        <v>3.9227415982168168E-7</v>
      </c>
      <c r="Q957" s="530">
        <v>7144</v>
      </c>
      <c r="R957" s="480"/>
      <c r="U957" s="513"/>
    </row>
    <row r="958" spans="1:21" s="479" customFormat="1" ht="27" x14ac:dyDescent="0.15">
      <c r="A958" s="579"/>
      <c r="B958" s="528" t="s">
        <v>242</v>
      </c>
      <c r="C958" s="517">
        <f>ISAN!I76</f>
        <v>489873.08051460312</v>
      </c>
      <c r="D958" s="517">
        <f t="shared" ref="D958:O958" si="769">$C958*D$25%</f>
        <v>47142.253767305039</v>
      </c>
      <c r="E958" s="517">
        <f t="shared" si="769"/>
        <v>52652.974610124758</v>
      </c>
      <c r="F958" s="517">
        <f t="shared" si="769"/>
        <v>40863.357150262214</v>
      </c>
      <c r="G958" s="517">
        <f t="shared" si="769"/>
        <v>37925.410520292935</v>
      </c>
      <c r="H958" s="517">
        <f t="shared" si="769"/>
        <v>40550.648675835851</v>
      </c>
      <c r="I958" s="517">
        <f t="shared" si="769"/>
        <v>35219.472233221924</v>
      </c>
      <c r="J958" s="517">
        <f t="shared" si="769"/>
        <v>38154.898182555444</v>
      </c>
      <c r="K958" s="517">
        <f t="shared" si="769"/>
        <v>39347.729476740467</v>
      </c>
      <c r="L958" s="517">
        <f t="shared" si="769"/>
        <v>38664.309923877459</v>
      </c>
      <c r="M958" s="517">
        <f t="shared" si="769"/>
        <v>39612.523252066901</v>
      </c>
      <c r="N958" s="517">
        <f t="shared" si="769"/>
        <v>38354.123166658304</v>
      </c>
      <c r="O958" s="517">
        <f t="shared" si="769"/>
        <v>41385.379549783356</v>
      </c>
      <c r="P958" s="511">
        <f t="shared" si="749"/>
        <v>5.8783989516086876E-6</v>
      </c>
      <c r="Q958" s="530">
        <v>30707</v>
      </c>
      <c r="R958" s="480"/>
      <c r="U958" s="513"/>
    </row>
    <row r="959" spans="1:21" s="479" customFormat="1" ht="18" x14ac:dyDescent="0.15">
      <c r="A959" s="579"/>
      <c r="B959" s="528" t="s">
        <v>403</v>
      </c>
      <c r="C959" s="517">
        <f>LOT!I76</f>
        <v>23713.283770359398</v>
      </c>
      <c r="D959" s="517">
        <f t="shared" ref="D959:O959" si="770">$C959*D$26%</f>
        <v>1792.9706089926035</v>
      </c>
      <c r="E959" s="517">
        <f t="shared" si="770"/>
        <v>1767.5564439874713</v>
      </c>
      <c r="F959" s="517">
        <f t="shared" si="770"/>
        <v>1737.2910216726189</v>
      </c>
      <c r="G959" s="517">
        <f t="shared" si="770"/>
        <v>1911.408055396372</v>
      </c>
      <c r="H959" s="517">
        <f t="shared" si="770"/>
        <v>1563.8797021981509</v>
      </c>
      <c r="I959" s="517">
        <f t="shared" si="770"/>
        <v>2122.2644889331068</v>
      </c>
      <c r="J959" s="517">
        <f t="shared" si="770"/>
        <v>4870.5947201981489</v>
      </c>
      <c r="K959" s="517">
        <f t="shared" si="770"/>
        <v>1773.0711572179932</v>
      </c>
      <c r="L959" s="517">
        <f t="shared" si="770"/>
        <v>2151.4016135952797</v>
      </c>
      <c r="M959" s="517">
        <f t="shared" si="770"/>
        <v>1332.0124225607763</v>
      </c>
      <c r="N959" s="517">
        <f t="shared" si="770"/>
        <v>1345.4167676611587</v>
      </c>
      <c r="O959" s="517">
        <f t="shared" si="770"/>
        <v>1345.4167676611587</v>
      </c>
      <c r="P959" s="511">
        <f t="shared" si="749"/>
        <v>2.8455633582780138E-7</v>
      </c>
      <c r="Q959" s="530">
        <v>1500</v>
      </c>
      <c r="R959" s="480"/>
      <c r="U959" s="513"/>
    </row>
    <row r="960" spans="1:21" s="479" customFormat="1" ht="45" x14ac:dyDescent="0.15">
      <c r="A960" s="579"/>
      <c r="B960" s="518" t="s">
        <v>301</v>
      </c>
      <c r="C960" s="517">
        <f>'ENAJENAC DE INMUE'!I76</f>
        <v>93243.446527045555</v>
      </c>
      <c r="D960" s="517">
        <f t="shared" ref="D960:O960" si="771">$C960*D$27%</f>
        <v>4026.7851541501313</v>
      </c>
      <c r="E960" s="517">
        <f t="shared" si="771"/>
        <v>4086.095665018885</v>
      </c>
      <c r="F960" s="517">
        <f t="shared" si="771"/>
        <v>4031.0096307357599</v>
      </c>
      <c r="G960" s="517">
        <f t="shared" si="771"/>
        <v>4007.3970991409101</v>
      </c>
      <c r="H960" s="517">
        <f t="shared" si="771"/>
        <v>5559.0250924280126</v>
      </c>
      <c r="I960" s="517">
        <f t="shared" si="771"/>
        <v>4001.261680359431</v>
      </c>
      <c r="J960" s="517">
        <f t="shared" si="771"/>
        <v>4598.5660350748776</v>
      </c>
      <c r="K960" s="517">
        <f t="shared" si="771"/>
        <v>4593.8325589255046</v>
      </c>
      <c r="L960" s="517">
        <f t="shared" si="771"/>
        <v>4588.0130708530696</v>
      </c>
      <c r="M960" s="517">
        <f t="shared" si="771"/>
        <v>4006.7411040810193</v>
      </c>
      <c r="N960" s="517">
        <f t="shared" si="771"/>
        <v>16658.556031794618</v>
      </c>
      <c r="O960" s="517">
        <f t="shared" si="771"/>
        <v>33086.163404296851</v>
      </c>
      <c r="P960" s="511">
        <f t="shared" si="749"/>
        <v>1.8648279365152121E-7</v>
      </c>
      <c r="Q960" s="530">
        <v>21886</v>
      </c>
      <c r="R960" s="480"/>
      <c r="U960" s="513"/>
    </row>
    <row r="961" spans="1:21" s="479" customFormat="1" ht="27" x14ac:dyDescent="0.15">
      <c r="A961" s="579"/>
      <c r="B961" s="518" t="s">
        <v>248</v>
      </c>
      <c r="C961" s="517">
        <f>'IMP BEBIDAS AL'!I76</f>
        <v>36444.466300899207</v>
      </c>
      <c r="D961" s="517">
        <f t="shared" ref="D961:O961" si="772">$C961*D$28%</f>
        <v>8287.1288916929261</v>
      </c>
      <c r="E961" s="517">
        <f t="shared" si="772"/>
        <v>2850.4713907036676</v>
      </c>
      <c r="F961" s="517">
        <f t="shared" si="772"/>
        <v>3063.2678276368902</v>
      </c>
      <c r="G961" s="517">
        <f t="shared" si="772"/>
        <v>3041.277647781304</v>
      </c>
      <c r="H961" s="517">
        <f t="shared" si="772"/>
        <v>1936.7002615995875</v>
      </c>
      <c r="I961" s="517">
        <f t="shared" si="772"/>
        <v>3169.4130936279257</v>
      </c>
      <c r="J961" s="517">
        <f t="shared" si="772"/>
        <v>3151.5729361816525</v>
      </c>
      <c r="K961" s="517">
        <f t="shared" si="772"/>
        <v>2882.3434026262016</v>
      </c>
      <c r="L961" s="517">
        <f t="shared" si="772"/>
        <v>2090.3565432273758</v>
      </c>
      <c r="M961" s="517">
        <f t="shared" si="772"/>
        <v>1943.1715734813333</v>
      </c>
      <c r="N961" s="517">
        <f t="shared" si="772"/>
        <v>1956.9070931313258</v>
      </c>
      <c r="O961" s="517">
        <f t="shared" si="772"/>
        <v>2071.8556392090186</v>
      </c>
      <c r="P961" s="511">
        <f t="shared" si="749"/>
        <v>0</v>
      </c>
      <c r="Q961" s="530">
        <v>937</v>
      </c>
      <c r="R961" s="480"/>
      <c r="U961" s="513"/>
    </row>
    <row r="962" spans="1:21" s="479" customFormat="1" ht="18" x14ac:dyDescent="0.15">
      <c r="A962" s="579"/>
      <c r="B962" s="518" t="s">
        <v>253</v>
      </c>
      <c r="C962" s="517">
        <f>'FOND GASO Y D'!Q77</f>
        <v>0</v>
      </c>
      <c r="D962" s="517">
        <f t="shared" ref="D962:O962" si="773">$C962*D$29%</f>
        <v>0</v>
      </c>
      <c r="E962" s="517">
        <f t="shared" si="773"/>
        <v>0</v>
      </c>
      <c r="F962" s="517">
        <f t="shared" si="773"/>
        <v>0</v>
      </c>
      <c r="G962" s="517">
        <f t="shared" si="773"/>
        <v>0</v>
      </c>
      <c r="H962" s="517">
        <f t="shared" si="773"/>
        <v>0</v>
      </c>
      <c r="I962" s="517">
        <f t="shared" si="773"/>
        <v>0</v>
      </c>
      <c r="J962" s="517">
        <f t="shared" si="773"/>
        <v>0</v>
      </c>
      <c r="K962" s="517">
        <f t="shared" si="773"/>
        <v>0</v>
      </c>
      <c r="L962" s="517">
        <f t="shared" si="773"/>
        <v>0</v>
      </c>
      <c r="M962" s="517">
        <f t="shared" si="773"/>
        <v>0</v>
      </c>
      <c r="N962" s="517">
        <f t="shared" si="773"/>
        <v>0</v>
      </c>
      <c r="O962" s="517">
        <f t="shared" si="773"/>
        <v>0</v>
      </c>
      <c r="P962" s="511">
        <f t="shared" si="749"/>
        <v>0</v>
      </c>
      <c r="Q962" s="530">
        <v>39718</v>
      </c>
      <c r="R962" s="480"/>
      <c r="U962" s="513"/>
    </row>
    <row r="963" spans="1:21" s="479" customFormat="1" ht="18" x14ac:dyDescent="0.15">
      <c r="A963" s="579"/>
      <c r="B963" s="528" t="s">
        <v>408</v>
      </c>
      <c r="C963" s="519">
        <f>'FOND GASO Y D'!H77</f>
        <v>1286422.1059753562</v>
      </c>
      <c r="D963" s="517">
        <f t="shared" ref="D963:O963" si="774">$C963*D$30%</f>
        <v>100071.80813193366</v>
      </c>
      <c r="E963" s="517">
        <f t="shared" si="774"/>
        <v>110026.67551087939</v>
      </c>
      <c r="F963" s="517">
        <f t="shared" si="774"/>
        <v>107122.32095771134</v>
      </c>
      <c r="G963" s="517">
        <f t="shared" si="774"/>
        <v>99815.685280433478</v>
      </c>
      <c r="H963" s="517">
        <f t="shared" si="774"/>
        <v>109982.61803525795</v>
      </c>
      <c r="I963" s="517">
        <f t="shared" si="774"/>
        <v>106146.29496168316</v>
      </c>
      <c r="J963" s="517">
        <f t="shared" si="774"/>
        <v>108359.29781687021</v>
      </c>
      <c r="K963" s="517">
        <f t="shared" si="774"/>
        <v>108294.90744803241</v>
      </c>
      <c r="L963" s="517">
        <f t="shared" si="774"/>
        <v>112693.80033313768</v>
      </c>
      <c r="M963" s="517">
        <f t="shared" si="774"/>
        <v>111704.21907582287</v>
      </c>
      <c r="N963" s="517">
        <f t="shared" si="774"/>
        <v>104397.58339854502</v>
      </c>
      <c r="O963" s="517">
        <f t="shared" si="774"/>
        <v>107806.89502633543</v>
      </c>
      <c r="P963" s="511">
        <f t="shared" si="749"/>
        <v>-1.286360202357173E-6</v>
      </c>
      <c r="Q963" s="530">
        <v>78619</v>
      </c>
      <c r="R963" s="480"/>
      <c r="U963" s="513"/>
    </row>
    <row r="964" spans="1:21" s="479" customFormat="1" x14ac:dyDescent="0.15">
      <c r="A964" s="579"/>
      <c r="C964" s="521"/>
      <c r="D964" s="522"/>
      <c r="E964" s="522"/>
      <c r="F964" s="522"/>
      <c r="G964" s="522"/>
      <c r="H964" s="522"/>
      <c r="I964" s="522"/>
      <c r="J964" s="522"/>
      <c r="K964" s="522"/>
      <c r="L964" s="522"/>
      <c r="M964" s="522"/>
      <c r="N964" s="522"/>
      <c r="O964" s="522"/>
      <c r="P964" s="511">
        <f t="shared" si="749"/>
        <v>0</v>
      </c>
      <c r="Q964" s="530">
        <v>0</v>
      </c>
      <c r="R964" s="480"/>
      <c r="U964" s="513"/>
    </row>
    <row r="965" spans="1:21" s="479" customFormat="1" x14ac:dyDescent="0.15">
      <c r="A965" s="591"/>
      <c r="B965" s="532"/>
      <c r="C965" s="521"/>
      <c r="D965" s="521"/>
      <c r="E965" s="521"/>
      <c r="F965" s="521"/>
      <c r="G965" s="521"/>
      <c r="H965" s="521"/>
      <c r="I965" s="521"/>
      <c r="J965" s="521"/>
      <c r="K965" s="521"/>
      <c r="L965" s="521"/>
      <c r="M965" s="521"/>
      <c r="N965" s="521"/>
      <c r="O965" s="521"/>
      <c r="P965" s="511">
        <f t="shared" si="749"/>
        <v>0</v>
      </c>
      <c r="Q965" s="530">
        <v>0</v>
      </c>
      <c r="R965" s="480"/>
      <c r="U965" s="513"/>
    </row>
    <row r="966" spans="1:21" s="479" customFormat="1" x14ac:dyDescent="0.15">
      <c r="A966" s="576">
        <v>63</v>
      </c>
      <c r="B966" s="533" t="s">
        <v>123</v>
      </c>
      <c r="C966" s="524">
        <f t="shared" ref="C966:O966" si="775">SUM(C967:C978)</f>
        <v>39661543.13810166</v>
      </c>
      <c r="D966" s="524">
        <f t="shared" si="775"/>
        <v>3048020.9646262345</v>
      </c>
      <c r="E966" s="524">
        <f t="shared" si="775"/>
        <v>4194855.1175111057</v>
      </c>
      <c r="F966" s="524">
        <f t="shared" si="775"/>
        <v>2783000.2627901444</v>
      </c>
      <c r="G966" s="524">
        <f t="shared" si="775"/>
        <v>3514648.5855808975</v>
      </c>
      <c r="H966" s="524">
        <f t="shared" si="775"/>
        <v>3971599.4128675223</v>
      </c>
      <c r="I966" s="524">
        <f t="shared" si="775"/>
        <v>3896242.9098769273</v>
      </c>
      <c r="J966" s="524">
        <f t="shared" si="775"/>
        <v>3383009.3037095591</v>
      </c>
      <c r="K966" s="524">
        <f t="shared" si="775"/>
        <v>3292444.6909171208</v>
      </c>
      <c r="L966" s="524">
        <f t="shared" si="775"/>
        <v>3122862.8522728649</v>
      </c>
      <c r="M966" s="524">
        <f t="shared" si="775"/>
        <v>2350515.8027487579</v>
      </c>
      <c r="N966" s="524">
        <f t="shared" si="775"/>
        <v>3034788.8363487339</v>
      </c>
      <c r="O966" s="524">
        <f t="shared" si="775"/>
        <v>3069554.3987393659</v>
      </c>
      <c r="P966" s="511">
        <f t="shared" si="749"/>
        <v>1.1242274194955826E-4</v>
      </c>
      <c r="Q966" s="530">
        <v>2317589</v>
      </c>
      <c r="R966" s="480"/>
      <c r="T966" s="512"/>
      <c r="U966" s="513"/>
    </row>
    <row r="967" spans="1:21" s="479" customFormat="1" x14ac:dyDescent="0.15">
      <c r="A967" s="579"/>
      <c r="B967" s="528" t="s">
        <v>294</v>
      </c>
      <c r="C967" s="517">
        <f>'FG1'!I78</f>
        <v>26605702.163950983</v>
      </c>
      <c r="D967" s="517">
        <f t="shared" ref="D967:O967" si="776">$C967*D$19%</f>
        <v>2012314.2638659263</v>
      </c>
      <c r="E967" s="517">
        <f t="shared" si="776"/>
        <v>2883142.6739796316</v>
      </c>
      <c r="F967" s="517">
        <f t="shared" si="776"/>
        <v>1863651.192460598</v>
      </c>
      <c r="G967" s="517">
        <f t="shared" si="776"/>
        <v>2289306.6649228274</v>
      </c>
      <c r="H967" s="517">
        <f t="shared" si="776"/>
        <v>2795743.6578249894</v>
      </c>
      <c r="I967" s="517">
        <f t="shared" si="776"/>
        <v>2740815.502180418</v>
      </c>
      <c r="J967" s="517">
        <f t="shared" si="776"/>
        <v>2124690.0284877345</v>
      </c>
      <c r="K967" s="517">
        <f t="shared" si="776"/>
        <v>2255857.1919060252</v>
      </c>
      <c r="L967" s="517">
        <f t="shared" si="776"/>
        <v>2119946.2339735702</v>
      </c>
      <c r="M967" s="517">
        <f t="shared" si="776"/>
        <v>1405361.4319673278</v>
      </c>
      <c r="N967" s="517">
        <f t="shared" si="776"/>
        <v>2051053.3778403155</v>
      </c>
      <c r="O967" s="517">
        <f t="shared" si="776"/>
        <v>2063819.9445150148</v>
      </c>
      <c r="P967" s="511">
        <f t="shared" si="749"/>
        <v>2.660718746483326E-5</v>
      </c>
      <c r="Q967" s="530">
        <v>1591124</v>
      </c>
      <c r="R967" s="480"/>
      <c r="U967" s="513"/>
    </row>
    <row r="968" spans="1:21" s="479" customFormat="1" x14ac:dyDescent="0.15">
      <c r="A968" s="579"/>
      <c r="B968" s="528" t="s">
        <v>296</v>
      </c>
      <c r="C968" s="517">
        <f>FFM!J78</f>
        <v>7151503.5413036309</v>
      </c>
      <c r="D968" s="517">
        <f t="shared" ref="D968:O968" si="777">$C968*D$20%</f>
        <v>540819.15308541001</v>
      </c>
      <c r="E968" s="517">
        <f t="shared" si="777"/>
        <v>775352.12857456075</v>
      </c>
      <c r="F968" s="517">
        <f t="shared" si="777"/>
        <v>500780.96649785998</v>
      </c>
      <c r="G968" s="517">
        <f t="shared" si="777"/>
        <v>615419.21538831806</v>
      </c>
      <c r="H968" s="517">
        <f t="shared" si="777"/>
        <v>751813.68018124264</v>
      </c>
      <c r="I968" s="517">
        <f t="shared" si="777"/>
        <v>737020.33452777367</v>
      </c>
      <c r="J968" s="517">
        <f t="shared" si="777"/>
        <v>571034.31447580713</v>
      </c>
      <c r="K968" s="517">
        <f t="shared" si="777"/>
        <v>606360.47625194956</v>
      </c>
      <c r="L968" s="517">
        <f t="shared" si="777"/>
        <v>569756.70469008235</v>
      </c>
      <c r="M968" s="517">
        <f t="shared" si="777"/>
        <v>377303.52062600869</v>
      </c>
      <c r="N968" s="517">
        <f t="shared" si="777"/>
        <v>551202.36621784512</v>
      </c>
      <c r="O968" s="517">
        <f t="shared" si="777"/>
        <v>554640.68070095486</v>
      </c>
      <c r="P968" s="511">
        <f t="shared" si="749"/>
        <v>8.581893052905798E-5</v>
      </c>
      <c r="Q968" s="530">
        <v>487150</v>
      </c>
      <c r="R968" s="480"/>
      <c r="U968" s="513"/>
    </row>
    <row r="969" spans="1:21" s="479" customFormat="1" ht="18" x14ac:dyDescent="0.15">
      <c r="A969" s="579"/>
      <c r="B969" s="528" t="s">
        <v>297</v>
      </c>
      <c r="C969" s="517">
        <f>IEPS!I77</f>
        <v>643432.31743160263</v>
      </c>
      <c r="D969" s="517">
        <f t="shared" ref="D969:O969" si="778">$C969*D$21%</f>
        <v>45194.570754396955</v>
      </c>
      <c r="E969" s="517">
        <f t="shared" si="778"/>
        <v>103301.53218325907</v>
      </c>
      <c r="F969" s="517">
        <f t="shared" si="778"/>
        <v>42907.305209235674</v>
      </c>
      <c r="G969" s="517">
        <f t="shared" si="778"/>
        <v>41699.892279610613</v>
      </c>
      <c r="H969" s="517">
        <f t="shared" si="778"/>
        <v>46038.975097407259</v>
      </c>
      <c r="I969" s="517">
        <f t="shared" si="778"/>
        <v>47743.334403664987</v>
      </c>
      <c r="J969" s="517">
        <f t="shared" si="778"/>
        <v>49166.808653576649</v>
      </c>
      <c r="K969" s="517">
        <f t="shared" si="778"/>
        <v>54462.429856034702</v>
      </c>
      <c r="L969" s="517">
        <f t="shared" si="778"/>
        <v>54576.553414218281</v>
      </c>
      <c r="M969" s="517">
        <f t="shared" si="778"/>
        <v>53969.975751402482</v>
      </c>
      <c r="N969" s="517">
        <f t="shared" si="778"/>
        <v>52225.079180941721</v>
      </c>
      <c r="O969" s="517">
        <f t="shared" si="778"/>
        <v>52145.860647210786</v>
      </c>
      <c r="P969" s="511">
        <f t="shared" si="749"/>
        <v>6.4344203565269709E-7</v>
      </c>
      <c r="Q969" s="530">
        <v>41092</v>
      </c>
      <c r="R969" s="480"/>
      <c r="U969" s="513"/>
    </row>
    <row r="970" spans="1:21" s="479" customFormat="1" x14ac:dyDescent="0.15">
      <c r="A970" s="579"/>
      <c r="B970" s="528" t="s">
        <v>236</v>
      </c>
      <c r="C970" s="517">
        <f>ISR!C68</f>
        <v>2335229.39</v>
      </c>
      <c r="D970" s="517">
        <f>ISR!D68</f>
        <v>139310.58406469948</v>
      </c>
      <c r="E970" s="517">
        <f>ISR!E68</f>
        <v>241043.95035947621</v>
      </c>
      <c r="F970" s="517">
        <f>ISR!F68</f>
        <v>195487.48555758237</v>
      </c>
      <c r="G970" s="517">
        <f>ISR!G68</f>
        <v>195487.48555758237</v>
      </c>
      <c r="H970" s="517">
        <f>ISR!H68</f>
        <v>195487.48555758237</v>
      </c>
      <c r="I970" s="517">
        <f>ISR!I68</f>
        <v>195487.48555758237</v>
      </c>
      <c r="J970" s="517">
        <f>ISR!J68</f>
        <v>195487.48555758237</v>
      </c>
      <c r="K970" s="517">
        <f>ISR!K68</f>
        <v>195487.48555758237</v>
      </c>
      <c r="L970" s="517">
        <f>ISR!L68</f>
        <v>195487.48555758237</v>
      </c>
      <c r="M970" s="517">
        <f>ISR!M68</f>
        <v>195487.48555758237</v>
      </c>
      <c r="N970" s="517">
        <f>ISR!N68</f>
        <v>195487.48555758237</v>
      </c>
      <c r="O970" s="517">
        <f>ISR!O68</f>
        <v>195487.48555758237</v>
      </c>
      <c r="P970" s="511">
        <f t="shared" si="749"/>
        <v>6.4028427004814148E-10</v>
      </c>
      <c r="Q970" s="530">
        <v>0</v>
      </c>
      <c r="R970" s="480"/>
      <c r="U970" s="513"/>
    </row>
    <row r="971" spans="1:21" s="479" customFormat="1" ht="18" x14ac:dyDescent="0.15">
      <c r="A971" s="579"/>
      <c r="B971" s="528" t="s">
        <v>298</v>
      </c>
      <c r="C971" s="517">
        <f>FOFIR!I77</f>
        <v>1244394.9351508722</v>
      </c>
      <c r="D971" s="517">
        <f t="shared" ref="D971:O971" si="779">$C971*D$23%</f>
        <v>170128.07026510421</v>
      </c>
      <c r="E971" s="517">
        <f t="shared" si="779"/>
        <v>43284.12191993068</v>
      </c>
      <c r="F971" s="517">
        <f t="shared" si="779"/>
        <v>43284.12191993068</v>
      </c>
      <c r="G971" s="517">
        <f t="shared" si="779"/>
        <v>244266.77460414887</v>
      </c>
      <c r="H971" s="517">
        <f t="shared" si="779"/>
        <v>43284.12191993068</v>
      </c>
      <c r="I971" s="517">
        <f t="shared" si="779"/>
        <v>43284.12191993068</v>
      </c>
      <c r="J971" s="517">
        <f t="shared" si="779"/>
        <v>303828.50847153686</v>
      </c>
      <c r="K971" s="517">
        <f t="shared" si="779"/>
        <v>43284.12191993068</v>
      </c>
      <c r="L971" s="517">
        <f t="shared" si="779"/>
        <v>43284.12191993068</v>
      </c>
      <c r="M971" s="517">
        <f t="shared" si="779"/>
        <v>179898.60645561438</v>
      </c>
      <c r="N971" s="517">
        <f t="shared" si="779"/>
        <v>43284.12191993068</v>
      </c>
      <c r="O971" s="517">
        <f t="shared" si="779"/>
        <v>43284.12191993068</v>
      </c>
      <c r="P971" s="511">
        <f t="shared" si="749"/>
        <v>-4.9776863306760788E-6</v>
      </c>
      <c r="Q971" s="530">
        <v>48406</v>
      </c>
      <c r="R971" s="480"/>
      <c r="U971" s="513"/>
    </row>
    <row r="972" spans="1:21" s="479" customFormat="1" ht="27" x14ac:dyDescent="0.15">
      <c r="A972" s="579"/>
      <c r="B972" s="528" t="s">
        <v>407</v>
      </c>
      <c r="C972" s="517">
        <f>FCISAN!I77</f>
        <v>78995.744478920067</v>
      </c>
      <c r="D972" s="517">
        <f t="shared" ref="D972:O972" si="780">$C972*D$24%</f>
        <v>6582.9787065503415</v>
      </c>
      <c r="E972" s="517">
        <f t="shared" si="780"/>
        <v>6582.9787065503415</v>
      </c>
      <c r="F972" s="517">
        <f t="shared" si="780"/>
        <v>6582.9787065503415</v>
      </c>
      <c r="G972" s="517">
        <f t="shared" si="780"/>
        <v>6582.9787065503415</v>
      </c>
      <c r="H972" s="517">
        <f t="shared" si="780"/>
        <v>6582.9787065503415</v>
      </c>
      <c r="I972" s="517">
        <f t="shared" si="780"/>
        <v>6582.9787065503415</v>
      </c>
      <c r="J972" s="517">
        <f t="shared" si="780"/>
        <v>6582.9787065503415</v>
      </c>
      <c r="K972" s="517">
        <f t="shared" si="780"/>
        <v>6582.9787065503415</v>
      </c>
      <c r="L972" s="517">
        <f t="shared" si="780"/>
        <v>6582.9787065503415</v>
      </c>
      <c r="M972" s="517">
        <f t="shared" si="780"/>
        <v>6582.9787065503415</v>
      </c>
      <c r="N972" s="517">
        <f t="shared" si="780"/>
        <v>6582.9787065503415</v>
      </c>
      <c r="O972" s="517">
        <f t="shared" si="780"/>
        <v>6582.9787065503415</v>
      </c>
      <c r="P972" s="511">
        <f t="shared" si="749"/>
        <v>3.1596391636412591E-7</v>
      </c>
      <c r="Q972" s="530">
        <v>5759</v>
      </c>
      <c r="R972" s="480"/>
      <c r="U972" s="513"/>
    </row>
    <row r="973" spans="1:21" s="479" customFormat="1" ht="27" x14ac:dyDescent="0.15">
      <c r="A973" s="579"/>
      <c r="B973" s="528" t="s">
        <v>242</v>
      </c>
      <c r="C973" s="517">
        <f>ISAN!I77</f>
        <v>394593.00793281675</v>
      </c>
      <c r="D973" s="517">
        <f t="shared" ref="D973:O973" si="781">$C973*D$25%</f>
        <v>37973.108657515899</v>
      </c>
      <c r="E973" s="517">
        <f t="shared" si="781"/>
        <v>42411.997013989851</v>
      </c>
      <c r="F973" s="517">
        <f t="shared" si="781"/>
        <v>32915.454336083429</v>
      </c>
      <c r="G973" s="517">
        <f t="shared" si="781"/>
        <v>30548.936876810421</v>
      </c>
      <c r="H973" s="517">
        <f t="shared" si="781"/>
        <v>32663.567505722473</v>
      </c>
      <c r="I973" s="517">
        <f t="shared" si="781"/>
        <v>28369.302252155656</v>
      </c>
      <c r="J973" s="517">
        <f t="shared" si="781"/>
        <v>30733.789301933495</v>
      </c>
      <c r="K973" s="517">
        <f t="shared" si="781"/>
        <v>31694.61549763794</v>
      </c>
      <c r="L973" s="517">
        <f t="shared" si="781"/>
        <v>31144.120710782066</v>
      </c>
      <c r="M973" s="517">
        <f t="shared" si="781"/>
        <v>31907.907014245025</v>
      </c>
      <c r="N973" s="517">
        <f t="shared" si="781"/>
        <v>30894.265124875092</v>
      </c>
      <c r="O973" s="517">
        <f t="shared" si="781"/>
        <v>33335.943636330281</v>
      </c>
      <c r="P973" s="511">
        <f t="shared" si="749"/>
        <v>4.7351059038192034E-6</v>
      </c>
      <c r="Q973" s="530">
        <v>24735</v>
      </c>
      <c r="R973" s="480"/>
      <c r="U973" s="513"/>
    </row>
    <row r="974" spans="1:21" s="479" customFormat="1" ht="18" x14ac:dyDescent="0.15">
      <c r="A974" s="579"/>
      <c r="B974" s="528" t="s">
        <v>403</v>
      </c>
      <c r="C974" s="517">
        <f>LOT!I77</f>
        <v>19101.061771104254</v>
      </c>
      <c r="D974" s="517">
        <f t="shared" ref="D974:O974" si="782">$C974*D$26%</f>
        <v>1444.238709737461</v>
      </c>
      <c r="E974" s="517">
        <f t="shared" si="782"/>
        <v>1423.7675872929667</v>
      </c>
      <c r="F974" s="517">
        <f t="shared" si="782"/>
        <v>1399.3887746931211</v>
      </c>
      <c r="G974" s="517">
        <f t="shared" si="782"/>
        <v>1539.6401312224932</v>
      </c>
      <c r="H974" s="517">
        <f t="shared" si="782"/>
        <v>1259.7058713395672</v>
      </c>
      <c r="I974" s="517">
        <f t="shared" si="782"/>
        <v>1709.4850924190619</v>
      </c>
      <c r="J974" s="517">
        <f t="shared" si="782"/>
        <v>3923.2664490274888</v>
      </c>
      <c r="K974" s="517">
        <f t="shared" si="782"/>
        <v>1428.2096915197037</v>
      </c>
      <c r="L974" s="517">
        <f t="shared" si="782"/>
        <v>1732.9550607032602</v>
      </c>
      <c r="M974" s="517">
        <f t="shared" si="782"/>
        <v>1072.9366632475464</v>
      </c>
      <c r="N974" s="517">
        <f t="shared" si="782"/>
        <v>1083.7338698361859</v>
      </c>
      <c r="O974" s="517">
        <f t="shared" si="782"/>
        <v>1083.7338698361859</v>
      </c>
      <c r="P974" s="511">
        <f t="shared" si="749"/>
        <v>2.2921358322491869E-7</v>
      </c>
      <c r="Q974" s="530">
        <v>1209</v>
      </c>
      <c r="R974" s="480"/>
      <c r="U974" s="513"/>
    </row>
    <row r="975" spans="1:21" s="479" customFormat="1" ht="45" x14ac:dyDescent="0.15">
      <c r="A975" s="579"/>
      <c r="B975" s="518" t="s">
        <v>301</v>
      </c>
      <c r="C975" s="517">
        <f>'ENAJENAC DE INMUE'!I77</f>
        <v>75107.642160044881</v>
      </c>
      <c r="D975" s="517">
        <f t="shared" ref="D975:O975" si="783">$C975*D$27%</f>
        <v>3243.5774274556111</v>
      </c>
      <c r="E975" s="517">
        <f t="shared" si="783"/>
        <v>3291.3520732090547</v>
      </c>
      <c r="F975" s="517">
        <f t="shared" si="783"/>
        <v>3246.9802454286128</v>
      </c>
      <c r="G975" s="517">
        <f t="shared" si="783"/>
        <v>3227.960339584567</v>
      </c>
      <c r="H975" s="517">
        <f t="shared" si="783"/>
        <v>4477.7974533544193</v>
      </c>
      <c r="I975" s="517">
        <f t="shared" si="783"/>
        <v>3223.0182567304364</v>
      </c>
      <c r="J975" s="517">
        <f t="shared" si="783"/>
        <v>3704.1472090111943</v>
      </c>
      <c r="K975" s="517">
        <f t="shared" si="783"/>
        <v>3700.3343916385857</v>
      </c>
      <c r="L975" s="517">
        <f t="shared" si="783"/>
        <v>3695.6467911263894</v>
      </c>
      <c r="M975" s="517">
        <f t="shared" si="783"/>
        <v>3227.431935240324</v>
      </c>
      <c r="N975" s="517">
        <f t="shared" si="783"/>
        <v>13418.475098688865</v>
      </c>
      <c r="O975" s="517">
        <f t="shared" si="783"/>
        <v>26650.920938426607</v>
      </c>
      <c r="P975" s="511">
        <f t="shared" si="749"/>
        <v>1.5020850696600974E-7</v>
      </c>
      <c r="Q975" s="530">
        <v>17628</v>
      </c>
      <c r="R975" s="480"/>
      <c r="U975" s="513"/>
    </row>
    <row r="976" spans="1:21" s="479" customFormat="1" ht="27" x14ac:dyDescent="0.15">
      <c r="A976" s="579"/>
      <c r="B976" s="518" t="s">
        <v>248</v>
      </c>
      <c r="C976" s="517">
        <f>'IMP BEBIDAS AL'!I77</f>
        <v>29356.035577769017</v>
      </c>
      <c r="D976" s="517">
        <f t="shared" ref="D976:O976" si="784">$C976*D$28%</f>
        <v>6675.2864090121848</v>
      </c>
      <c r="E976" s="517">
        <f t="shared" si="784"/>
        <v>2296.0561109066089</v>
      </c>
      <c r="F976" s="517">
        <f t="shared" si="784"/>
        <v>2467.4637457957506</v>
      </c>
      <c r="G976" s="517">
        <f t="shared" si="784"/>
        <v>2449.7506450777355</v>
      </c>
      <c r="H976" s="517">
        <f t="shared" si="784"/>
        <v>1560.0130157919004</v>
      </c>
      <c r="I976" s="517">
        <f t="shared" si="784"/>
        <v>2552.9638098965029</v>
      </c>
      <c r="J976" s="517">
        <f t="shared" si="784"/>
        <v>2538.5935542757511</v>
      </c>
      <c r="K976" s="517">
        <f t="shared" si="784"/>
        <v>2321.7290322277231</v>
      </c>
      <c r="L976" s="517">
        <f t="shared" si="784"/>
        <v>1683.7832264178617</v>
      </c>
      <c r="M976" s="517">
        <f t="shared" si="784"/>
        <v>1565.2256607039396</v>
      </c>
      <c r="N976" s="517">
        <f t="shared" si="784"/>
        <v>1576.2896285556069</v>
      </c>
      <c r="O976" s="517">
        <f t="shared" si="784"/>
        <v>1668.8807391074524</v>
      </c>
      <c r="P976" s="511">
        <f t="shared" si="749"/>
        <v>0</v>
      </c>
      <c r="Q976" s="530">
        <v>755</v>
      </c>
      <c r="R976" s="480"/>
      <c r="U976" s="513"/>
    </row>
    <row r="977" spans="1:21" s="479" customFormat="1" ht="18" x14ac:dyDescent="0.15">
      <c r="A977" s="579"/>
      <c r="B977" s="518" t="s">
        <v>253</v>
      </c>
      <c r="C977" s="517">
        <f>'FOND GASO Y D'!Q78</f>
        <v>0</v>
      </c>
      <c r="D977" s="517">
        <f t="shared" ref="D977:O977" si="785">$C977*D$29%</f>
        <v>0</v>
      </c>
      <c r="E977" s="517">
        <f t="shared" si="785"/>
        <v>0</v>
      </c>
      <c r="F977" s="517">
        <f t="shared" si="785"/>
        <v>0</v>
      </c>
      <c r="G977" s="517">
        <f t="shared" si="785"/>
        <v>0</v>
      </c>
      <c r="H977" s="517">
        <f t="shared" si="785"/>
        <v>0</v>
      </c>
      <c r="I977" s="517">
        <f t="shared" si="785"/>
        <v>0</v>
      </c>
      <c r="J977" s="517">
        <f t="shared" si="785"/>
        <v>0</v>
      </c>
      <c r="K977" s="517">
        <f t="shared" si="785"/>
        <v>0</v>
      </c>
      <c r="L977" s="517">
        <f t="shared" si="785"/>
        <v>0</v>
      </c>
      <c r="M977" s="517">
        <f t="shared" si="785"/>
        <v>0</v>
      </c>
      <c r="N977" s="517">
        <f t="shared" si="785"/>
        <v>0</v>
      </c>
      <c r="O977" s="517">
        <f t="shared" si="785"/>
        <v>0</v>
      </c>
      <c r="P977" s="511">
        <f t="shared" si="749"/>
        <v>0</v>
      </c>
      <c r="Q977" s="530">
        <v>33473</v>
      </c>
      <c r="R977" s="480"/>
      <c r="U977" s="513"/>
    </row>
    <row r="978" spans="1:21" s="479" customFormat="1" ht="18" x14ac:dyDescent="0.15">
      <c r="A978" s="579"/>
      <c r="B978" s="528" t="s">
        <v>408</v>
      </c>
      <c r="C978" s="519">
        <f>'FOND GASO Y D'!H78</f>
        <v>1084127.2983439274</v>
      </c>
      <c r="D978" s="517">
        <f t="shared" ref="D978:O978" si="786">$C978*D$30%</f>
        <v>84335.132680426308</v>
      </c>
      <c r="E978" s="517">
        <f t="shared" si="786"/>
        <v>92724.559002298978</v>
      </c>
      <c r="F978" s="517">
        <f t="shared" si="786"/>
        <v>90276.925336386776</v>
      </c>
      <c r="G978" s="517">
        <f t="shared" si="786"/>
        <v>84119.286129165048</v>
      </c>
      <c r="H978" s="517">
        <f t="shared" si="786"/>
        <v>92687.42973361224</v>
      </c>
      <c r="I978" s="517">
        <f t="shared" si="786"/>
        <v>89454.383169805136</v>
      </c>
      <c r="J978" s="517">
        <f t="shared" si="786"/>
        <v>91319.38284252322</v>
      </c>
      <c r="K978" s="517">
        <f t="shared" si="786"/>
        <v>91265.11810602402</v>
      </c>
      <c r="L978" s="517">
        <f t="shared" si="786"/>
        <v>94972.268221901191</v>
      </c>
      <c r="M978" s="517">
        <f t="shared" si="786"/>
        <v>94138.302410834018</v>
      </c>
      <c r="N978" s="517">
        <f t="shared" si="786"/>
        <v>87980.66320361229</v>
      </c>
      <c r="O978" s="517">
        <f t="shared" si="786"/>
        <v>90853.847508422245</v>
      </c>
      <c r="P978" s="511">
        <f t="shared" si="749"/>
        <v>-1.0842340998351574E-6</v>
      </c>
      <c r="Q978" s="530">
        <v>66258</v>
      </c>
      <c r="R978" s="480"/>
      <c r="U978" s="513"/>
    </row>
    <row r="979" spans="1:21" s="479" customFormat="1" x14ac:dyDescent="0.15">
      <c r="A979" s="579"/>
      <c r="B979" s="534"/>
      <c r="C979" s="521"/>
      <c r="D979" s="522"/>
      <c r="E979" s="522"/>
      <c r="F979" s="522"/>
      <c r="G979" s="522"/>
      <c r="H979" s="522"/>
      <c r="I979" s="522"/>
      <c r="J979" s="522"/>
      <c r="K979" s="522"/>
      <c r="L979" s="522"/>
      <c r="M979" s="522"/>
      <c r="N979" s="522"/>
      <c r="O979" s="522"/>
      <c r="P979" s="511">
        <f t="shared" si="749"/>
        <v>0</v>
      </c>
      <c r="Q979" s="530">
        <v>0</v>
      </c>
      <c r="R979" s="480"/>
      <c r="U979" s="513"/>
    </row>
    <row r="980" spans="1:21" s="479" customFormat="1" x14ac:dyDescent="0.15">
      <c r="A980" s="591"/>
      <c r="B980" s="532"/>
      <c r="C980" s="521"/>
      <c r="D980" s="521"/>
      <c r="E980" s="521"/>
      <c r="F980" s="521"/>
      <c r="G980" s="521"/>
      <c r="H980" s="521"/>
      <c r="I980" s="521"/>
      <c r="J980" s="521"/>
      <c r="K980" s="521"/>
      <c r="L980" s="521"/>
      <c r="M980" s="521"/>
      <c r="N980" s="521"/>
      <c r="O980" s="521"/>
      <c r="P980" s="511">
        <f t="shared" si="749"/>
        <v>0</v>
      </c>
      <c r="Q980" s="530">
        <v>0</v>
      </c>
      <c r="R980" s="480"/>
      <c r="U980" s="513"/>
    </row>
    <row r="981" spans="1:21" s="479" customFormat="1" x14ac:dyDescent="0.15">
      <c r="A981" s="594">
        <v>64</v>
      </c>
      <c r="B981" s="533" t="s">
        <v>74</v>
      </c>
      <c r="C981" s="524">
        <f t="shared" ref="C981:O981" si="787">SUM(C982:C993)</f>
        <v>60683748.731242999</v>
      </c>
      <c r="D981" s="524">
        <f t="shared" si="787"/>
        <v>4785936.2482325463</v>
      </c>
      <c r="E981" s="524">
        <f t="shared" si="787"/>
        <v>6336474.052139339</v>
      </c>
      <c r="F981" s="524">
        <f t="shared" si="787"/>
        <v>4280110.8221792085</v>
      </c>
      <c r="G981" s="524">
        <f t="shared" si="787"/>
        <v>5341293.3276138809</v>
      </c>
      <c r="H981" s="524">
        <f t="shared" si="787"/>
        <v>6057314.9118530573</v>
      </c>
      <c r="I981" s="524">
        <f t="shared" si="787"/>
        <v>5939564.5270336261</v>
      </c>
      <c r="J981" s="524">
        <f t="shared" si="787"/>
        <v>5231847.4586400175</v>
      </c>
      <c r="K981" s="524">
        <f t="shared" si="787"/>
        <v>5042546.269817316</v>
      </c>
      <c r="L981" s="524">
        <f t="shared" si="787"/>
        <v>4775383.5980504686</v>
      </c>
      <c r="M981" s="524">
        <f t="shared" si="787"/>
        <v>3562295.3010130348</v>
      </c>
      <c r="N981" s="524">
        <f t="shared" si="787"/>
        <v>4638483.5258759512</v>
      </c>
      <c r="O981" s="524">
        <f t="shared" si="787"/>
        <v>4692498.6886177156</v>
      </c>
      <c r="P981" s="511">
        <f t="shared" si="749"/>
        <v>1.7683859914541245E-4</v>
      </c>
      <c r="Q981" s="530">
        <v>3615126</v>
      </c>
      <c r="R981" s="480"/>
      <c r="T981" s="512"/>
      <c r="U981" s="513"/>
    </row>
    <row r="982" spans="1:21" s="479" customFormat="1" x14ac:dyDescent="0.15">
      <c r="A982" s="579"/>
      <c r="B982" s="528" t="s">
        <v>294</v>
      </c>
      <c r="C982" s="517">
        <f>'FG1'!I79</f>
        <v>41794266.070405602</v>
      </c>
      <c r="D982" s="517">
        <f t="shared" ref="D982:O982" si="788">$C982*D$19%</f>
        <v>3161096.7169000087</v>
      </c>
      <c r="E982" s="517">
        <f t="shared" si="788"/>
        <v>4529060.3981320057</v>
      </c>
      <c r="F982" s="517">
        <f t="shared" si="788"/>
        <v>2927565.4263943001</v>
      </c>
      <c r="G982" s="517">
        <f t="shared" si="788"/>
        <v>3596217.5055908742</v>
      </c>
      <c r="H982" s="517">
        <f t="shared" si="788"/>
        <v>4391767.3579803314</v>
      </c>
      <c r="I982" s="517">
        <f t="shared" si="788"/>
        <v>4305482.0219414895</v>
      </c>
      <c r="J982" s="517">
        <f t="shared" si="788"/>
        <v>3337625.1384213474</v>
      </c>
      <c r="K982" s="517">
        <f t="shared" si="788"/>
        <v>3543672.522317579</v>
      </c>
      <c r="L982" s="517">
        <f t="shared" si="788"/>
        <v>3330173.224208124</v>
      </c>
      <c r="M982" s="517">
        <f t="shared" si="788"/>
        <v>2207648.9186709868</v>
      </c>
      <c r="N982" s="517">
        <f t="shared" si="788"/>
        <v>3221951.071609396</v>
      </c>
      <c r="O982" s="517">
        <f t="shared" si="788"/>
        <v>3242005.768197367</v>
      </c>
      <c r="P982" s="511">
        <f t="shared" si="749"/>
        <v>4.1799154132604599E-5</v>
      </c>
      <c r="Q982" s="530">
        <v>2496032</v>
      </c>
      <c r="R982" s="480"/>
      <c r="U982" s="513"/>
    </row>
    <row r="983" spans="1:21" s="479" customFormat="1" x14ac:dyDescent="0.15">
      <c r="A983" s="579"/>
      <c r="B983" s="528" t="s">
        <v>296</v>
      </c>
      <c r="C983" s="517">
        <f>FFM!J79</f>
        <v>11234127.179461215</v>
      </c>
      <c r="D983" s="517">
        <f t="shared" ref="D983:O983" si="789">$C983*D$20%</f>
        <v>849559.97179615288</v>
      </c>
      <c r="E983" s="517">
        <f t="shared" si="789"/>
        <v>1217982.256593385</v>
      </c>
      <c r="F983" s="517">
        <f t="shared" si="789"/>
        <v>786664.934750902</v>
      </c>
      <c r="G983" s="517">
        <f t="shared" si="789"/>
        <v>966747.43911212787</v>
      </c>
      <c r="H983" s="517">
        <f t="shared" si="789"/>
        <v>1181006.2666731565</v>
      </c>
      <c r="I983" s="517">
        <f t="shared" si="789"/>
        <v>1157767.7510909485</v>
      </c>
      <c r="J983" s="517">
        <f t="shared" si="789"/>
        <v>897024.25169858465</v>
      </c>
      <c r="K983" s="517">
        <f t="shared" si="789"/>
        <v>952517.28080265236</v>
      </c>
      <c r="L983" s="517">
        <f t="shared" si="789"/>
        <v>895017.28480894223</v>
      </c>
      <c r="M983" s="517">
        <f t="shared" si="789"/>
        <v>592697.1456408439</v>
      </c>
      <c r="N983" s="517">
        <f t="shared" si="789"/>
        <v>865870.71487102308</v>
      </c>
      <c r="O983" s="517">
        <f t="shared" si="789"/>
        <v>871271.88148768642</v>
      </c>
      <c r="P983" s="511">
        <f t="shared" si="749"/>
        <v>1.3480940833687782E-4</v>
      </c>
      <c r="Q983" s="530">
        <v>764204</v>
      </c>
      <c r="R983" s="480"/>
      <c r="U983" s="513"/>
    </row>
    <row r="984" spans="1:21" s="479" customFormat="1" ht="18" x14ac:dyDescent="0.15">
      <c r="A984" s="579"/>
      <c r="B984" s="528" t="s">
        <v>297</v>
      </c>
      <c r="C984" s="517">
        <f>IEPS!I78</f>
        <v>1010752.5562497919</v>
      </c>
      <c r="D984" s="517">
        <f t="shared" ref="D984:O984" si="790">$C984*D$21%</f>
        <v>70995.078551482118</v>
      </c>
      <c r="E984" s="517">
        <f t="shared" si="790"/>
        <v>162273.92515118478</v>
      </c>
      <c r="F984" s="517">
        <f t="shared" si="790"/>
        <v>67402.067392480778</v>
      </c>
      <c r="G984" s="517">
        <f t="shared" si="790"/>
        <v>65505.371078035387</v>
      </c>
      <c r="H984" s="517">
        <f t="shared" si="790"/>
        <v>72321.533292849417</v>
      </c>
      <c r="I984" s="517">
        <f t="shared" si="790"/>
        <v>74998.870875836525</v>
      </c>
      <c r="J984" s="517">
        <f t="shared" si="790"/>
        <v>77234.972790327171</v>
      </c>
      <c r="K984" s="517">
        <f t="shared" si="790"/>
        <v>85553.738451152181</v>
      </c>
      <c r="L984" s="517">
        <f t="shared" si="790"/>
        <v>85733.012440097635</v>
      </c>
      <c r="M984" s="517">
        <f t="shared" si="790"/>
        <v>84780.153986076519</v>
      </c>
      <c r="N984" s="517">
        <f t="shared" si="790"/>
        <v>82039.137376863087</v>
      </c>
      <c r="O984" s="517">
        <f t="shared" si="790"/>
        <v>81914.694862395496</v>
      </c>
      <c r="P984" s="511">
        <f t="shared" si="749"/>
        <v>1.0107614798471332E-6</v>
      </c>
      <c r="Q984" s="530">
        <v>64461</v>
      </c>
      <c r="R984" s="480"/>
      <c r="U984" s="513"/>
    </row>
    <row r="985" spans="1:21" s="479" customFormat="1" x14ac:dyDescent="0.15">
      <c r="A985" s="579"/>
      <c r="B985" s="528" t="s">
        <v>236</v>
      </c>
      <c r="C985" s="517">
        <f>ISR!C69</f>
        <v>2274080.35</v>
      </c>
      <c r="D985" s="517">
        <f>ISR!D69</f>
        <v>234242.45836376247</v>
      </c>
      <c r="E985" s="517">
        <f>ISR!E69</f>
        <v>144800.10805065825</v>
      </c>
      <c r="F985" s="517">
        <f>ISR!F69</f>
        <v>234213.81406596658</v>
      </c>
      <c r="G985" s="517">
        <f>ISR!G69</f>
        <v>144787.37725163854</v>
      </c>
      <c r="H985" s="517">
        <f>ISR!H69</f>
        <v>144776.7682524554</v>
      </c>
      <c r="I985" s="517">
        <f>ISR!I69</f>
        <v>144730.08865604972</v>
      </c>
      <c r="J985" s="517">
        <f>ISR!J69</f>
        <v>243627.1790411555</v>
      </c>
      <c r="K985" s="517">
        <f>ISR!K69</f>
        <v>196580.51126366257</v>
      </c>
      <c r="L985" s="517">
        <f>ISR!L69</f>
        <v>196580.51126366257</v>
      </c>
      <c r="M985" s="517">
        <f>ISR!M69</f>
        <v>196580.51126366257</v>
      </c>
      <c r="N985" s="517">
        <f>ISR!N69</f>
        <v>196580.51126366257</v>
      </c>
      <c r="O985" s="517">
        <f>ISR!O69</f>
        <v>196580.51126366257</v>
      </c>
      <c r="P985" s="511">
        <f t="shared" si="749"/>
        <v>5.2386894822120667E-10</v>
      </c>
      <c r="Q985" s="530">
        <v>0</v>
      </c>
      <c r="R985" s="480"/>
      <c r="U985" s="513"/>
    </row>
    <row r="986" spans="1:21" s="479" customFormat="1" ht="18" x14ac:dyDescent="0.15">
      <c r="A986" s="579"/>
      <c r="B986" s="528" t="s">
        <v>298</v>
      </c>
      <c r="C986" s="517">
        <f>FOFIR!I78</f>
        <v>1954790.4691960714</v>
      </c>
      <c r="D986" s="517">
        <f t="shared" ref="D986:O986" si="791">$C986*D$23%</f>
        <v>267250.14776488516</v>
      </c>
      <c r="E986" s="517">
        <f t="shared" si="791"/>
        <v>67993.999819954945</v>
      </c>
      <c r="F986" s="517">
        <f t="shared" si="791"/>
        <v>67993.999819954945</v>
      </c>
      <c r="G986" s="517">
        <f t="shared" si="791"/>
        <v>383712.87880528346</v>
      </c>
      <c r="H986" s="517">
        <f t="shared" si="791"/>
        <v>67993.999819954945</v>
      </c>
      <c r="I986" s="517">
        <f t="shared" si="791"/>
        <v>67993.999819954945</v>
      </c>
      <c r="J986" s="517">
        <f t="shared" si="791"/>
        <v>477276.99290114059</v>
      </c>
      <c r="K986" s="517">
        <f t="shared" si="791"/>
        <v>67993.999819954945</v>
      </c>
      <c r="L986" s="517">
        <f t="shared" si="791"/>
        <v>67993.999819954945</v>
      </c>
      <c r="M986" s="517">
        <f t="shared" si="791"/>
        <v>282598.45117294183</v>
      </c>
      <c r="N986" s="517">
        <f t="shared" si="791"/>
        <v>67993.999819954945</v>
      </c>
      <c r="O986" s="517">
        <f t="shared" si="791"/>
        <v>67993.999819954945</v>
      </c>
      <c r="P986" s="511">
        <f t="shared" si="749"/>
        <v>-7.8189768828451633E-6</v>
      </c>
      <c r="Q986" s="530">
        <v>75931</v>
      </c>
      <c r="R986" s="480"/>
      <c r="U986" s="513"/>
    </row>
    <row r="987" spans="1:21" s="479" customFormat="1" ht="27" x14ac:dyDescent="0.15">
      <c r="A987" s="579"/>
      <c r="B987" s="528" t="s">
        <v>407</v>
      </c>
      <c r="C987" s="517">
        <f>FCISAN!I78</f>
        <v>124092.54011928216</v>
      </c>
      <c r="D987" s="517">
        <f t="shared" ref="D987:O987" si="792">$C987*D$24%</f>
        <v>10341.045009898817</v>
      </c>
      <c r="E987" s="517">
        <f t="shared" si="792"/>
        <v>10341.045009898817</v>
      </c>
      <c r="F987" s="517">
        <f t="shared" si="792"/>
        <v>10341.045009898817</v>
      </c>
      <c r="G987" s="517">
        <f t="shared" si="792"/>
        <v>10341.045009898817</v>
      </c>
      <c r="H987" s="517">
        <f t="shared" si="792"/>
        <v>10341.045009898817</v>
      </c>
      <c r="I987" s="517">
        <f t="shared" si="792"/>
        <v>10341.045009898817</v>
      </c>
      <c r="J987" s="517">
        <f t="shared" si="792"/>
        <v>10341.045009898817</v>
      </c>
      <c r="K987" s="517">
        <f t="shared" si="792"/>
        <v>10341.045009898817</v>
      </c>
      <c r="L987" s="517">
        <f t="shared" si="792"/>
        <v>10341.045009898817</v>
      </c>
      <c r="M987" s="517">
        <f t="shared" si="792"/>
        <v>10341.045009898817</v>
      </c>
      <c r="N987" s="517">
        <f t="shared" si="792"/>
        <v>10341.045009898817</v>
      </c>
      <c r="O987" s="517">
        <f t="shared" si="792"/>
        <v>10341.045009898817</v>
      </c>
      <c r="P987" s="511">
        <f t="shared" si="749"/>
        <v>4.9634036258794367E-7</v>
      </c>
      <c r="Q987" s="530">
        <v>9035</v>
      </c>
      <c r="R987" s="480"/>
      <c r="U987" s="513"/>
    </row>
    <row r="988" spans="1:21" s="479" customFormat="1" ht="27" x14ac:dyDescent="0.15">
      <c r="A988" s="579"/>
      <c r="B988" s="528" t="s">
        <v>242</v>
      </c>
      <c r="C988" s="517">
        <f>ISAN!I78</f>
        <v>619856.79090293054</v>
      </c>
      <c r="D988" s="517">
        <f t="shared" ref="D988:O988" si="793">$C988*D$25%</f>
        <v>59651.055137458607</v>
      </c>
      <c r="E988" s="517">
        <f t="shared" si="793"/>
        <v>66623.999504199121</v>
      </c>
      <c r="F988" s="517">
        <f t="shared" si="793"/>
        <v>51706.106002137807</v>
      </c>
      <c r="G988" s="517">
        <f t="shared" si="793"/>
        <v>47988.599892220933</v>
      </c>
      <c r="H988" s="517">
        <f t="shared" si="793"/>
        <v>51310.422958598327</v>
      </c>
      <c r="I988" s="517">
        <f t="shared" si="793"/>
        <v>44564.663591734206</v>
      </c>
      <c r="J988" s="517">
        <f t="shared" si="793"/>
        <v>48278.980179564795</v>
      </c>
      <c r="K988" s="517">
        <f t="shared" si="793"/>
        <v>49788.319246176514</v>
      </c>
      <c r="L988" s="517">
        <f t="shared" si="793"/>
        <v>48923.560050931548</v>
      </c>
      <c r="M988" s="517">
        <f t="shared" si="793"/>
        <v>50123.373827360068</v>
      </c>
      <c r="N988" s="517">
        <f t="shared" si="793"/>
        <v>48531.067841095333</v>
      </c>
      <c r="O988" s="517">
        <f t="shared" si="793"/>
        <v>52366.642664015017</v>
      </c>
      <c r="P988" s="511">
        <f t="shared" si="749"/>
        <v>7.438276952598244E-6</v>
      </c>
      <c r="Q988" s="530">
        <v>38800</v>
      </c>
      <c r="R988" s="480"/>
      <c r="U988" s="513"/>
    </row>
    <row r="989" spans="1:21" s="479" customFormat="1" ht="18" x14ac:dyDescent="0.15">
      <c r="A989" s="579"/>
      <c r="B989" s="528" t="s">
        <v>403</v>
      </c>
      <c r="C989" s="517">
        <f>LOT!I78</f>
        <v>30005.404592194878</v>
      </c>
      <c r="D989" s="517">
        <f t="shared" ref="D989:O989" si="794">$C989*D$26%</f>
        <v>2268.7203116079331</v>
      </c>
      <c r="E989" s="517">
        <f t="shared" si="794"/>
        <v>2236.562711220889</v>
      </c>
      <c r="F989" s="517">
        <f t="shared" si="794"/>
        <v>2198.2666131138058</v>
      </c>
      <c r="G989" s="517">
        <f t="shared" si="794"/>
        <v>2418.5841403642657</v>
      </c>
      <c r="H989" s="517">
        <f t="shared" si="794"/>
        <v>1978.8420554655877</v>
      </c>
      <c r="I989" s="517">
        <f t="shared" si="794"/>
        <v>2685.3895588126907</v>
      </c>
      <c r="J989" s="517">
        <f t="shared" si="794"/>
        <v>6162.9661500878974</v>
      </c>
      <c r="K989" s="517">
        <f t="shared" si="794"/>
        <v>2243.5407073219003</v>
      </c>
      <c r="L989" s="517">
        <f t="shared" si="794"/>
        <v>2722.2579749548077</v>
      </c>
      <c r="M989" s="517">
        <f t="shared" si="794"/>
        <v>1685.4507392486703</v>
      </c>
      <c r="N989" s="517">
        <f t="shared" si="794"/>
        <v>1702.4118148181835</v>
      </c>
      <c r="O989" s="517">
        <f t="shared" si="794"/>
        <v>1702.4118148181835</v>
      </c>
      <c r="P989" s="511">
        <f t="shared" si="749"/>
        <v>3.6006031223223545E-7</v>
      </c>
      <c r="Q989" s="530">
        <v>1895</v>
      </c>
      <c r="R989" s="480"/>
      <c r="U989" s="513"/>
    </row>
    <row r="990" spans="1:21" s="479" customFormat="1" ht="45" x14ac:dyDescent="0.15">
      <c r="A990" s="579"/>
      <c r="B990" s="518" t="s">
        <v>301</v>
      </c>
      <c r="C990" s="517">
        <f>'ENAJENAC DE INMUE'!I78</f>
        <v>117984.81246666607</v>
      </c>
      <c r="D990" s="517">
        <f t="shared" ref="D990:O990" si="795">$C990*D$27%</f>
        <v>5095.2587978196862</v>
      </c>
      <c r="E990" s="517">
        <f t="shared" si="795"/>
        <v>5170.3068549517475</v>
      </c>
      <c r="F990" s="517">
        <f t="shared" si="795"/>
        <v>5100.6042038110936</v>
      </c>
      <c r="G990" s="517">
        <f t="shared" si="795"/>
        <v>5070.7262851385631</v>
      </c>
      <c r="H990" s="517">
        <f t="shared" si="795"/>
        <v>7034.0657435626845</v>
      </c>
      <c r="I990" s="517">
        <f t="shared" si="795"/>
        <v>5062.9628844782565</v>
      </c>
      <c r="J990" s="517">
        <f t="shared" si="795"/>
        <v>5818.7569365158342</v>
      </c>
      <c r="K990" s="517">
        <f t="shared" si="795"/>
        <v>5812.7674721984977</v>
      </c>
      <c r="L990" s="517">
        <f t="shared" si="795"/>
        <v>5805.4038318092598</v>
      </c>
      <c r="M990" s="517">
        <f t="shared" si="795"/>
        <v>5069.8962272953249</v>
      </c>
      <c r="N990" s="517">
        <f t="shared" si="795"/>
        <v>21078.764058840854</v>
      </c>
      <c r="O990" s="517">
        <f t="shared" si="795"/>
        <v>41865.2991700083</v>
      </c>
      <c r="P990" s="511">
        <f t="shared" si="749"/>
        <v>2.3598113330081105E-7</v>
      </c>
      <c r="Q990" s="530">
        <v>27655</v>
      </c>
      <c r="R990" s="480"/>
      <c r="U990" s="513"/>
    </row>
    <row r="991" spans="1:21" s="479" customFormat="1" ht="27" x14ac:dyDescent="0.15">
      <c r="A991" s="579"/>
      <c r="B991" s="518" t="s">
        <v>248</v>
      </c>
      <c r="C991" s="517">
        <f>'IMP BEBIDAS AL'!I78</f>
        <v>46114.699553840786</v>
      </c>
      <c r="D991" s="517">
        <f t="shared" ref="D991:O991" si="796">$C991*D$28%</f>
        <v>10486.048988867858</v>
      </c>
      <c r="E991" s="517">
        <f t="shared" si="796"/>
        <v>3606.8200500956455</v>
      </c>
      <c r="F991" s="517">
        <f t="shared" si="796"/>
        <v>3876.0802355592828</v>
      </c>
      <c r="G991" s="517">
        <f t="shared" si="796"/>
        <v>3848.2551460435593</v>
      </c>
      <c r="H991" s="517">
        <f t="shared" si="796"/>
        <v>2450.5874212049102</v>
      </c>
      <c r="I991" s="517">
        <f t="shared" si="796"/>
        <v>4010.3902569991724</v>
      </c>
      <c r="J991" s="517">
        <f t="shared" si="796"/>
        <v>3987.8163635077535</v>
      </c>
      <c r="K991" s="517">
        <f t="shared" si="796"/>
        <v>3647.1490328786317</v>
      </c>
      <c r="L991" s="517">
        <f t="shared" si="796"/>
        <v>2645.0151075187296</v>
      </c>
      <c r="M991" s="517">
        <f t="shared" si="796"/>
        <v>2458.7758413804731</v>
      </c>
      <c r="N991" s="517">
        <f t="shared" si="796"/>
        <v>2476.1559658867727</v>
      </c>
      <c r="O991" s="517">
        <f t="shared" si="796"/>
        <v>2621.6051438979989</v>
      </c>
      <c r="P991" s="511">
        <f t="shared" si="749"/>
        <v>0</v>
      </c>
      <c r="Q991" s="530">
        <v>1184</v>
      </c>
      <c r="R991" s="480"/>
      <c r="U991" s="513"/>
    </row>
    <row r="992" spans="1:21" s="479" customFormat="1" ht="18" x14ac:dyDescent="0.15">
      <c r="A992" s="579"/>
      <c r="B992" s="518" t="s">
        <v>253</v>
      </c>
      <c r="C992" s="517">
        <f>'FOND GASO Y D'!Q79</f>
        <v>0</v>
      </c>
      <c r="D992" s="517">
        <f t="shared" ref="D992:O992" si="797">$C992*D$29%</f>
        <v>0</v>
      </c>
      <c r="E992" s="517">
        <f t="shared" si="797"/>
        <v>0</v>
      </c>
      <c r="F992" s="517">
        <f t="shared" si="797"/>
        <v>0</v>
      </c>
      <c r="G992" s="517">
        <f t="shared" si="797"/>
        <v>0</v>
      </c>
      <c r="H992" s="517">
        <f t="shared" si="797"/>
        <v>0</v>
      </c>
      <c r="I992" s="517">
        <f t="shared" si="797"/>
        <v>0</v>
      </c>
      <c r="J992" s="517">
        <f t="shared" si="797"/>
        <v>0</v>
      </c>
      <c r="K992" s="517">
        <f t="shared" si="797"/>
        <v>0</v>
      </c>
      <c r="L992" s="517">
        <f t="shared" si="797"/>
        <v>0</v>
      </c>
      <c r="M992" s="517">
        <f t="shared" si="797"/>
        <v>0</v>
      </c>
      <c r="N992" s="517">
        <f t="shared" si="797"/>
        <v>0</v>
      </c>
      <c r="O992" s="517">
        <f t="shared" si="797"/>
        <v>0</v>
      </c>
      <c r="P992" s="511">
        <f t="shared" si="749"/>
        <v>0</v>
      </c>
      <c r="Q992" s="530">
        <v>45623</v>
      </c>
      <c r="R992" s="480"/>
      <c r="U992" s="513"/>
    </row>
    <row r="993" spans="1:21" s="479" customFormat="1" ht="18" x14ac:dyDescent="0.15">
      <c r="A993" s="579"/>
      <c r="B993" s="528" t="s">
        <v>408</v>
      </c>
      <c r="C993" s="519">
        <f>'FOND GASO Y D'!H79</f>
        <v>1477677.8582954104</v>
      </c>
      <c r="D993" s="517">
        <f t="shared" ref="D993:O993" si="798">$C993*D$30%</f>
        <v>114949.7466106026</v>
      </c>
      <c r="E993" s="517">
        <f t="shared" si="798"/>
        <v>126384.63026178355</v>
      </c>
      <c r="F993" s="517">
        <f t="shared" si="798"/>
        <v>123048.47769108288</v>
      </c>
      <c r="G993" s="517">
        <f t="shared" si="798"/>
        <v>114655.54530225495</v>
      </c>
      <c r="H993" s="517">
        <f t="shared" si="798"/>
        <v>126334.0226455775</v>
      </c>
      <c r="I993" s="517">
        <f t="shared" si="798"/>
        <v>121927.34334742351</v>
      </c>
      <c r="J993" s="517">
        <f t="shared" si="798"/>
        <v>124469.35914788666</v>
      </c>
      <c r="K993" s="517">
        <f t="shared" si="798"/>
        <v>124395.39569384063</v>
      </c>
      <c r="L993" s="517">
        <f t="shared" si="798"/>
        <v>129448.28353457383</v>
      </c>
      <c r="M993" s="517">
        <f t="shared" si="798"/>
        <v>128311.57863333961</v>
      </c>
      <c r="N993" s="517">
        <f t="shared" si="798"/>
        <v>119918.64624451171</v>
      </c>
      <c r="O993" s="517">
        <f t="shared" si="798"/>
        <v>123834.82918401065</v>
      </c>
      <c r="P993" s="511">
        <f t="shared" si="749"/>
        <v>-1.4775723684579134E-6</v>
      </c>
      <c r="Q993" s="530">
        <v>90306</v>
      </c>
      <c r="R993" s="480"/>
      <c r="U993" s="513"/>
    </row>
    <row r="994" spans="1:21" s="479" customFormat="1" x14ac:dyDescent="0.15">
      <c r="A994" s="579"/>
      <c r="B994" s="534"/>
      <c r="C994" s="521"/>
      <c r="D994" s="522"/>
      <c r="E994" s="522"/>
      <c r="F994" s="522"/>
      <c r="G994" s="522"/>
      <c r="H994" s="522"/>
      <c r="I994" s="522"/>
      <c r="J994" s="522"/>
      <c r="K994" s="522"/>
      <c r="L994" s="522"/>
      <c r="M994" s="522"/>
      <c r="N994" s="522"/>
      <c r="O994" s="522"/>
      <c r="P994" s="511">
        <f t="shared" si="749"/>
        <v>0</v>
      </c>
      <c r="Q994" s="530">
        <v>0</v>
      </c>
      <c r="R994" s="480"/>
      <c r="U994" s="513"/>
    </row>
    <row r="995" spans="1:21" s="479" customFormat="1" x14ac:dyDescent="0.15">
      <c r="A995" s="591"/>
      <c r="B995" s="532"/>
      <c r="C995" s="521"/>
      <c r="D995" s="522"/>
      <c r="E995" s="522"/>
      <c r="F995" s="522"/>
      <c r="G995" s="522"/>
      <c r="H995" s="522"/>
      <c r="I995" s="522"/>
      <c r="J995" s="522"/>
      <c r="K995" s="522"/>
      <c r="L995" s="522"/>
      <c r="M995" s="522"/>
      <c r="N995" s="522"/>
      <c r="O995" s="522"/>
      <c r="P995" s="511">
        <f t="shared" si="749"/>
        <v>0</v>
      </c>
      <c r="Q995" s="530">
        <v>0</v>
      </c>
      <c r="R995" s="480"/>
      <c r="U995" s="513"/>
    </row>
    <row r="996" spans="1:21" s="479" customFormat="1" x14ac:dyDescent="0.15">
      <c r="A996" s="576">
        <v>65</v>
      </c>
      <c r="B996" s="533" t="s">
        <v>89</v>
      </c>
      <c r="C996" s="524">
        <f t="shared" ref="C996:O996" si="799">SUM(C997:C1008)</f>
        <v>69182642.975676417</v>
      </c>
      <c r="D996" s="524">
        <f t="shared" si="799"/>
        <v>5389697.8474241737</v>
      </c>
      <c r="E996" s="524">
        <f t="shared" si="799"/>
        <v>7325448.1907205498</v>
      </c>
      <c r="F996" s="524">
        <f t="shared" si="799"/>
        <v>4797510.069324661</v>
      </c>
      <c r="G996" s="524">
        <f t="shared" si="799"/>
        <v>6152610.9859623406</v>
      </c>
      <c r="H996" s="524">
        <f t="shared" si="799"/>
        <v>6998302.2095219083</v>
      </c>
      <c r="I996" s="524">
        <f t="shared" si="799"/>
        <v>6858937.3663804885</v>
      </c>
      <c r="J996" s="524">
        <f t="shared" si="799"/>
        <v>5908048.3324819012</v>
      </c>
      <c r="K996" s="524">
        <f t="shared" si="799"/>
        <v>5740293.7082303073</v>
      </c>
      <c r="L996" s="524">
        <f t="shared" si="799"/>
        <v>5425794.7586524896</v>
      </c>
      <c r="M996" s="524">
        <f t="shared" si="799"/>
        <v>3995197.9877130012</v>
      </c>
      <c r="N996" s="524">
        <f t="shared" si="799"/>
        <v>5263344.2629680643</v>
      </c>
      <c r="O996" s="524">
        <f t="shared" si="799"/>
        <v>5327457.2560881553</v>
      </c>
      <c r="P996" s="511">
        <f t="shared" ref="P996:P1059" si="800">C996-D996-E996-F996-G996-H996-I996-J996-K996-L996-M996-N996-O996</f>
        <v>2.0837783813476563E-4</v>
      </c>
      <c r="Q996" s="530">
        <v>4277224</v>
      </c>
      <c r="R996" s="480"/>
      <c r="T996" s="512"/>
      <c r="U996" s="513"/>
    </row>
    <row r="997" spans="1:21" s="479" customFormat="1" x14ac:dyDescent="0.15">
      <c r="A997" s="579"/>
      <c r="B997" s="528" t="s">
        <v>294</v>
      </c>
      <c r="C997" s="517">
        <f>'FG1'!I80</f>
        <v>49283855.518900476</v>
      </c>
      <c r="D997" s="517">
        <f t="shared" ref="D997:O997" si="801">$C997*D$19%</f>
        <v>3727569.5573772942</v>
      </c>
      <c r="E997" s="517">
        <f t="shared" si="801"/>
        <v>5340674.1949218167</v>
      </c>
      <c r="F997" s="517">
        <f t="shared" si="801"/>
        <v>3452189.1412925278</v>
      </c>
      <c r="G997" s="517">
        <f t="shared" si="801"/>
        <v>4240664.5845034048</v>
      </c>
      <c r="H997" s="517">
        <f t="shared" si="801"/>
        <v>5178778.0548343863</v>
      </c>
      <c r="I997" s="517">
        <f t="shared" si="801"/>
        <v>5077030.2689640839</v>
      </c>
      <c r="J997" s="517">
        <f t="shared" si="801"/>
        <v>3935732.1126565612</v>
      </c>
      <c r="K997" s="517">
        <f t="shared" si="801"/>
        <v>4178703.4686048334</v>
      </c>
      <c r="L997" s="517">
        <f t="shared" si="801"/>
        <v>3926944.805258818</v>
      </c>
      <c r="M997" s="517">
        <f t="shared" si="801"/>
        <v>2603262.6140857101</v>
      </c>
      <c r="N997" s="517">
        <f t="shared" si="801"/>
        <v>3799329.0953995935</v>
      </c>
      <c r="O997" s="517">
        <f t="shared" si="801"/>
        <v>3822977.6209521648</v>
      </c>
      <c r="P997" s="511">
        <f t="shared" si="800"/>
        <v>4.9287918955087662E-5</v>
      </c>
      <c r="Q997" s="530">
        <v>2943140</v>
      </c>
      <c r="R997" s="480"/>
      <c r="U997" s="513"/>
    </row>
    <row r="998" spans="1:21" s="479" customFormat="1" x14ac:dyDescent="0.15">
      <c r="A998" s="579"/>
      <c r="B998" s="528" t="s">
        <v>296</v>
      </c>
      <c r="C998" s="517">
        <f>FFM!J80</f>
        <v>13247298.08296754</v>
      </c>
      <c r="D998" s="517">
        <f t="shared" ref="D998:O998" si="802">$C998*D$20%</f>
        <v>1001802.2767551481</v>
      </c>
      <c r="E998" s="517">
        <f t="shared" si="802"/>
        <v>1436246.3371748882</v>
      </c>
      <c r="F998" s="517">
        <f t="shared" si="802"/>
        <v>927636.36334079714</v>
      </c>
      <c r="G998" s="517">
        <f t="shared" si="802"/>
        <v>1139989.8979493377</v>
      </c>
      <c r="H998" s="517">
        <f t="shared" si="802"/>
        <v>1392644.1994599437</v>
      </c>
      <c r="I998" s="517">
        <f t="shared" si="802"/>
        <v>1365241.310209587</v>
      </c>
      <c r="J998" s="517">
        <f t="shared" si="802"/>
        <v>1057772.2203134221</v>
      </c>
      <c r="K998" s="517">
        <f t="shared" si="802"/>
        <v>1123209.6758740449</v>
      </c>
      <c r="L998" s="517">
        <f t="shared" si="802"/>
        <v>1055405.6022215115</v>
      </c>
      <c r="M998" s="517">
        <f t="shared" si="802"/>
        <v>698909.2820297631</v>
      </c>
      <c r="N998" s="517">
        <f t="shared" si="802"/>
        <v>1021035.9272217851</v>
      </c>
      <c r="O998" s="517">
        <f t="shared" si="802"/>
        <v>1027404.9902583442</v>
      </c>
      <c r="P998" s="511">
        <f t="shared" si="800"/>
        <v>1.5896582044661045E-4</v>
      </c>
      <c r="Q998" s="530">
        <v>901093</v>
      </c>
      <c r="R998" s="480"/>
      <c r="U998" s="513"/>
    </row>
    <row r="999" spans="1:21" s="479" customFormat="1" ht="18" x14ac:dyDescent="0.15">
      <c r="A999" s="579"/>
      <c r="B999" s="528" t="s">
        <v>297</v>
      </c>
      <c r="C999" s="517">
        <f>IEPS!I79</f>
        <v>1191880.7920603028</v>
      </c>
      <c r="D999" s="517">
        <f t="shared" ref="D999:O999" si="803">$C999*D$21%</f>
        <v>83717.493399454703</v>
      </c>
      <c r="E999" s="517">
        <f t="shared" si="803"/>
        <v>191353.63372964828</v>
      </c>
      <c r="F999" s="517">
        <f t="shared" si="803"/>
        <v>79480.609743220164</v>
      </c>
      <c r="G999" s="517">
        <f t="shared" si="803"/>
        <v>77244.022863888691</v>
      </c>
      <c r="H999" s="517">
        <f t="shared" si="803"/>
        <v>85281.65063853102</v>
      </c>
      <c r="I999" s="517">
        <f t="shared" si="803"/>
        <v>88438.770765798705</v>
      </c>
      <c r="J999" s="517">
        <f t="shared" si="803"/>
        <v>91075.585191338512</v>
      </c>
      <c r="K999" s="517">
        <f t="shared" si="803"/>
        <v>100885.08499767669</v>
      </c>
      <c r="L999" s="517">
        <f t="shared" si="803"/>
        <v>101096.48512980489</v>
      </c>
      <c r="M999" s="517">
        <f t="shared" si="803"/>
        <v>99972.873142006589</v>
      </c>
      <c r="N999" s="517">
        <f t="shared" si="803"/>
        <v>96740.662620213596</v>
      </c>
      <c r="O999" s="517">
        <f t="shared" si="803"/>
        <v>96593.919837529043</v>
      </c>
      <c r="P999" s="511">
        <f t="shared" si="800"/>
        <v>1.1918164091184735E-6</v>
      </c>
      <c r="Q999" s="530">
        <v>76011</v>
      </c>
      <c r="R999" s="480"/>
      <c r="U999" s="513"/>
    </row>
    <row r="1000" spans="1:21" s="479" customFormat="1" x14ac:dyDescent="0.15">
      <c r="A1000" s="579"/>
      <c r="B1000" s="528" t="s">
        <v>236</v>
      </c>
      <c r="C1000" s="517">
        <f>ISR!C70</f>
        <v>148069.71</v>
      </c>
      <c r="D1000" s="517">
        <f>ISR!D70</f>
        <v>10057.949999999995</v>
      </c>
      <c r="E1000" s="517">
        <f>ISR!E70</f>
        <v>10720.240000000003</v>
      </c>
      <c r="F1000" s="517">
        <f>ISR!F70</f>
        <v>13441.500000000002</v>
      </c>
      <c r="G1000" s="517">
        <f>ISR!G70</f>
        <v>12639.129999999996</v>
      </c>
      <c r="H1000" s="517">
        <f>ISR!H70</f>
        <v>12736.980000000007</v>
      </c>
      <c r="I1000" s="517">
        <f>ISR!I70</f>
        <v>12639.129999999996</v>
      </c>
      <c r="J1000" s="517">
        <f>ISR!J70</f>
        <v>12639.129999999996</v>
      </c>
      <c r="K1000" s="517">
        <f>ISR!K70</f>
        <v>12639.129999999996</v>
      </c>
      <c r="L1000" s="517">
        <f>ISR!L70</f>
        <v>12639.129999999996</v>
      </c>
      <c r="M1000" s="517">
        <f>ISR!M70</f>
        <v>12639.129999999996</v>
      </c>
      <c r="N1000" s="517">
        <f>ISR!N70</f>
        <v>12639.129999999996</v>
      </c>
      <c r="O1000" s="517">
        <f>ISR!O70</f>
        <v>12639.129999999996</v>
      </c>
      <c r="P1000" s="511">
        <f t="shared" si="800"/>
        <v>3.2741809263825417E-11</v>
      </c>
      <c r="Q1000" s="530">
        <v>0</v>
      </c>
      <c r="R1000" s="480"/>
      <c r="U1000" s="513"/>
    </row>
    <row r="1001" spans="1:21" s="479" customFormat="1" ht="18" x14ac:dyDescent="0.15">
      <c r="A1001" s="579"/>
      <c r="B1001" s="528" t="s">
        <v>298</v>
      </c>
      <c r="C1001" s="517">
        <f>FOFIR!I79</f>
        <v>2305091.5858001071</v>
      </c>
      <c r="D1001" s="517">
        <f t="shared" ref="D1001:O1001" si="804">$C1001*D$23%</f>
        <v>315141.73852608539</v>
      </c>
      <c r="E1001" s="517">
        <f t="shared" si="804"/>
        <v>80178.617268545422</v>
      </c>
      <c r="F1001" s="517">
        <f t="shared" si="804"/>
        <v>80178.617268545422</v>
      </c>
      <c r="G1001" s="517">
        <f t="shared" si="804"/>
        <v>452474.74971624586</v>
      </c>
      <c r="H1001" s="517">
        <f t="shared" si="804"/>
        <v>80178.617268545422</v>
      </c>
      <c r="I1001" s="517">
        <f t="shared" si="804"/>
        <v>80178.617268545422</v>
      </c>
      <c r="J1001" s="517">
        <f t="shared" si="804"/>
        <v>562805.68059289351</v>
      </c>
      <c r="K1001" s="517">
        <f t="shared" si="804"/>
        <v>80178.617268545422</v>
      </c>
      <c r="L1001" s="517">
        <f t="shared" si="804"/>
        <v>80178.617268545422</v>
      </c>
      <c r="M1001" s="517">
        <f t="shared" si="804"/>
        <v>333240.47882573941</v>
      </c>
      <c r="N1001" s="517">
        <f t="shared" si="804"/>
        <v>80178.617268545422</v>
      </c>
      <c r="O1001" s="517">
        <f t="shared" si="804"/>
        <v>80178.617268545422</v>
      </c>
      <c r="P1001" s="511">
        <f t="shared" si="800"/>
        <v>-9.2200061772018671E-6</v>
      </c>
      <c r="Q1001" s="530">
        <v>89533</v>
      </c>
      <c r="R1001" s="480"/>
      <c r="U1001" s="513"/>
    </row>
    <row r="1002" spans="1:21" s="479" customFormat="1" ht="27" x14ac:dyDescent="0.15">
      <c r="A1002" s="579"/>
      <c r="B1002" s="528" t="s">
        <v>407</v>
      </c>
      <c r="C1002" s="517">
        <f>FCISAN!I79</f>
        <v>146330.09245597481</v>
      </c>
      <c r="D1002" s="517">
        <f t="shared" ref="D1002:O1002" si="805">$C1002*D$24%</f>
        <v>12194.174371282459</v>
      </c>
      <c r="E1002" s="517">
        <f t="shared" si="805"/>
        <v>12194.174371282459</v>
      </c>
      <c r="F1002" s="517">
        <f t="shared" si="805"/>
        <v>12194.174371282459</v>
      </c>
      <c r="G1002" s="517">
        <f t="shared" si="805"/>
        <v>12194.174371282459</v>
      </c>
      <c r="H1002" s="517">
        <f t="shared" si="805"/>
        <v>12194.174371282459</v>
      </c>
      <c r="I1002" s="517">
        <f t="shared" si="805"/>
        <v>12194.174371282459</v>
      </c>
      <c r="J1002" s="517">
        <f t="shared" si="805"/>
        <v>12194.174371282459</v>
      </c>
      <c r="K1002" s="517">
        <f t="shared" si="805"/>
        <v>12194.174371282459</v>
      </c>
      <c r="L1002" s="517">
        <f t="shared" si="805"/>
        <v>12194.174371282459</v>
      </c>
      <c r="M1002" s="517">
        <f t="shared" si="805"/>
        <v>12194.174371282459</v>
      </c>
      <c r="N1002" s="517">
        <f t="shared" si="805"/>
        <v>12194.174371282459</v>
      </c>
      <c r="O1002" s="517">
        <f t="shared" si="805"/>
        <v>12194.174371282459</v>
      </c>
      <c r="P1002" s="511">
        <f t="shared" si="800"/>
        <v>5.8532532420940697E-7</v>
      </c>
      <c r="Q1002" s="530">
        <v>10650</v>
      </c>
      <c r="R1002" s="480"/>
      <c r="U1002" s="513"/>
    </row>
    <row r="1003" spans="1:21" s="479" customFormat="1" ht="27" x14ac:dyDescent="0.15">
      <c r="A1003" s="579"/>
      <c r="B1003" s="528" t="s">
        <v>242</v>
      </c>
      <c r="C1003" s="517">
        <f>ISAN!I79</f>
        <v>730935.97274342238</v>
      </c>
      <c r="D1003" s="517">
        <f t="shared" ref="D1003:O1003" si="806">$C1003*D$25%</f>
        <v>70340.605526894607</v>
      </c>
      <c r="E1003" s="517">
        <f t="shared" si="806"/>
        <v>78563.111028794316</v>
      </c>
      <c r="F1003" s="517">
        <f t="shared" si="806"/>
        <v>60971.910676970576</v>
      </c>
      <c r="G1003" s="517">
        <f t="shared" si="806"/>
        <v>56588.222404920605</v>
      </c>
      <c r="H1003" s="517">
        <f t="shared" si="806"/>
        <v>60505.320692683541</v>
      </c>
      <c r="I1003" s="517">
        <f t="shared" si="806"/>
        <v>52550.712052308045</v>
      </c>
      <c r="J1003" s="517">
        <f t="shared" si="806"/>
        <v>56930.639235566312</v>
      </c>
      <c r="K1003" s="517">
        <f t="shared" si="806"/>
        <v>58710.453920255721</v>
      </c>
      <c r="L1003" s="517">
        <f t="shared" si="806"/>
        <v>57690.728698492065</v>
      </c>
      <c r="M1003" s="517">
        <f t="shared" si="806"/>
        <v>59105.550739091559</v>
      </c>
      <c r="N1003" s="517">
        <f t="shared" si="806"/>
        <v>57227.901349657266</v>
      </c>
      <c r="O1003" s="517">
        <f t="shared" si="806"/>
        <v>61750.816409016545</v>
      </c>
      <c r="P1003" s="511">
        <f t="shared" si="800"/>
        <v>8.7713560787960887E-6</v>
      </c>
      <c r="Q1003" s="530">
        <v>45752</v>
      </c>
      <c r="R1003" s="480"/>
      <c r="U1003" s="513"/>
    </row>
    <row r="1004" spans="1:21" s="479" customFormat="1" ht="18" x14ac:dyDescent="0.15">
      <c r="A1004" s="579"/>
      <c r="B1004" s="528" t="s">
        <v>403</v>
      </c>
      <c r="C1004" s="517">
        <f>LOT!I79</f>
        <v>35382.413994703602</v>
      </c>
      <c r="D1004" s="517">
        <f t="shared" ref="D1004:O1004" si="807">$C1004*D$26%</f>
        <v>2675.2780838817857</v>
      </c>
      <c r="E1004" s="517">
        <f t="shared" si="807"/>
        <v>2637.357797672194</v>
      </c>
      <c r="F1004" s="517">
        <f t="shared" si="807"/>
        <v>2592.1989865839046</v>
      </c>
      <c r="G1004" s="517">
        <f t="shared" si="807"/>
        <v>2851.9977150267446</v>
      </c>
      <c r="H1004" s="517">
        <f t="shared" si="807"/>
        <v>2333.4532491132127</v>
      </c>
      <c r="I1004" s="517">
        <f t="shared" si="807"/>
        <v>3166.6150281366608</v>
      </c>
      <c r="J1004" s="517">
        <f t="shared" si="807"/>
        <v>7267.3780847626822</v>
      </c>
      <c r="K1004" s="517">
        <f t="shared" si="807"/>
        <v>2645.5862601860313</v>
      </c>
      <c r="L1004" s="517">
        <f t="shared" si="807"/>
        <v>3210.0903147058252</v>
      </c>
      <c r="M1004" s="517">
        <f t="shared" si="807"/>
        <v>1987.4858091161434</v>
      </c>
      <c r="N1004" s="517">
        <f t="shared" si="807"/>
        <v>2007.4863325469148</v>
      </c>
      <c r="O1004" s="517">
        <f t="shared" si="807"/>
        <v>2007.4863325469148</v>
      </c>
      <c r="P1004" s="511">
        <f t="shared" si="800"/>
        <v>4.2458805182832293E-7</v>
      </c>
      <c r="Q1004" s="530">
        <v>2233</v>
      </c>
      <c r="R1004" s="480"/>
      <c r="U1004" s="513"/>
    </row>
    <row r="1005" spans="1:21" s="479" customFormat="1" ht="45" x14ac:dyDescent="0.15">
      <c r="A1005" s="579"/>
      <c r="B1005" s="518" t="s">
        <v>301</v>
      </c>
      <c r="C1005" s="517">
        <f>'ENAJENAC DE INMUE'!I79</f>
        <v>139127.85168272507</v>
      </c>
      <c r="D1005" s="517">
        <f t="shared" ref="D1005:O1005" si="808">$C1005*D$27%</f>
        <v>6008.3361196038577</v>
      </c>
      <c r="E1005" s="517">
        <f t="shared" si="808"/>
        <v>6096.8328908700414</v>
      </c>
      <c r="F1005" s="517">
        <f t="shared" si="808"/>
        <v>6014.63942963511</v>
      </c>
      <c r="G1005" s="517">
        <f t="shared" si="808"/>
        <v>5979.4073472106465</v>
      </c>
      <c r="H1005" s="517">
        <f t="shared" si="808"/>
        <v>8294.5799127613755</v>
      </c>
      <c r="I1005" s="517">
        <f t="shared" si="808"/>
        <v>5970.2527345699236</v>
      </c>
      <c r="J1005" s="517">
        <f t="shared" si="808"/>
        <v>6861.4861109358717</v>
      </c>
      <c r="K1005" s="517">
        <f t="shared" si="808"/>
        <v>6854.4233264487848</v>
      </c>
      <c r="L1005" s="517">
        <f t="shared" si="808"/>
        <v>6845.7401116646088</v>
      </c>
      <c r="M1005" s="517">
        <f t="shared" si="808"/>
        <v>5978.4285418704703</v>
      </c>
      <c r="N1005" s="517">
        <f t="shared" si="808"/>
        <v>24856.107310100764</v>
      </c>
      <c r="O1005" s="517">
        <f t="shared" si="808"/>
        <v>49367.617846775356</v>
      </c>
      <c r="P1005" s="511">
        <f t="shared" si="800"/>
        <v>2.7828355086967349E-7</v>
      </c>
      <c r="Q1005" s="530">
        <v>32607</v>
      </c>
      <c r="R1005" s="480"/>
      <c r="U1005" s="513"/>
    </row>
    <row r="1006" spans="1:21" s="479" customFormat="1" ht="27" x14ac:dyDescent="0.15">
      <c r="A1006" s="579"/>
      <c r="B1006" s="518" t="s">
        <v>248</v>
      </c>
      <c r="C1006" s="517">
        <f>'IMP BEBIDAS AL'!I79</f>
        <v>54378.516571637876</v>
      </c>
      <c r="D1006" s="517">
        <f t="shared" ref="D1006:O1006" si="809">$C1006*D$28%</f>
        <v>12365.163260933909</v>
      </c>
      <c r="E1006" s="517">
        <f t="shared" si="809"/>
        <v>4253.167119435484</v>
      </c>
      <c r="F1006" s="517">
        <f t="shared" si="809"/>
        <v>4570.6790971557675</v>
      </c>
      <c r="G1006" s="517">
        <f t="shared" si="809"/>
        <v>4537.8677136711703</v>
      </c>
      <c r="H1006" s="517">
        <f t="shared" si="809"/>
        <v>2889.7360274168732</v>
      </c>
      <c r="I1006" s="517">
        <f t="shared" si="809"/>
        <v>4729.0576575121868</v>
      </c>
      <c r="J1006" s="517">
        <f t="shared" si="809"/>
        <v>4702.4384915372175</v>
      </c>
      <c r="K1006" s="517">
        <f t="shared" si="809"/>
        <v>4300.7231109045697</v>
      </c>
      <c r="L1006" s="517">
        <f t="shared" si="809"/>
        <v>3119.0054201374569</v>
      </c>
      <c r="M1006" s="517">
        <f t="shared" si="809"/>
        <v>2899.3918236493196</v>
      </c>
      <c r="N1006" s="517">
        <f t="shared" si="809"/>
        <v>2919.8864901575448</v>
      </c>
      <c r="O1006" s="517">
        <f t="shared" si="809"/>
        <v>3091.4003591263781</v>
      </c>
      <c r="P1006" s="511">
        <f t="shared" si="800"/>
        <v>0</v>
      </c>
      <c r="Q1006" s="530">
        <v>1397</v>
      </c>
      <c r="R1006" s="480"/>
      <c r="U1006" s="513"/>
    </row>
    <row r="1007" spans="1:21" s="479" customFormat="1" ht="18" x14ac:dyDescent="0.15">
      <c r="A1007" s="579"/>
      <c r="B1007" s="518" t="s">
        <v>253</v>
      </c>
      <c r="C1007" s="517">
        <f>'FOND GASO Y D'!Q80</f>
        <v>0</v>
      </c>
      <c r="D1007" s="517">
        <f t="shared" ref="D1007:O1007" si="810">$C1007*D$29%</f>
        <v>0</v>
      </c>
      <c r="E1007" s="517">
        <f t="shared" si="810"/>
        <v>0</v>
      </c>
      <c r="F1007" s="517">
        <f t="shared" si="810"/>
        <v>0</v>
      </c>
      <c r="G1007" s="517">
        <f t="shared" si="810"/>
        <v>0</v>
      </c>
      <c r="H1007" s="517">
        <f t="shared" si="810"/>
        <v>0</v>
      </c>
      <c r="I1007" s="517">
        <f t="shared" si="810"/>
        <v>0</v>
      </c>
      <c r="J1007" s="517">
        <f t="shared" si="810"/>
        <v>0</v>
      </c>
      <c r="K1007" s="517">
        <f t="shared" si="810"/>
        <v>0</v>
      </c>
      <c r="L1007" s="517">
        <f t="shared" si="810"/>
        <v>0</v>
      </c>
      <c r="M1007" s="517">
        <f t="shared" si="810"/>
        <v>0</v>
      </c>
      <c r="N1007" s="517">
        <f t="shared" si="810"/>
        <v>0</v>
      </c>
      <c r="O1007" s="517">
        <f t="shared" si="810"/>
        <v>0</v>
      </c>
      <c r="P1007" s="511">
        <f t="shared" si="800"/>
        <v>0</v>
      </c>
      <c r="Q1007" s="530">
        <v>58673</v>
      </c>
      <c r="R1007" s="480"/>
      <c r="U1007" s="513"/>
    </row>
    <row r="1008" spans="1:21" s="479" customFormat="1" ht="18" x14ac:dyDescent="0.15">
      <c r="A1008" s="579"/>
      <c r="B1008" s="528" t="s">
        <v>408</v>
      </c>
      <c r="C1008" s="519">
        <f>'FOND GASO Y D'!H80</f>
        <v>1900292.4384995271</v>
      </c>
      <c r="D1008" s="517">
        <f t="shared" ref="D1008:O1008" si="811">$C1008*D$30%</f>
        <v>147825.2740035952</v>
      </c>
      <c r="E1008" s="517">
        <f t="shared" si="811"/>
        <v>162530.52441759777</v>
      </c>
      <c r="F1008" s="517">
        <f t="shared" si="811"/>
        <v>158240.23511794186</v>
      </c>
      <c r="G1008" s="517">
        <f t="shared" si="811"/>
        <v>147446.93137735146</v>
      </c>
      <c r="H1008" s="517">
        <f t="shared" si="811"/>
        <v>162465.44306724326</v>
      </c>
      <c r="I1008" s="517">
        <f t="shared" si="811"/>
        <v>156798.45732866399</v>
      </c>
      <c r="J1008" s="517">
        <f t="shared" si="811"/>
        <v>160067.48743360094</v>
      </c>
      <c r="K1008" s="517">
        <f t="shared" si="811"/>
        <v>159972.37049613049</v>
      </c>
      <c r="L1008" s="517">
        <f t="shared" si="811"/>
        <v>166470.37985752668</v>
      </c>
      <c r="M1008" s="517">
        <f t="shared" si="811"/>
        <v>165008.57834477175</v>
      </c>
      <c r="N1008" s="517">
        <f t="shared" si="811"/>
        <v>154215.27460418135</v>
      </c>
      <c r="O1008" s="517">
        <f t="shared" si="811"/>
        <v>159251.48245282259</v>
      </c>
      <c r="P1008" s="511">
        <f t="shared" si="800"/>
        <v>-1.9003346096724272E-6</v>
      </c>
      <c r="Q1008" s="530">
        <v>116135</v>
      </c>
      <c r="R1008" s="480"/>
      <c r="U1008" s="513"/>
    </row>
    <row r="1009" spans="1:21" s="479" customFormat="1" x14ac:dyDescent="0.15">
      <c r="A1009" s="579"/>
      <c r="B1009" s="534"/>
      <c r="C1009" s="521"/>
      <c r="D1009" s="522"/>
      <c r="E1009" s="522"/>
      <c r="F1009" s="522"/>
      <c r="G1009" s="522"/>
      <c r="H1009" s="522"/>
      <c r="I1009" s="522"/>
      <c r="J1009" s="522"/>
      <c r="K1009" s="522"/>
      <c r="L1009" s="522"/>
      <c r="M1009" s="522"/>
      <c r="N1009" s="522"/>
      <c r="O1009" s="522"/>
      <c r="P1009" s="511">
        <f t="shared" si="800"/>
        <v>0</v>
      </c>
      <c r="Q1009" s="530">
        <v>0</v>
      </c>
      <c r="R1009" s="480"/>
      <c r="U1009" s="513"/>
    </row>
    <row r="1010" spans="1:21" s="479" customFormat="1" x14ac:dyDescent="0.15">
      <c r="A1010" s="590"/>
      <c r="B1010" s="536"/>
      <c r="C1010" s="522"/>
      <c r="D1010" s="522"/>
      <c r="E1010" s="522"/>
      <c r="F1010" s="522"/>
      <c r="G1010" s="522"/>
      <c r="H1010" s="522"/>
      <c r="I1010" s="522"/>
      <c r="J1010" s="522"/>
      <c r="K1010" s="522"/>
      <c r="L1010" s="522"/>
      <c r="M1010" s="522"/>
      <c r="N1010" s="522"/>
      <c r="O1010" s="522"/>
      <c r="P1010" s="511">
        <f t="shared" si="800"/>
        <v>0</v>
      </c>
      <c r="Q1010" s="530">
        <v>0</v>
      </c>
      <c r="R1010" s="480"/>
      <c r="U1010" s="513"/>
    </row>
    <row r="1011" spans="1:21" s="479" customFormat="1" x14ac:dyDescent="0.15">
      <c r="A1011" s="576">
        <v>66</v>
      </c>
      <c r="B1011" s="533" t="s">
        <v>118</v>
      </c>
      <c r="C1011" s="524">
        <f t="shared" ref="C1011:O1011" si="812">SUM(C1012:C1023)</f>
        <v>157480760.77612349</v>
      </c>
      <c r="D1011" s="524">
        <f t="shared" si="812"/>
        <v>12284207.847605215</v>
      </c>
      <c r="E1011" s="524">
        <f t="shared" si="812"/>
        <v>16461307.242041508</v>
      </c>
      <c r="F1011" s="524">
        <f t="shared" si="812"/>
        <v>11072738.187326055</v>
      </c>
      <c r="G1011" s="524">
        <f t="shared" si="812"/>
        <v>13974579.662433458</v>
      </c>
      <c r="H1011" s="524">
        <f t="shared" si="812"/>
        <v>15782849.489639657</v>
      </c>
      <c r="I1011" s="524">
        <f t="shared" si="812"/>
        <v>15473946.566084368</v>
      </c>
      <c r="J1011" s="524">
        <f t="shared" si="812"/>
        <v>13436059.836760495</v>
      </c>
      <c r="K1011" s="524">
        <f t="shared" si="812"/>
        <v>12943162.638665831</v>
      </c>
      <c r="L1011" s="524">
        <f t="shared" si="812"/>
        <v>12508801.055215823</v>
      </c>
      <c r="M1011" s="524">
        <f t="shared" si="812"/>
        <v>9321268.0952215437</v>
      </c>
      <c r="N1011" s="524">
        <f t="shared" si="812"/>
        <v>12042391.368724814</v>
      </c>
      <c r="O1011" s="524">
        <f t="shared" si="812"/>
        <v>12179448.785956919</v>
      </c>
      <c r="P1011" s="511">
        <f t="shared" si="800"/>
        <v>4.4778920710086823E-4</v>
      </c>
      <c r="Q1011" s="530">
        <v>9216371</v>
      </c>
      <c r="R1011" s="480"/>
      <c r="T1011" s="512"/>
      <c r="U1011" s="513"/>
    </row>
    <row r="1012" spans="1:21" s="479" customFormat="1" x14ac:dyDescent="0.15">
      <c r="A1012" s="579"/>
      <c r="B1012" s="528" t="s">
        <v>294</v>
      </c>
      <c r="C1012" s="517">
        <f>'FG1'!I81</f>
        <v>105858167.40960367</v>
      </c>
      <c r="D1012" s="517">
        <f t="shared" ref="D1012:O1012" si="813">$C1012*D$19%</f>
        <v>8006550.5849975608</v>
      </c>
      <c r="E1012" s="517">
        <f t="shared" si="813"/>
        <v>11471383.012827991</v>
      </c>
      <c r="F1012" s="517">
        <f t="shared" si="813"/>
        <v>7415053.3110870821</v>
      </c>
      <c r="G1012" s="517">
        <f t="shared" si="813"/>
        <v>9108641.6999615859</v>
      </c>
      <c r="H1012" s="517">
        <f t="shared" si="813"/>
        <v>11123641.77951942</v>
      </c>
      <c r="I1012" s="517">
        <f t="shared" si="813"/>
        <v>10905094.873300115</v>
      </c>
      <c r="J1012" s="517">
        <f t="shared" si="813"/>
        <v>8453668.741504468</v>
      </c>
      <c r="K1012" s="517">
        <f t="shared" si="813"/>
        <v>8975553.6915130299</v>
      </c>
      <c r="L1012" s="517">
        <f t="shared" si="813"/>
        <v>8434794.2389357053</v>
      </c>
      <c r="M1012" s="517">
        <f t="shared" si="813"/>
        <v>5591620.3533906406</v>
      </c>
      <c r="N1012" s="517">
        <f t="shared" si="813"/>
        <v>8160684.8975268863</v>
      </c>
      <c r="O1012" s="517">
        <f t="shared" si="813"/>
        <v>8211480.22493333</v>
      </c>
      <c r="P1012" s="511">
        <f t="shared" si="800"/>
        <v>1.0583922266960144E-4</v>
      </c>
      <c r="Q1012" s="530">
        <v>6358858</v>
      </c>
      <c r="R1012" s="480"/>
      <c r="U1012" s="513"/>
    </row>
    <row r="1013" spans="1:21" s="479" customFormat="1" x14ac:dyDescent="0.15">
      <c r="A1013" s="579"/>
      <c r="B1013" s="528" t="s">
        <v>296</v>
      </c>
      <c r="C1013" s="517">
        <f>FFM!J81</f>
        <v>28454240.915747773</v>
      </c>
      <c r="D1013" s="517">
        <f t="shared" ref="D1013:O1013" si="814">$C1013*D$20%</f>
        <v>2151799.0426580678</v>
      </c>
      <c r="E1013" s="517">
        <f t="shared" si="814"/>
        <v>3084953.5532743027</v>
      </c>
      <c r="F1013" s="517">
        <f t="shared" si="814"/>
        <v>1992496.0093291996</v>
      </c>
      <c r="G1013" s="517">
        <f t="shared" si="814"/>
        <v>2448616.0871910271</v>
      </c>
      <c r="H1013" s="517">
        <f t="shared" si="814"/>
        <v>2991299.3059544056</v>
      </c>
      <c r="I1013" s="517">
        <f t="shared" si="814"/>
        <v>2932439.8760817042</v>
      </c>
      <c r="J1013" s="517">
        <f t="shared" si="814"/>
        <v>2272018.4449900473</v>
      </c>
      <c r="K1013" s="517">
        <f t="shared" si="814"/>
        <v>2412573.380326597</v>
      </c>
      <c r="L1013" s="517">
        <f t="shared" si="814"/>
        <v>2266935.1200039978</v>
      </c>
      <c r="M1013" s="517">
        <f t="shared" si="814"/>
        <v>1501206.7339751665</v>
      </c>
      <c r="N1013" s="517">
        <f t="shared" si="814"/>
        <v>2193111.5367711596</v>
      </c>
      <c r="O1013" s="517">
        <f t="shared" si="814"/>
        <v>2206791.8248506472</v>
      </c>
      <c r="P1013" s="511">
        <f t="shared" si="800"/>
        <v>3.4145032986998558E-4</v>
      </c>
      <c r="Q1013" s="530">
        <v>1946876</v>
      </c>
      <c r="R1013" s="480"/>
      <c r="U1013" s="513"/>
    </row>
    <row r="1014" spans="1:21" s="479" customFormat="1" ht="18" x14ac:dyDescent="0.15">
      <c r="A1014" s="579"/>
      <c r="B1014" s="528" t="s">
        <v>297</v>
      </c>
      <c r="C1014" s="517">
        <f>IEPS!I80</f>
        <v>2560073.9854824054</v>
      </c>
      <c r="D1014" s="517">
        <f t="shared" ref="D1014:O1014" si="815">$C1014*D$21%</f>
        <v>179819.13829759526</v>
      </c>
      <c r="E1014" s="517">
        <f t="shared" si="815"/>
        <v>411013.80524136836</v>
      </c>
      <c r="F1014" s="517">
        <f t="shared" si="815"/>
        <v>170718.61775888284</v>
      </c>
      <c r="G1014" s="517">
        <f t="shared" si="815"/>
        <v>165914.5904398839</v>
      </c>
      <c r="H1014" s="517">
        <f t="shared" si="815"/>
        <v>183178.8352434964</v>
      </c>
      <c r="I1014" s="517">
        <f t="shared" si="815"/>
        <v>189960.10159219682</v>
      </c>
      <c r="J1014" s="517">
        <f t="shared" si="815"/>
        <v>195623.78881690683</v>
      </c>
      <c r="K1014" s="517">
        <f t="shared" si="815"/>
        <v>216693.886961026</v>
      </c>
      <c r="L1014" s="517">
        <f t="shared" si="815"/>
        <v>217147.95919911735</v>
      </c>
      <c r="M1014" s="517">
        <f t="shared" si="815"/>
        <v>214734.52168179135</v>
      </c>
      <c r="N1014" s="517">
        <f t="shared" si="815"/>
        <v>207791.96658100732</v>
      </c>
      <c r="O1014" s="517">
        <f t="shared" si="815"/>
        <v>207476.77366657279</v>
      </c>
      <c r="P1014" s="511">
        <f t="shared" si="800"/>
        <v>2.5603803806006908E-6</v>
      </c>
      <c r="Q1014" s="530">
        <v>164224</v>
      </c>
      <c r="R1014" s="480"/>
      <c r="U1014" s="513"/>
    </row>
    <row r="1015" spans="1:21" s="479" customFormat="1" x14ac:dyDescent="0.15">
      <c r="A1015" s="579"/>
      <c r="B1015" s="528" t="s">
        <v>236</v>
      </c>
      <c r="C1015" s="517">
        <f>ISR!C71</f>
        <v>9445744.7799999993</v>
      </c>
      <c r="D1015" s="517">
        <f>ISR!D71</f>
        <v>748286.76000000024</v>
      </c>
      <c r="E1015" s="517">
        <f>ISR!E71</f>
        <v>770862.29999999993</v>
      </c>
      <c r="F1015" s="517">
        <f>ISR!F71</f>
        <v>817411.08999999985</v>
      </c>
      <c r="G1015" s="517">
        <f>ISR!G71</f>
        <v>805471.33000000031</v>
      </c>
      <c r="H1015" s="517">
        <f>ISR!H71</f>
        <v>799413.90000000014</v>
      </c>
      <c r="I1015" s="517">
        <f>ISR!I71</f>
        <v>788912.0199999999</v>
      </c>
      <c r="J1015" s="517">
        <f>ISR!J71</f>
        <v>793890.00999999989</v>
      </c>
      <c r="K1015" s="517">
        <f>ISR!K71</f>
        <v>661305.3200000003</v>
      </c>
      <c r="L1015" s="517">
        <f>ISR!L71</f>
        <v>903306.91000000015</v>
      </c>
      <c r="M1015" s="517">
        <f>ISR!M71</f>
        <v>788403.20000000019</v>
      </c>
      <c r="N1015" s="517">
        <f>ISR!N71</f>
        <v>784240.96999999962</v>
      </c>
      <c r="O1015" s="517">
        <f>ISR!O71</f>
        <v>784240.96999999962</v>
      </c>
      <c r="P1015" s="511">
        <f t="shared" si="800"/>
        <v>0</v>
      </c>
      <c r="Q1015" s="530">
        <v>0</v>
      </c>
      <c r="R1015" s="480"/>
      <c r="U1015" s="513"/>
    </row>
    <row r="1016" spans="1:21" s="479" customFormat="1" ht="18" x14ac:dyDescent="0.15">
      <c r="A1016" s="579"/>
      <c r="B1016" s="528" t="s">
        <v>298</v>
      </c>
      <c r="C1016" s="517">
        <f>FOFIR!I80</f>
        <v>4951170.4880823921</v>
      </c>
      <c r="D1016" s="517">
        <f t="shared" ref="D1016:O1016" si="816">$C1016*D$23%</f>
        <v>676901.72701391287</v>
      </c>
      <c r="E1016" s="517">
        <f t="shared" si="816"/>
        <v>172217.88758448945</v>
      </c>
      <c r="F1016" s="517">
        <f t="shared" si="816"/>
        <v>172217.88758448945</v>
      </c>
      <c r="G1016" s="517">
        <f t="shared" si="816"/>
        <v>971883.1308908416</v>
      </c>
      <c r="H1016" s="517">
        <f t="shared" si="816"/>
        <v>172217.88758448945</v>
      </c>
      <c r="I1016" s="517">
        <f t="shared" si="816"/>
        <v>172217.88758448945</v>
      </c>
      <c r="J1016" s="517">
        <f t="shared" si="816"/>
        <v>1208866.013585936</v>
      </c>
      <c r="K1016" s="517">
        <f t="shared" si="816"/>
        <v>172217.88758448945</v>
      </c>
      <c r="L1016" s="517">
        <f t="shared" si="816"/>
        <v>172217.88758448945</v>
      </c>
      <c r="M1016" s="517">
        <f t="shared" si="816"/>
        <v>715776.51593559061</v>
      </c>
      <c r="N1016" s="517">
        <f t="shared" si="816"/>
        <v>172217.88758448945</v>
      </c>
      <c r="O1016" s="517">
        <f t="shared" si="816"/>
        <v>172217.88758448945</v>
      </c>
      <c r="P1016" s="511">
        <f t="shared" si="800"/>
        <v>-1.9804283510893583E-5</v>
      </c>
      <c r="Q1016" s="530">
        <v>193440</v>
      </c>
      <c r="R1016" s="480"/>
      <c r="U1016" s="513"/>
    </row>
    <row r="1017" spans="1:21" s="479" customFormat="1" ht="27" x14ac:dyDescent="0.15">
      <c r="A1017" s="579"/>
      <c r="B1017" s="528" t="s">
        <v>407</v>
      </c>
      <c r="C1017" s="517">
        <f>FCISAN!I80</f>
        <v>314306.48558586946</v>
      </c>
      <c r="D1017" s="517">
        <f t="shared" ref="D1017:O1017" si="817">$C1017*D$24%</f>
        <v>26192.207132051022</v>
      </c>
      <c r="E1017" s="517">
        <f t="shared" si="817"/>
        <v>26192.207132051022</v>
      </c>
      <c r="F1017" s="517">
        <f t="shared" si="817"/>
        <v>26192.207132051022</v>
      </c>
      <c r="G1017" s="517">
        <f t="shared" si="817"/>
        <v>26192.207132051022</v>
      </c>
      <c r="H1017" s="517">
        <f t="shared" si="817"/>
        <v>26192.207132051022</v>
      </c>
      <c r="I1017" s="517">
        <f t="shared" si="817"/>
        <v>26192.207132051022</v>
      </c>
      <c r="J1017" s="517">
        <f t="shared" si="817"/>
        <v>26192.207132051022</v>
      </c>
      <c r="K1017" s="517">
        <f t="shared" si="817"/>
        <v>26192.207132051022</v>
      </c>
      <c r="L1017" s="517">
        <f t="shared" si="817"/>
        <v>26192.207132051022</v>
      </c>
      <c r="M1017" s="517">
        <f t="shared" si="817"/>
        <v>26192.207132051022</v>
      </c>
      <c r="N1017" s="517">
        <f t="shared" si="817"/>
        <v>26192.207132051022</v>
      </c>
      <c r="O1017" s="517">
        <f t="shared" si="817"/>
        <v>26192.207132051022</v>
      </c>
      <c r="P1017" s="511">
        <f t="shared" si="800"/>
        <v>1.2571617844514549E-6</v>
      </c>
      <c r="Q1017" s="530">
        <v>23009</v>
      </c>
      <c r="R1017" s="480"/>
      <c r="U1017" s="513"/>
    </row>
    <row r="1018" spans="1:21" s="479" customFormat="1" ht="27" x14ac:dyDescent="0.15">
      <c r="A1018" s="579"/>
      <c r="B1018" s="528" t="s">
        <v>242</v>
      </c>
      <c r="C1018" s="517">
        <f>ISAN!I80</f>
        <v>1569997.755932488</v>
      </c>
      <c r="D1018" s="517">
        <f t="shared" ref="D1018:O1018" si="818">$C1018*D$25%</f>
        <v>151086.54785953779</v>
      </c>
      <c r="E1018" s="517">
        <f t="shared" si="818"/>
        <v>168747.89668831762</v>
      </c>
      <c r="F1018" s="517">
        <f t="shared" si="818"/>
        <v>130963.2669718968</v>
      </c>
      <c r="G1018" s="517">
        <f t="shared" si="818"/>
        <v>121547.42070564399</v>
      </c>
      <c r="H1018" s="517">
        <f t="shared" si="818"/>
        <v>129961.06533510808</v>
      </c>
      <c r="I1018" s="517">
        <f t="shared" si="818"/>
        <v>112875.13964474043</v>
      </c>
      <c r="J1018" s="517">
        <f t="shared" si="818"/>
        <v>122282.90736351024</v>
      </c>
      <c r="K1018" s="517">
        <f t="shared" si="818"/>
        <v>126105.8209498401</v>
      </c>
      <c r="L1018" s="517">
        <f t="shared" si="818"/>
        <v>123915.52471386775</v>
      </c>
      <c r="M1018" s="517">
        <f t="shared" si="818"/>
        <v>126954.46042317201</v>
      </c>
      <c r="N1018" s="517">
        <f t="shared" si="818"/>
        <v>122921.40494667731</v>
      </c>
      <c r="O1018" s="517">
        <f t="shared" si="818"/>
        <v>132636.30031133594</v>
      </c>
      <c r="P1018" s="511">
        <f t="shared" si="800"/>
        <v>1.8839840777218342E-5</v>
      </c>
      <c r="Q1018" s="530">
        <v>98849</v>
      </c>
      <c r="R1018" s="480"/>
      <c r="U1018" s="513"/>
    </row>
    <row r="1019" spans="1:21" s="479" customFormat="1" ht="18" x14ac:dyDescent="0.15">
      <c r="A1019" s="579"/>
      <c r="B1019" s="528" t="s">
        <v>403</v>
      </c>
      <c r="C1019" s="517">
        <f>LOT!I80</f>
        <v>75998.873557504514</v>
      </c>
      <c r="D1019" s="517">
        <f t="shared" ref="D1019:O1019" si="819">$C1019*D$26%</f>
        <v>5746.3043889127939</v>
      </c>
      <c r="E1019" s="517">
        <f t="shared" si="819"/>
        <v>5664.8543488635614</v>
      </c>
      <c r="F1019" s="517">
        <f t="shared" si="819"/>
        <v>5567.8564794016347</v>
      </c>
      <c r="G1019" s="517">
        <f t="shared" si="819"/>
        <v>6125.8854119748439</v>
      </c>
      <c r="H1019" s="517">
        <f t="shared" si="819"/>
        <v>5012.0892954971687</v>
      </c>
      <c r="I1019" s="517">
        <f t="shared" si="819"/>
        <v>6801.6607110152518</v>
      </c>
      <c r="J1019" s="517">
        <f t="shared" si="819"/>
        <v>15609.804018491619</v>
      </c>
      <c r="K1019" s="517">
        <f t="shared" si="819"/>
        <v>5682.5284929243771</v>
      </c>
      <c r="L1019" s="517">
        <f t="shared" si="819"/>
        <v>6895.0424912222434</v>
      </c>
      <c r="M1019" s="517">
        <f t="shared" si="819"/>
        <v>4268.9761848064554</v>
      </c>
      <c r="N1019" s="517">
        <f t="shared" si="819"/>
        <v>4311.9358667412907</v>
      </c>
      <c r="O1019" s="517">
        <f t="shared" si="819"/>
        <v>4311.9358667412907</v>
      </c>
      <c r="P1019" s="511">
        <f t="shared" si="800"/>
        <v>9.1198307927697897E-7</v>
      </c>
      <c r="Q1019" s="530">
        <v>4827</v>
      </c>
      <c r="R1019" s="480"/>
      <c r="U1019" s="513"/>
    </row>
    <row r="1020" spans="1:21" s="479" customFormat="1" ht="45" x14ac:dyDescent="0.15">
      <c r="A1020" s="579"/>
      <c r="B1020" s="518" t="s">
        <v>301</v>
      </c>
      <c r="C1020" s="517">
        <f>'ENAJENAC DE INMUE'!I80</f>
        <v>298836.59181494563</v>
      </c>
      <c r="D1020" s="517">
        <f t="shared" ref="D1020:O1020" si="820">$C1020*D$27%</f>
        <v>12905.472676712032</v>
      </c>
      <c r="E1020" s="517">
        <f t="shared" si="820"/>
        <v>13095.557359196184</v>
      </c>
      <c r="F1020" s="517">
        <f t="shared" si="820"/>
        <v>12919.011732078085</v>
      </c>
      <c r="G1020" s="517">
        <f t="shared" si="820"/>
        <v>12843.335759891868</v>
      </c>
      <c r="H1020" s="517">
        <f t="shared" si="820"/>
        <v>17816.159465460154</v>
      </c>
      <c r="I1020" s="517">
        <f t="shared" si="820"/>
        <v>12823.672312150446</v>
      </c>
      <c r="J1020" s="517">
        <f t="shared" si="820"/>
        <v>14737.977330762302</v>
      </c>
      <c r="K1020" s="517">
        <f t="shared" si="820"/>
        <v>14722.80697903677</v>
      </c>
      <c r="L1020" s="517">
        <f t="shared" si="820"/>
        <v>14704.156059895016</v>
      </c>
      <c r="M1020" s="517">
        <f t="shared" si="820"/>
        <v>12841.233356610492</v>
      </c>
      <c r="N1020" s="517">
        <f t="shared" si="820"/>
        <v>53389.125933433512</v>
      </c>
      <c r="O1020" s="517">
        <f t="shared" si="820"/>
        <v>106038.0828491211</v>
      </c>
      <c r="P1020" s="511">
        <f t="shared" si="800"/>
        <v>5.976471584290266E-7</v>
      </c>
      <c r="Q1020" s="530">
        <v>70453</v>
      </c>
      <c r="R1020" s="480"/>
      <c r="U1020" s="513"/>
    </row>
    <row r="1021" spans="1:21" s="479" customFormat="1" ht="27" x14ac:dyDescent="0.15">
      <c r="A1021" s="579"/>
      <c r="B1021" s="518" t="s">
        <v>248</v>
      </c>
      <c r="C1021" s="517">
        <f>'IMP BEBIDAS AL'!I80</f>
        <v>116801.1319349549</v>
      </c>
      <c r="D1021" s="517">
        <f t="shared" ref="D1021:O1021" si="821">$C1021*D$28%</f>
        <v>26559.478935673687</v>
      </c>
      <c r="E1021" s="517">
        <f t="shared" si="821"/>
        <v>9135.4962433399323</v>
      </c>
      <c r="F1021" s="517">
        <f t="shared" si="821"/>
        <v>9817.4890732064632</v>
      </c>
      <c r="G1021" s="517">
        <f t="shared" si="821"/>
        <v>9747.0125877675109</v>
      </c>
      <c r="H1021" s="517">
        <f t="shared" si="821"/>
        <v>6206.9445853834268</v>
      </c>
      <c r="I1021" s="517">
        <f t="shared" si="821"/>
        <v>10157.674798933056</v>
      </c>
      <c r="J1021" s="517">
        <f t="shared" si="821"/>
        <v>10100.498750135463</v>
      </c>
      <c r="K1021" s="517">
        <f t="shared" si="821"/>
        <v>9237.6430833803497</v>
      </c>
      <c r="L1021" s="517">
        <f t="shared" si="821"/>
        <v>6699.3987065348474</v>
      </c>
      <c r="M1021" s="517">
        <f t="shared" si="821"/>
        <v>6227.6845393355961</v>
      </c>
      <c r="N1021" s="517">
        <f t="shared" si="821"/>
        <v>6271.7056049642715</v>
      </c>
      <c r="O1021" s="517">
        <f t="shared" si="821"/>
        <v>6640.1050263003044</v>
      </c>
      <c r="P1021" s="511">
        <f t="shared" si="800"/>
        <v>-9.0949470177292824E-12</v>
      </c>
      <c r="Q1021" s="530">
        <v>3017</v>
      </c>
      <c r="R1021" s="480"/>
      <c r="U1021" s="513"/>
    </row>
    <row r="1022" spans="1:21" s="479" customFormat="1" ht="18" x14ac:dyDescent="0.15">
      <c r="A1022" s="579"/>
      <c r="B1022" s="518" t="s">
        <v>253</v>
      </c>
      <c r="C1022" s="517">
        <f>'FOND GASO Y D'!Q81</f>
        <v>0</v>
      </c>
      <c r="D1022" s="517">
        <f t="shared" ref="D1022:O1022" si="822">$C1022*D$29%</f>
        <v>0</v>
      </c>
      <c r="E1022" s="517">
        <f t="shared" si="822"/>
        <v>0</v>
      </c>
      <c r="F1022" s="517">
        <f t="shared" si="822"/>
        <v>0</v>
      </c>
      <c r="G1022" s="517">
        <f t="shared" si="822"/>
        <v>0</v>
      </c>
      <c r="H1022" s="517">
        <f t="shared" si="822"/>
        <v>0</v>
      </c>
      <c r="I1022" s="517">
        <f t="shared" si="822"/>
        <v>0</v>
      </c>
      <c r="J1022" s="517">
        <f t="shared" si="822"/>
        <v>0</v>
      </c>
      <c r="K1022" s="517">
        <f t="shared" si="822"/>
        <v>0</v>
      </c>
      <c r="L1022" s="517">
        <f t="shared" si="822"/>
        <v>0</v>
      </c>
      <c r="M1022" s="517">
        <f t="shared" si="822"/>
        <v>0</v>
      </c>
      <c r="N1022" s="517">
        <f t="shared" si="822"/>
        <v>0</v>
      </c>
      <c r="O1022" s="517">
        <f t="shared" si="822"/>
        <v>0</v>
      </c>
      <c r="P1022" s="511">
        <f t="shared" si="800"/>
        <v>0</v>
      </c>
      <c r="Q1022" s="530">
        <v>118418</v>
      </c>
      <c r="R1022" s="480"/>
      <c r="U1022" s="513"/>
    </row>
    <row r="1023" spans="1:21" s="479" customFormat="1" ht="18" x14ac:dyDescent="0.15">
      <c r="A1023" s="579"/>
      <c r="B1023" s="528" t="s">
        <v>408</v>
      </c>
      <c r="C1023" s="519">
        <f>'FOND GASO Y D'!H81</f>
        <v>3835422.3583815363</v>
      </c>
      <c r="D1023" s="517">
        <f t="shared" ref="D1023:O1023" si="823">$C1023*D$30%</f>
        <v>298360.58364519302</v>
      </c>
      <c r="E1023" s="517">
        <f t="shared" si="823"/>
        <v>328040.67134158936</v>
      </c>
      <c r="F1023" s="517">
        <f t="shared" si="823"/>
        <v>319381.44017777004</v>
      </c>
      <c r="G1023" s="517">
        <f t="shared" si="823"/>
        <v>297596.96235279349</v>
      </c>
      <c r="H1023" s="517">
        <f t="shared" si="823"/>
        <v>327909.31552434445</v>
      </c>
      <c r="I1023" s="517">
        <f t="shared" si="823"/>
        <v>316471.45292697579</v>
      </c>
      <c r="J1023" s="517">
        <f t="shared" si="823"/>
        <v>323069.44326818752</v>
      </c>
      <c r="K1023" s="517">
        <f t="shared" si="823"/>
        <v>322877.46564345778</v>
      </c>
      <c r="L1023" s="517">
        <f t="shared" si="823"/>
        <v>335992.61038894259</v>
      </c>
      <c r="M1023" s="517">
        <f t="shared" si="823"/>
        <v>333042.20860238216</v>
      </c>
      <c r="N1023" s="517">
        <f t="shared" si="823"/>
        <v>311257.73077740567</v>
      </c>
      <c r="O1023" s="517">
        <f t="shared" si="823"/>
        <v>321422.47373632994</v>
      </c>
      <c r="P1023" s="511">
        <f t="shared" si="800"/>
        <v>-3.8349535316228867E-6</v>
      </c>
      <c r="Q1023" s="530">
        <v>234400</v>
      </c>
      <c r="R1023" s="480"/>
      <c r="U1023" s="513"/>
    </row>
    <row r="1024" spans="1:21" s="479" customFormat="1" x14ac:dyDescent="0.15">
      <c r="A1024" s="579"/>
      <c r="B1024" s="534"/>
      <c r="C1024" s="521"/>
      <c r="D1024" s="522"/>
      <c r="E1024" s="522"/>
      <c r="F1024" s="522"/>
      <c r="G1024" s="522"/>
      <c r="H1024" s="522"/>
      <c r="I1024" s="522"/>
      <c r="J1024" s="522"/>
      <c r="K1024" s="522"/>
      <c r="L1024" s="522"/>
      <c r="M1024" s="522"/>
      <c r="N1024" s="522"/>
      <c r="O1024" s="522"/>
      <c r="P1024" s="511">
        <f t="shared" si="800"/>
        <v>0</v>
      </c>
      <c r="Q1024" s="530">
        <v>0</v>
      </c>
      <c r="R1024" s="480"/>
      <c r="U1024" s="513"/>
    </row>
    <row r="1025" spans="1:21" s="479" customFormat="1" x14ac:dyDescent="0.15">
      <c r="A1025" s="591"/>
      <c r="B1025" s="532"/>
      <c r="C1025" s="521"/>
      <c r="D1025" s="522"/>
      <c r="E1025" s="522"/>
      <c r="F1025" s="522"/>
      <c r="G1025" s="522"/>
      <c r="H1025" s="522"/>
      <c r="I1025" s="522"/>
      <c r="J1025" s="522"/>
      <c r="K1025" s="522"/>
      <c r="L1025" s="522"/>
      <c r="M1025" s="522"/>
      <c r="N1025" s="522"/>
      <c r="O1025" s="522"/>
      <c r="P1025" s="511">
        <f t="shared" si="800"/>
        <v>0</v>
      </c>
      <c r="Q1025" s="530">
        <v>0</v>
      </c>
      <c r="R1025" s="480"/>
      <c r="U1025" s="513"/>
    </row>
    <row r="1026" spans="1:21" s="479" customFormat="1" x14ac:dyDescent="0.15">
      <c r="A1026" s="576">
        <v>67</v>
      </c>
      <c r="B1026" s="533" t="s">
        <v>120</v>
      </c>
      <c r="C1026" s="524">
        <f t="shared" ref="C1026:O1026" si="824">SUM(C1027:C1038)</f>
        <v>43607385.774729073</v>
      </c>
      <c r="D1026" s="524">
        <f t="shared" si="824"/>
        <v>3406609.4625182394</v>
      </c>
      <c r="E1026" s="524">
        <f t="shared" si="824"/>
        <v>4578026.4343703855</v>
      </c>
      <c r="F1026" s="524">
        <f t="shared" si="824"/>
        <v>3048768.5779580539</v>
      </c>
      <c r="G1026" s="524">
        <f t="shared" si="824"/>
        <v>3868413.4515628638</v>
      </c>
      <c r="H1026" s="524">
        <f t="shared" si="824"/>
        <v>4378961.6592961876</v>
      </c>
      <c r="I1026" s="524">
        <f t="shared" si="824"/>
        <v>4295033.199213584</v>
      </c>
      <c r="J1026" s="524">
        <f t="shared" si="824"/>
        <v>3724538.515441421</v>
      </c>
      <c r="K1026" s="524">
        <f t="shared" si="824"/>
        <v>3613480.9242691845</v>
      </c>
      <c r="L1026" s="524">
        <f t="shared" si="824"/>
        <v>3428894.0854016533</v>
      </c>
      <c r="M1026" s="524">
        <f t="shared" si="824"/>
        <v>2564391.9191971431</v>
      </c>
      <c r="N1026" s="524">
        <f t="shared" si="824"/>
        <v>3330771.5415173308</v>
      </c>
      <c r="O1026" s="524">
        <f t="shared" si="824"/>
        <v>3369496.0038570915</v>
      </c>
      <c r="P1026" s="511">
        <f t="shared" si="800"/>
        <v>1.2593716382980347E-4</v>
      </c>
      <c r="Q1026" s="530">
        <v>2592115</v>
      </c>
      <c r="R1026" s="480"/>
      <c r="T1026" s="512"/>
      <c r="U1026" s="513"/>
    </row>
    <row r="1027" spans="1:21" s="479" customFormat="1" x14ac:dyDescent="0.15">
      <c r="A1027" s="579"/>
      <c r="B1027" s="528" t="s">
        <v>294</v>
      </c>
      <c r="C1027" s="517">
        <f>'FG1'!I82</f>
        <v>29782166.109044351</v>
      </c>
      <c r="D1027" s="517">
        <f t="shared" ref="D1027:O1027" si="825">$C1027*D$19%</f>
        <v>2252565.1569255362</v>
      </c>
      <c r="E1027" s="517">
        <f t="shared" si="825"/>
        <v>3227362.0708600925</v>
      </c>
      <c r="F1027" s="517">
        <f t="shared" si="825"/>
        <v>2086153.1502214544</v>
      </c>
      <c r="G1027" s="517">
        <f t="shared" si="825"/>
        <v>2562627.7761484599</v>
      </c>
      <c r="H1027" s="517">
        <f t="shared" si="825"/>
        <v>3129528.4560641102</v>
      </c>
      <c r="I1027" s="517">
        <f t="shared" si="825"/>
        <v>3068042.4089983585</v>
      </c>
      <c r="J1027" s="517">
        <f t="shared" si="825"/>
        <v>2378357.5027908618</v>
      </c>
      <c r="K1027" s="517">
        <f t="shared" si="825"/>
        <v>2525184.759027259</v>
      </c>
      <c r="L1027" s="517">
        <f t="shared" si="825"/>
        <v>2373047.3450157568</v>
      </c>
      <c r="M1027" s="517">
        <f t="shared" si="825"/>
        <v>1573148.0173752313</v>
      </c>
      <c r="N1027" s="517">
        <f t="shared" si="825"/>
        <v>2295929.3470601491</v>
      </c>
      <c r="O1027" s="517">
        <f t="shared" si="825"/>
        <v>2310220.1185272993</v>
      </c>
      <c r="P1027" s="511">
        <f t="shared" si="800"/>
        <v>2.977810800075531E-5</v>
      </c>
      <c r="Q1027" s="530">
        <v>1784309</v>
      </c>
      <c r="R1027" s="480"/>
      <c r="U1027" s="513"/>
    </row>
    <row r="1028" spans="1:21" s="479" customFormat="1" x14ac:dyDescent="0.15">
      <c r="A1028" s="579"/>
      <c r="B1028" s="528" t="s">
        <v>296</v>
      </c>
      <c r="C1028" s="517">
        <f>FFM!J82</f>
        <v>8005324.0122753726</v>
      </c>
      <c r="D1028" s="517">
        <f t="shared" ref="D1028:O1028" si="826">$C1028*D$20%</f>
        <v>605387.73804534273</v>
      </c>
      <c r="E1028" s="517">
        <f t="shared" si="826"/>
        <v>867921.68625778297</v>
      </c>
      <c r="F1028" s="517">
        <f t="shared" si="826"/>
        <v>560569.37857084698</v>
      </c>
      <c r="G1028" s="517">
        <f t="shared" si="826"/>
        <v>688894.32748091849</v>
      </c>
      <c r="H1028" s="517">
        <f t="shared" si="826"/>
        <v>841572.97440349427</v>
      </c>
      <c r="I1028" s="517">
        <f t="shared" si="826"/>
        <v>825013.44611722045</v>
      </c>
      <c r="J1028" s="517">
        <f t="shared" si="826"/>
        <v>639210.29796107614</v>
      </c>
      <c r="K1028" s="517">
        <f t="shared" si="826"/>
        <v>678754.06235897879</v>
      </c>
      <c r="L1028" s="517">
        <f t="shared" si="826"/>
        <v>637780.15390298958</v>
      </c>
      <c r="M1028" s="517">
        <f t="shared" si="826"/>
        <v>422349.91790730978</v>
      </c>
      <c r="N1028" s="517">
        <f t="shared" si="826"/>
        <v>617010.60656992497</v>
      </c>
      <c r="O1028" s="517">
        <f t="shared" si="826"/>
        <v>620859.42260342371</v>
      </c>
      <c r="P1028" s="511">
        <f t="shared" si="800"/>
        <v>9.6062780357897282E-5</v>
      </c>
      <c r="Q1028" s="530">
        <v>546298</v>
      </c>
      <c r="R1028" s="480"/>
      <c r="U1028" s="513"/>
    </row>
    <row r="1029" spans="1:21" s="479" customFormat="1" ht="18" x14ac:dyDescent="0.15">
      <c r="A1029" s="579"/>
      <c r="B1029" s="528" t="s">
        <v>297</v>
      </c>
      <c r="C1029" s="517">
        <f>IEPS!I81</f>
        <v>720251.92342563765</v>
      </c>
      <c r="D1029" s="517">
        <f t="shared" ref="D1029:O1029" si="827">$C1029*D$21%</f>
        <v>50590.36612302385</v>
      </c>
      <c r="E1029" s="517">
        <f t="shared" si="827"/>
        <v>115634.73769052154</v>
      </c>
      <c r="F1029" s="517">
        <f t="shared" si="827"/>
        <v>48030.023156628282</v>
      </c>
      <c r="G1029" s="517">
        <f t="shared" si="827"/>
        <v>46678.4567814689</v>
      </c>
      <c r="H1029" s="517">
        <f t="shared" si="827"/>
        <v>51535.584191382353</v>
      </c>
      <c r="I1029" s="517">
        <f t="shared" si="827"/>
        <v>53443.427542242651</v>
      </c>
      <c r="J1029" s="517">
        <f t="shared" si="827"/>
        <v>55036.850873135147</v>
      </c>
      <c r="K1029" s="517">
        <f t="shared" si="827"/>
        <v>60964.718114912983</v>
      </c>
      <c r="L1029" s="517">
        <f t="shared" si="827"/>
        <v>61092.466924015411</v>
      </c>
      <c r="M1029" s="517">
        <f t="shared" si="827"/>
        <v>60413.469745113922</v>
      </c>
      <c r="N1029" s="517">
        <f t="shared" si="827"/>
        <v>58460.249372115235</v>
      </c>
      <c r="O1029" s="517">
        <f t="shared" si="827"/>
        <v>58371.572910357114</v>
      </c>
      <c r="P1029" s="511">
        <f t="shared" si="800"/>
        <v>7.2027614805847406E-7</v>
      </c>
      <c r="Q1029" s="530">
        <v>46080</v>
      </c>
      <c r="R1029" s="480"/>
      <c r="U1029" s="513"/>
    </row>
    <row r="1030" spans="1:21" s="479" customFormat="1" x14ac:dyDescent="0.15">
      <c r="A1030" s="579"/>
      <c r="B1030" s="528" t="s">
        <v>236</v>
      </c>
      <c r="C1030" s="517">
        <f>ISR!C72</f>
        <v>1897031.34</v>
      </c>
      <c r="D1030" s="517">
        <f>ISR!D72</f>
        <v>156256.15</v>
      </c>
      <c r="E1030" s="517">
        <f>ISR!E72</f>
        <v>158357.34999999995</v>
      </c>
      <c r="F1030" s="517">
        <f>ISR!F72</f>
        <v>158357.34999999995</v>
      </c>
      <c r="G1030" s="517">
        <f>ISR!G72</f>
        <v>158591.16000000009</v>
      </c>
      <c r="H1030" s="517">
        <f>ISR!H72</f>
        <v>158204.91000000003</v>
      </c>
      <c r="I1030" s="517">
        <f>ISR!I72</f>
        <v>158414.00000000006</v>
      </c>
      <c r="J1030" s="517">
        <f>ISR!J72</f>
        <v>162552.54000000004</v>
      </c>
      <c r="K1030" s="517">
        <f>ISR!K72</f>
        <v>152868.47999999992</v>
      </c>
      <c r="L1030" s="517">
        <f>ISR!L72</f>
        <v>158357.34999999995</v>
      </c>
      <c r="M1030" s="517">
        <f>ISR!M72</f>
        <v>158357.34999999995</v>
      </c>
      <c r="N1030" s="517">
        <f>ISR!N72</f>
        <v>158357.34999999995</v>
      </c>
      <c r="O1030" s="517">
        <f>ISR!O72</f>
        <v>158357.34999999995</v>
      </c>
      <c r="P1030" s="511">
        <f t="shared" si="800"/>
        <v>5.2386894822120667E-10</v>
      </c>
      <c r="Q1030" s="530">
        <v>0</v>
      </c>
      <c r="R1030" s="480"/>
      <c r="U1030" s="513"/>
    </row>
    <row r="1031" spans="1:21" s="479" customFormat="1" ht="18" x14ac:dyDescent="0.15">
      <c r="A1031" s="579"/>
      <c r="B1031" s="528" t="s">
        <v>298</v>
      </c>
      <c r="C1031" s="517">
        <f>FOFIR!I81</f>
        <v>1392963.6750625481</v>
      </c>
      <c r="D1031" s="517">
        <f t="shared" ref="D1031:O1031" si="828">$C1031*D$23%</f>
        <v>190439.71917086511</v>
      </c>
      <c r="E1031" s="517">
        <f t="shared" si="828"/>
        <v>48451.828144199251</v>
      </c>
      <c r="F1031" s="517">
        <f t="shared" si="828"/>
        <v>48451.828144199251</v>
      </c>
      <c r="G1031" s="517">
        <f t="shared" si="828"/>
        <v>273429.86895636743</v>
      </c>
      <c r="H1031" s="517">
        <f t="shared" si="828"/>
        <v>48451.828144199251</v>
      </c>
      <c r="I1031" s="517">
        <f t="shared" si="828"/>
        <v>48451.828144199251</v>
      </c>
      <c r="J1031" s="517">
        <f t="shared" si="828"/>
        <v>340102.6987448904</v>
      </c>
      <c r="K1031" s="517">
        <f t="shared" si="828"/>
        <v>48451.828144199251</v>
      </c>
      <c r="L1031" s="517">
        <f t="shared" si="828"/>
        <v>48451.828144199251</v>
      </c>
      <c r="M1031" s="517">
        <f t="shared" si="828"/>
        <v>201376.76304240304</v>
      </c>
      <c r="N1031" s="517">
        <f t="shared" si="828"/>
        <v>48451.828144199251</v>
      </c>
      <c r="O1031" s="517">
        <f t="shared" si="828"/>
        <v>48451.828144199251</v>
      </c>
      <c r="P1031" s="511">
        <f t="shared" si="800"/>
        <v>-5.571826477535069E-6</v>
      </c>
      <c r="Q1031" s="530">
        <v>54281</v>
      </c>
      <c r="R1031" s="480"/>
      <c r="U1031" s="513"/>
    </row>
    <row r="1032" spans="1:21" s="479" customFormat="1" ht="27" x14ac:dyDescent="0.15">
      <c r="A1032" s="579"/>
      <c r="B1032" s="528" t="s">
        <v>407</v>
      </c>
      <c r="C1032" s="517">
        <f>FCISAN!I81</f>
        <v>88427.073620576339</v>
      </c>
      <c r="D1032" s="517">
        <f t="shared" ref="D1032:O1032" si="829">$C1032*D$24%</f>
        <v>7368.9228016852203</v>
      </c>
      <c r="E1032" s="517">
        <f t="shared" si="829"/>
        <v>7368.9228016852203</v>
      </c>
      <c r="F1032" s="517">
        <f t="shared" si="829"/>
        <v>7368.9228016852203</v>
      </c>
      <c r="G1032" s="517">
        <f t="shared" si="829"/>
        <v>7368.9228016852203</v>
      </c>
      <c r="H1032" s="517">
        <f t="shared" si="829"/>
        <v>7368.9228016852203</v>
      </c>
      <c r="I1032" s="517">
        <f t="shared" si="829"/>
        <v>7368.9228016852203</v>
      </c>
      <c r="J1032" s="517">
        <f t="shared" si="829"/>
        <v>7368.9228016852203</v>
      </c>
      <c r="K1032" s="517">
        <f t="shared" si="829"/>
        <v>7368.9228016852203</v>
      </c>
      <c r="L1032" s="517">
        <f t="shared" si="829"/>
        <v>7368.9228016852203</v>
      </c>
      <c r="M1032" s="517">
        <f t="shared" si="829"/>
        <v>7368.9228016852203</v>
      </c>
      <c r="N1032" s="517">
        <f t="shared" si="829"/>
        <v>7368.9228016852203</v>
      </c>
      <c r="O1032" s="517">
        <f t="shared" si="829"/>
        <v>7368.9228016852203</v>
      </c>
      <c r="P1032" s="511">
        <f t="shared" si="800"/>
        <v>3.5370794648770243E-7</v>
      </c>
      <c r="Q1032" s="530">
        <v>6458</v>
      </c>
      <c r="R1032" s="480"/>
      <c r="U1032" s="513"/>
    </row>
    <row r="1033" spans="1:21" s="479" customFormat="1" ht="27" x14ac:dyDescent="0.15">
      <c r="A1033" s="579"/>
      <c r="B1033" s="528" t="s">
        <v>242</v>
      </c>
      <c r="C1033" s="517">
        <f>ISAN!I81</f>
        <v>441703.60305865505</v>
      </c>
      <c r="D1033" s="517">
        <f t="shared" ref="D1033:O1033" si="830">$C1033*D$25%</f>
        <v>42506.731179125003</v>
      </c>
      <c r="E1033" s="517">
        <f t="shared" si="830"/>
        <v>47475.579945354228</v>
      </c>
      <c r="F1033" s="517">
        <f t="shared" si="830"/>
        <v>36845.241766260755</v>
      </c>
      <c r="G1033" s="517">
        <f t="shared" si="830"/>
        <v>34196.184972431118</v>
      </c>
      <c r="H1033" s="517">
        <f t="shared" si="830"/>
        <v>36563.282080466219</v>
      </c>
      <c r="I1033" s="517">
        <f t="shared" si="830"/>
        <v>31756.323019212403</v>
      </c>
      <c r="J1033" s="517">
        <f t="shared" si="830"/>
        <v>34403.106992257912</v>
      </c>
      <c r="K1033" s="517">
        <f t="shared" si="830"/>
        <v>35478.646558402615</v>
      </c>
      <c r="L1033" s="517">
        <f t="shared" si="830"/>
        <v>34862.4280093384</v>
      </c>
      <c r="M1033" s="517">
        <f t="shared" si="830"/>
        <v>35717.403022640916</v>
      </c>
      <c r="N1033" s="517">
        <f t="shared" si="830"/>
        <v>34582.74207897282</v>
      </c>
      <c r="O1033" s="517">
        <f t="shared" si="830"/>
        <v>37315.933428892218</v>
      </c>
      <c r="P1033" s="511">
        <f t="shared" si="800"/>
        <v>5.3004114306531847E-6</v>
      </c>
      <c r="Q1033" s="530">
        <v>27737</v>
      </c>
      <c r="R1033" s="480"/>
      <c r="U1033" s="513"/>
    </row>
    <row r="1034" spans="1:21" s="479" customFormat="1" ht="18" x14ac:dyDescent="0.15">
      <c r="A1034" s="579"/>
      <c r="B1034" s="528" t="s">
        <v>403</v>
      </c>
      <c r="C1034" s="517">
        <f>LOT!I81</f>
        <v>21381.544114890057</v>
      </c>
      <c r="D1034" s="517">
        <f t="shared" ref="D1034:O1034" si="831">$C1034*D$26%</f>
        <v>1616.6668667287499</v>
      </c>
      <c r="E1034" s="517">
        <f t="shared" si="831"/>
        <v>1593.7516899247869</v>
      </c>
      <c r="F1034" s="517">
        <f t="shared" si="831"/>
        <v>1566.4622824919088</v>
      </c>
      <c r="G1034" s="517">
        <f t="shared" si="831"/>
        <v>1723.4582967837666</v>
      </c>
      <c r="H1034" s="517">
        <f t="shared" si="831"/>
        <v>1410.1025891963211</v>
      </c>
      <c r="I1034" s="517">
        <f t="shared" si="831"/>
        <v>1913.5811063968931</v>
      </c>
      <c r="J1034" s="517">
        <f t="shared" si="831"/>
        <v>4391.6665816582927</v>
      </c>
      <c r="K1034" s="517">
        <f t="shared" si="831"/>
        <v>1598.7241385051375</v>
      </c>
      <c r="L1034" s="517">
        <f t="shared" si="831"/>
        <v>1939.8531622782477</v>
      </c>
      <c r="M1034" s="517">
        <f t="shared" si="831"/>
        <v>1201.0349410217159</v>
      </c>
      <c r="N1034" s="517">
        <f t="shared" si="831"/>
        <v>1213.1212298238295</v>
      </c>
      <c r="O1034" s="517">
        <f t="shared" si="831"/>
        <v>1213.1212298238295</v>
      </c>
      <c r="P1034" s="511">
        <f t="shared" si="800"/>
        <v>2.5657800506451167E-7</v>
      </c>
      <c r="Q1034" s="530">
        <v>1356</v>
      </c>
      <c r="R1034" s="480"/>
      <c r="U1034" s="513"/>
    </row>
    <row r="1035" spans="1:21" s="479" customFormat="1" ht="45" x14ac:dyDescent="0.15">
      <c r="A1035" s="579"/>
      <c r="B1035" s="518" t="s">
        <v>301</v>
      </c>
      <c r="C1035" s="517">
        <f>'ENAJENAC DE INMUE'!I81</f>
        <v>84074.769426680723</v>
      </c>
      <c r="D1035" s="517">
        <f t="shared" ref="D1035:O1035" si="832">$C1035*D$27%</f>
        <v>3630.8292536972613</v>
      </c>
      <c r="E1035" s="517">
        <f t="shared" si="832"/>
        <v>3684.3077308621173</v>
      </c>
      <c r="F1035" s="517">
        <f t="shared" si="832"/>
        <v>3634.6383352800844</v>
      </c>
      <c r="G1035" s="517">
        <f t="shared" si="832"/>
        <v>3613.3476363263367</v>
      </c>
      <c r="H1035" s="517">
        <f t="shared" si="832"/>
        <v>5012.4032335876218</v>
      </c>
      <c r="I1035" s="517">
        <f t="shared" si="832"/>
        <v>3607.8155164980612</v>
      </c>
      <c r="J1035" s="517">
        <f t="shared" si="832"/>
        <v>4146.386620105729</v>
      </c>
      <c r="K1035" s="517">
        <f t="shared" si="832"/>
        <v>4142.1185891537652</v>
      </c>
      <c r="L1035" s="517">
        <f t="shared" si="832"/>
        <v>4136.8713344018788</v>
      </c>
      <c r="M1035" s="517">
        <f t="shared" si="832"/>
        <v>3612.7561456054377</v>
      </c>
      <c r="N1035" s="517">
        <f t="shared" si="832"/>
        <v>15020.511462415065</v>
      </c>
      <c r="O1035" s="517">
        <f t="shared" si="832"/>
        <v>29832.783568579212</v>
      </c>
      <c r="P1035" s="511">
        <f t="shared" si="800"/>
        <v>1.6814374248497188E-7</v>
      </c>
      <c r="Q1035" s="530">
        <v>19769</v>
      </c>
      <c r="R1035" s="480"/>
      <c r="U1035" s="513"/>
    </row>
    <row r="1036" spans="1:21" s="479" customFormat="1" ht="27" x14ac:dyDescent="0.15">
      <c r="A1036" s="579"/>
      <c r="B1036" s="518" t="s">
        <v>248</v>
      </c>
      <c r="C1036" s="517">
        <f>'IMP BEBIDAS AL'!I81</f>
        <v>32860.862776428978</v>
      </c>
      <c r="D1036" s="517">
        <f t="shared" ref="D1036:O1036" si="833">$C1036*D$28%</f>
        <v>7472.2511525373084</v>
      </c>
      <c r="E1036" s="517">
        <f t="shared" si="833"/>
        <v>2570.1830408129413</v>
      </c>
      <c r="F1036" s="517">
        <f t="shared" si="833"/>
        <v>2762.0550922690254</v>
      </c>
      <c r="G1036" s="517">
        <f t="shared" si="833"/>
        <v>2742.2272183554051</v>
      </c>
      <c r="H1036" s="517">
        <f t="shared" si="833"/>
        <v>1746.2635070589001</v>
      </c>
      <c r="I1036" s="517">
        <f t="shared" si="833"/>
        <v>2857.763038471352</v>
      </c>
      <c r="J1036" s="517">
        <f t="shared" si="833"/>
        <v>2841.6771130825255</v>
      </c>
      <c r="K1036" s="517">
        <f t="shared" si="833"/>
        <v>2598.9210610530472</v>
      </c>
      <c r="L1036" s="517">
        <f t="shared" si="833"/>
        <v>1884.8106857613768</v>
      </c>
      <c r="M1036" s="517">
        <f t="shared" si="833"/>
        <v>1752.0984914423668</v>
      </c>
      <c r="N1036" s="517">
        <f t="shared" si="833"/>
        <v>1764.4833902265812</v>
      </c>
      <c r="O1036" s="517">
        <f t="shared" si="833"/>
        <v>1868.1289853581493</v>
      </c>
      <c r="P1036" s="511">
        <f t="shared" si="800"/>
        <v>0</v>
      </c>
      <c r="Q1036" s="530">
        <v>847</v>
      </c>
      <c r="R1036" s="480"/>
      <c r="U1036" s="513"/>
    </row>
    <row r="1037" spans="1:21" s="479" customFormat="1" ht="18" x14ac:dyDescent="0.15">
      <c r="A1037" s="579"/>
      <c r="B1037" s="518" t="s">
        <v>253</v>
      </c>
      <c r="C1037" s="517">
        <f>'FOND GASO Y D'!Q82</f>
        <v>0</v>
      </c>
      <c r="D1037" s="517">
        <f t="shared" ref="D1037:O1037" si="834">$C1037*D$29%</f>
        <v>0</v>
      </c>
      <c r="E1037" s="517">
        <f t="shared" si="834"/>
        <v>0</v>
      </c>
      <c r="F1037" s="517">
        <f t="shared" si="834"/>
        <v>0</v>
      </c>
      <c r="G1037" s="517">
        <f t="shared" si="834"/>
        <v>0</v>
      </c>
      <c r="H1037" s="517">
        <f t="shared" si="834"/>
        <v>0</v>
      </c>
      <c r="I1037" s="517">
        <f t="shared" si="834"/>
        <v>0</v>
      </c>
      <c r="J1037" s="517">
        <f t="shared" si="834"/>
        <v>0</v>
      </c>
      <c r="K1037" s="517">
        <f t="shared" si="834"/>
        <v>0</v>
      </c>
      <c r="L1037" s="517">
        <f t="shared" si="834"/>
        <v>0</v>
      </c>
      <c r="M1037" s="517">
        <f t="shared" si="834"/>
        <v>0</v>
      </c>
      <c r="N1037" s="517">
        <f t="shared" si="834"/>
        <v>0</v>
      </c>
      <c r="O1037" s="517">
        <f t="shared" si="834"/>
        <v>0</v>
      </c>
      <c r="P1037" s="511">
        <f t="shared" si="800"/>
        <v>0</v>
      </c>
      <c r="Q1037" s="530">
        <v>35235</v>
      </c>
      <c r="R1037" s="480"/>
      <c r="U1037" s="513"/>
    </row>
    <row r="1038" spans="1:21" s="479" customFormat="1" ht="18" x14ac:dyDescent="0.15">
      <c r="A1038" s="579"/>
      <c r="B1038" s="528" t="s">
        <v>408</v>
      </c>
      <c r="C1038" s="519">
        <f>'FOND GASO Y D'!H82</f>
        <v>1141200.8619239298</v>
      </c>
      <c r="D1038" s="517">
        <f t="shared" ref="D1038:O1038" si="835">$C1038*D$30%</f>
        <v>88774.930999698292</v>
      </c>
      <c r="E1038" s="517">
        <f t="shared" si="835"/>
        <v>97606.016209150461</v>
      </c>
      <c r="F1038" s="517">
        <f t="shared" si="835"/>
        <v>95029.527586938042</v>
      </c>
      <c r="G1038" s="517">
        <f t="shared" si="835"/>
        <v>88547.721270066977</v>
      </c>
      <c r="H1038" s="517">
        <f t="shared" si="835"/>
        <v>97566.932281006011</v>
      </c>
      <c r="I1038" s="517">
        <f t="shared" si="835"/>
        <v>94163.682929298986</v>
      </c>
      <c r="J1038" s="517">
        <f t="shared" si="835"/>
        <v>96126.864962668042</v>
      </c>
      <c r="K1038" s="517">
        <f t="shared" si="835"/>
        <v>96069.743475035022</v>
      </c>
      <c r="L1038" s="517">
        <f t="shared" si="835"/>
        <v>99972.05542122708</v>
      </c>
      <c r="M1038" s="517">
        <f t="shared" si="835"/>
        <v>99094.1857246898</v>
      </c>
      <c r="N1038" s="517">
        <f t="shared" si="835"/>
        <v>92612.379407818749</v>
      </c>
      <c r="O1038" s="517">
        <f t="shared" si="835"/>
        <v>95636.821657473498</v>
      </c>
      <c r="P1038" s="511">
        <f t="shared" si="800"/>
        <v>-1.1411757441237569E-6</v>
      </c>
      <c r="Q1038" s="530">
        <v>69745</v>
      </c>
      <c r="R1038" s="480"/>
      <c r="U1038" s="513"/>
    </row>
    <row r="1039" spans="1:21" s="479" customFormat="1" x14ac:dyDescent="0.15">
      <c r="A1039" s="579"/>
      <c r="B1039" s="534"/>
      <c r="C1039" s="521"/>
      <c r="D1039" s="522"/>
      <c r="E1039" s="522"/>
      <c r="F1039" s="522"/>
      <c r="G1039" s="522"/>
      <c r="H1039" s="522"/>
      <c r="I1039" s="522"/>
      <c r="J1039" s="522"/>
      <c r="K1039" s="522"/>
      <c r="L1039" s="522"/>
      <c r="M1039" s="522"/>
      <c r="N1039" s="522"/>
      <c r="O1039" s="522"/>
      <c r="P1039" s="511">
        <f t="shared" si="800"/>
        <v>0</v>
      </c>
      <c r="Q1039" s="530">
        <v>0</v>
      </c>
      <c r="R1039" s="480"/>
      <c r="U1039" s="513"/>
    </row>
    <row r="1040" spans="1:21" s="479" customFormat="1" x14ac:dyDescent="0.15">
      <c r="A1040" s="591"/>
      <c r="B1040" s="532"/>
      <c r="C1040" s="521"/>
      <c r="D1040" s="521"/>
      <c r="E1040" s="521"/>
      <c r="F1040" s="521"/>
      <c r="G1040" s="521"/>
      <c r="H1040" s="521"/>
      <c r="I1040" s="521"/>
      <c r="J1040" s="521"/>
      <c r="K1040" s="521"/>
      <c r="L1040" s="521"/>
      <c r="M1040" s="521"/>
      <c r="N1040" s="521"/>
      <c r="O1040" s="521"/>
      <c r="P1040" s="511">
        <f t="shared" si="800"/>
        <v>0</v>
      </c>
      <c r="Q1040" s="530">
        <v>0</v>
      </c>
      <c r="R1040" s="480"/>
      <c r="U1040" s="513"/>
    </row>
    <row r="1041" spans="1:21" s="479" customFormat="1" x14ac:dyDescent="0.15">
      <c r="A1041" s="576">
        <v>68</v>
      </c>
      <c r="B1041" s="533" t="s">
        <v>144</v>
      </c>
      <c r="C1041" s="524">
        <f t="shared" ref="C1041:O1041" si="836">SUM(C1042:C1053)</f>
        <v>66288957.474156789</v>
      </c>
      <c r="D1041" s="524">
        <f t="shared" si="836"/>
        <v>5195213.252853388</v>
      </c>
      <c r="E1041" s="524">
        <f t="shared" si="836"/>
        <v>6902667.8058780506</v>
      </c>
      <c r="F1041" s="524">
        <f t="shared" si="836"/>
        <v>4668792.144447742</v>
      </c>
      <c r="G1041" s="524">
        <f t="shared" si="836"/>
        <v>5866478.6005720058</v>
      </c>
      <c r="H1041" s="524">
        <f t="shared" si="836"/>
        <v>6612077.7138765063</v>
      </c>
      <c r="I1041" s="524">
        <f t="shared" si="836"/>
        <v>6489473.9371955385</v>
      </c>
      <c r="J1041" s="524">
        <f t="shared" si="836"/>
        <v>5649803.4833446015</v>
      </c>
      <c r="K1041" s="524">
        <f t="shared" si="836"/>
        <v>5501710.8012468163</v>
      </c>
      <c r="L1041" s="524">
        <f t="shared" si="836"/>
        <v>5223666.7209016923</v>
      </c>
      <c r="M1041" s="524">
        <f t="shared" si="836"/>
        <v>3960784.8870694116</v>
      </c>
      <c r="N1041" s="524">
        <f t="shared" si="836"/>
        <v>5080996.9996886998</v>
      </c>
      <c r="O1041" s="524">
        <f t="shared" si="836"/>
        <v>5137291.1268982487</v>
      </c>
      <c r="P1041" s="511">
        <f t="shared" si="800"/>
        <v>1.8408987671136856E-4</v>
      </c>
      <c r="Q1041" s="530">
        <v>3788143</v>
      </c>
      <c r="R1041" s="480"/>
      <c r="T1041" s="512"/>
      <c r="U1041" s="513"/>
    </row>
    <row r="1042" spans="1:21" s="479" customFormat="1" x14ac:dyDescent="0.15">
      <c r="A1042" s="579"/>
      <c r="B1042" s="528" t="s">
        <v>294</v>
      </c>
      <c r="C1042" s="517">
        <f>'FG1'!I83</f>
        <v>43509165.724360697</v>
      </c>
      <c r="D1042" s="517">
        <f t="shared" ref="D1042:O1042" si="837">$C1042*D$19%</f>
        <v>3290802.6353338528</v>
      </c>
      <c r="E1042" s="517">
        <f t="shared" si="837"/>
        <v>4714896.5148953525</v>
      </c>
      <c r="F1042" s="517">
        <f t="shared" si="837"/>
        <v>3047689.1038431898</v>
      </c>
      <c r="G1042" s="517">
        <f t="shared" si="837"/>
        <v>3743777.2724138163</v>
      </c>
      <c r="H1042" s="517">
        <f t="shared" si="837"/>
        <v>4571970.0754958028</v>
      </c>
      <c r="I1042" s="517">
        <f t="shared" si="837"/>
        <v>4482144.2850638833</v>
      </c>
      <c r="J1042" s="517">
        <f t="shared" si="837"/>
        <v>3474574.3597635427</v>
      </c>
      <c r="K1042" s="517">
        <f t="shared" si="837"/>
        <v>3689076.2667454714</v>
      </c>
      <c r="L1042" s="517">
        <f t="shared" si="837"/>
        <v>3466816.6790826414</v>
      </c>
      <c r="M1042" s="517">
        <f t="shared" si="837"/>
        <v>2298233.0279912842</v>
      </c>
      <c r="N1042" s="517">
        <f t="shared" si="837"/>
        <v>3354153.9620359289</v>
      </c>
      <c r="O1042" s="517">
        <f t="shared" si="837"/>
        <v>3375031.5416524224</v>
      </c>
      <c r="P1042" s="511">
        <f t="shared" si="800"/>
        <v>4.3516047298908234E-5</v>
      </c>
      <c r="Q1042" s="530">
        <v>2614594</v>
      </c>
      <c r="R1042" s="480"/>
      <c r="U1042" s="513"/>
    </row>
    <row r="1043" spans="1:21" s="479" customFormat="1" x14ac:dyDescent="0.15">
      <c r="A1043" s="579"/>
      <c r="B1043" s="528" t="s">
        <v>296</v>
      </c>
      <c r="C1043" s="517">
        <f>FFM!J83</f>
        <v>11695085.167815205</v>
      </c>
      <c r="D1043" s="517">
        <f t="shared" ref="D1043:O1043" si="838">$C1043*D$20%</f>
        <v>884419.06225590757</v>
      </c>
      <c r="E1043" s="517">
        <f t="shared" si="838"/>
        <v>1267958.4266937724</v>
      </c>
      <c r="F1043" s="517">
        <f t="shared" si="838"/>
        <v>818943.32007080084</v>
      </c>
      <c r="G1043" s="517">
        <f t="shared" si="838"/>
        <v>1006414.9582402913</v>
      </c>
      <c r="H1043" s="517">
        <f t="shared" si="838"/>
        <v>1229465.2403186038</v>
      </c>
      <c r="I1043" s="517">
        <f t="shared" si="838"/>
        <v>1205273.2034504083</v>
      </c>
      <c r="J1043" s="517">
        <f t="shared" si="838"/>
        <v>933830.89345742879</v>
      </c>
      <c r="K1043" s="517">
        <f t="shared" si="838"/>
        <v>991600.90898463817</v>
      </c>
      <c r="L1043" s="517">
        <f t="shared" si="838"/>
        <v>931741.57683065382</v>
      </c>
      <c r="M1043" s="517">
        <f t="shared" si="838"/>
        <v>617016.65703619726</v>
      </c>
      <c r="N1043" s="517">
        <f t="shared" si="838"/>
        <v>901399.06669806025</v>
      </c>
      <c r="O1043" s="517">
        <f t="shared" si="838"/>
        <v>907021.85363810149</v>
      </c>
      <c r="P1043" s="511">
        <f t="shared" si="800"/>
        <v>1.4034006744623184E-4</v>
      </c>
      <c r="Q1043" s="530">
        <v>800504</v>
      </c>
      <c r="R1043" s="480"/>
      <c r="U1043" s="513"/>
    </row>
    <row r="1044" spans="1:21" s="479" customFormat="1" ht="18" x14ac:dyDescent="0.15">
      <c r="A1044" s="579"/>
      <c r="B1044" s="528" t="s">
        <v>297</v>
      </c>
      <c r="C1044" s="517">
        <f>IEPS!I82</f>
        <v>1052225.6905315868</v>
      </c>
      <c r="D1044" s="517">
        <f t="shared" ref="D1044:O1044" si="839">$C1044*D$21%</f>
        <v>73908.144076675337</v>
      </c>
      <c r="E1044" s="517">
        <f t="shared" si="839"/>
        <v>168932.33847560856</v>
      </c>
      <c r="F1044" s="517">
        <f t="shared" si="839"/>
        <v>70167.704713459374</v>
      </c>
      <c r="G1044" s="517">
        <f t="shared" si="839"/>
        <v>68193.18327707451</v>
      </c>
      <c r="H1044" s="517">
        <f t="shared" si="839"/>
        <v>75289.025824204815</v>
      </c>
      <c r="I1044" s="517">
        <f t="shared" si="839"/>
        <v>78076.219751764438</v>
      </c>
      <c r="J1044" s="517">
        <f t="shared" si="839"/>
        <v>80404.073257081182</v>
      </c>
      <c r="K1044" s="517">
        <f t="shared" si="839"/>
        <v>89064.173978774357</v>
      </c>
      <c r="L1044" s="517">
        <f t="shared" si="839"/>
        <v>89250.803926575201</v>
      </c>
      <c r="M1044" s="517">
        <f t="shared" si="839"/>
        <v>88258.847845374417</v>
      </c>
      <c r="N1044" s="517">
        <f t="shared" si="839"/>
        <v>85405.362017854655</v>
      </c>
      <c r="O1044" s="517">
        <f t="shared" si="839"/>
        <v>85275.813386087655</v>
      </c>
      <c r="P1044" s="511">
        <f t="shared" si="800"/>
        <v>1.0523217497393489E-6</v>
      </c>
      <c r="Q1044" s="530">
        <v>67524</v>
      </c>
      <c r="R1044" s="480"/>
      <c r="U1044" s="513"/>
    </row>
    <row r="1045" spans="1:21" s="479" customFormat="1" x14ac:dyDescent="0.15">
      <c r="A1045" s="579"/>
      <c r="B1045" s="528" t="s">
        <v>236</v>
      </c>
      <c r="C1045" s="517">
        <f>ISR!C73</f>
        <v>5459000</v>
      </c>
      <c r="D1045" s="517">
        <f>ISR!D73</f>
        <v>454916.66666666651</v>
      </c>
      <c r="E1045" s="517">
        <f>ISR!E73</f>
        <v>454916.66666666651</v>
      </c>
      <c r="F1045" s="517">
        <f>ISR!F73</f>
        <v>454916.66666666651</v>
      </c>
      <c r="G1045" s="517">
        <f>ISR!G73</f>
        <v>454916.66666666651</v>
      </c>
      <c r="H1045" s="517">
        <f>ISR!H73</f>
        <v>454916.66666666651</v>
      </c>
      <c r="I1045" s="517">
        <f>ISR!I73</f>
        <v>454916.66666666651</v>
      </c>
      <c r="J1045" s="517">
        <f>ISR!J73</f>
        <v>454916.66666666651</v>
      </c>
      <c r="K1045" s="517">
        <f>ISR!K73</f>
        <v>454916.66666666651</v>
      </c>
      <c r="L1045" s="517">
        <f>ISR!L73</f>
        <v>454916.66666666651</v>
      </c>
      <c r="M1045" s="517">
        <f>ISR!M73</f>
        <v>454916.66666666651</v>
      </c>
      <c r="N1045" s="517">
        <f>ISR!N73</f>
        <v>454916.66666666651</v>
      </c>
      <c r="O1045" s="517">
        <f>ISR!O73</f>
        <v>454916.66666666651</v>
      </c>
      <c r="P1045" s="511">
        <f t="shared" si="800"/>
        <v>2.7939677238464355E-9</v>
      </c>
      <c r="Q1045" s="530">
        <v>0</v>
      </c>
      <c r="R1045" s="480"/>
      <c r="U1045" s="513"/>
    </row>
    <row r="1046" spans="1:21" s="479" customFormat="1" ht="18" x14ac:dyDescent="0.15">
      <c r="A1046" s="579"/>
      <c r="B1046" s="528" t="s">
        <v>298</v>
      </c>
      <c r="C1046" s="517">
        <f>FOFIR!I82</f>
        <v>2034999.3067799618</v>
      </c>
      <c r="D1046" s="517">
        <f t="shared" ref="D1046:O1046" si="840">$C1046*D$23%</f>
        <v>278215.93874562392</v>
      </c>
      <c r="E1046" s="517">
        <f t="shared" si="840"/>
        <v>70783.925274461959</v>
      </c>
      <c r="F1046" s="517">
        <f t="shared" si="840"/>
        <v>70783.925274461959</v>
      </c>
      <c r="G1046" s="517">
        <f t="shared" si="840"/>
        <v>399457.3611218959</v>
      </c>
      <c r="H1046" s="517">
        <f t="shared" si="840"/>
        <v>70783.925274461959</v>
      </c>
      <c r="I1046" s="517">
        <f t="shared" si="840"/>
        <v>70783.925274461959</v>
      </c>
      <c r="J1046" s="517">
        <f t="shared" si="840"/>
        <v>496860.59196681384</v>
      </c>
      <c r="K1046" s="517">
        <f t="shared" si="840"/>
        <v>70783.925274461959</v>
      </c>
      <c r="L1046" s="517">
        <f t="shared" si="840"/>
        <v>70783.925274461959</v>
      </c>
      <c r="M1046" s="517">
        <f t="shared" si="840"/>
        <v>294194.01275807247</v>
      </c>
      <c r="N1046" s="517">
        <f t="shared" si="840"/>
        <v>70783.925274461959</v>
      </c>
      <c r="O1046" s="517">
        <f t="shared" si="840"/>
        <v>70783.925274461959</v>
      </c>
      <c r="P1046" s="511">
        <f t="shared" si="800"/>
        <v>-8.1401958595961332E-6</v>
      </c>
      <c r="Q1046" s="530">
        <v>79534</v>
      </c>
      <c r="R1046" s="480"/>
      <c r="U1046" s="513"/>
    </row>
    <row r="1047" spans="1:21" s="479" customFormat="1" ht="27" x14ac:dyDescent="0.15">
      <c r="A1047" s="579"/>
      <c r="B1047" s="528" t="s">
        <v>407</v>
      </c>
      <c r="C1047" s="517">
        <f>FCISAN!I82</f>
        <v>129184.29729359111</v>
      </c>
      <c r="D1047" s="517">
        <f t="shared" ref="D1047:O1047" si="841">$C1047*D$24%</f>
        <v>10765.358107756199</v>
      </c>
      <c r="E1047" s="517">
        <f t="shared" si="841"/>
        <v>10765.358107756199</v>
      </c>
      <c r="F1047" s="517">
        <f t="shared" si="841"/>
        <v>10765.358107756199</v>
      </c>
      <c r="G1047" s="517">
        <f t="shared" si="841"/>
        <v>10765.358107756199</v>
      </c>
      <c r="H1047" s="517">
        <f t="shared" si="841"/>
        <v>10765.358107756199</v>
      </c>
      <c r="I1047" s="517">
        <f t="shared" si="841"/>
        <v>10765.358107756199</v>
      </c>
      <c r="J1047" s="517">
        <f t="shared" si="841"/>
        <v>10765.358107756199</v>
      </c>
      <c r="K1047" s="517">
        <f t="shared" si="841"/>
        <v>10765.358107756199</v>
      </c>
      <c r="L1047" s="517">
        <f t="shared" si="841"/>
        <v>10765.358107756199</v>
      </c>
      <c r="M1047" s="517">
        <f t="shared" si="841"/>
        <v>10765.358107756199</v>
      </c>
      <c r="N1047" s="517">
        <f t="shared" si="841"/>
        <v>10765.358107756199</v>
      </c>
      <c r="O1047" s="517">
        <f t="shared" si="841"/>
        <v>10765.358107756199</v>
      </c>
      <c r="P1047" s="511">
        <f t="shared" si="800"/>
        <v>5.1673487178049982E-7</v>
      </c>
      <c r="Q1047" s="530">
        <v>9464</v>
      </c>
      <c r="R1047" s="480"/>
      <c r="U1047" s="513"/>
    </row>
    <row r="1048" spans="1:21" s="479" customFormat="1" ht="27" x14ac:dyDescent="0.15">
      <c r="A1048" s="579"/>
      <c r="B1048" s="528" t="s">
        <v>242</v>
      </c>
      <c r="C1048" s="517">
        <f>ISAN!I82</f>
        <v>645290.71512666158</v>
      </c>
      <c r="D1048" s="517">
        <f t="shared" ref="D1048:O1048" si="842">$C1048*D$25%</f>
        <v>62098.65341902573</v>
      </c>
      <c r="E1048" s="517">
        <f t="shared" si="842"/>
        <v>69357.711193319032</v>
      </c>
      <c r="F1048" s="517">
        <f t="shared" si="842"/>
        <v>53827.707638617285</v>
      </c>
      <c r="G1048" s="517">
        <f t="shared" si="842"/>
        <v>49957.665055617406</v>
      </c>
      <c r="H1048" s="517">
        <f t="shared" si="842"/>
        <v>53415.788953726944</v>
      </c>
      <c r="I1048" s="517">
        <f t="shared" si="842"/>
        <v>46393.238019703538</v>
      </c>
      <c r="J1048" s="517">
        <f t="shared" si="842"/>
        <v>50259.960208350756</v>
      </c>
      <c r="K1048" s="517">
        <f t="shared" si="842"/>
        <v>51831.230379068322</v>
      </c>
      <c r="L1048" s="517">
        <f t="shared" si="842"/>
        <v>50930.988439798566</v>
      </c>
      <c r="M1048" s="517">
        <f t="shared" si="842"/>
        <v>52180.032898410653</v>
      </c>
      <c r="N1048" s="517">
        <f t="shared" si="842"/>
        <v>50522.391514696043</v>
      </c>
      <c r="O1048" s="517">
        <f t="shared" si="842"/>
        <v>54515.347398583835</v>
      </c>
      <c r="P1048" s="511">
        <f t="shared" si="800"/>
        <v>7.7435033745132387E-6</v>
      </c>
      <c r="Q1048" s="530">
        <v>40644</v>
      </c>
      <c r="R1048" s="480"/>
      <c r="U1048" s="513"/>
    </row>
    <row r="1049" spans="1:21" s="479" customFormat="1" ht="18" x14ac:dyDescent="0.15">
      <c r="A1049" s="579"/>
      <c r="B1049" s="528" t="s">
        <v>403</v>
      </c>
      <c r="C1049" s="517">
        <f>LOT!I82</f>
        <v>31236.584435507728</v>
      </c>
      <c r="D1049" s="517">
        <f t="shared" ref="D1049:O1049" si="843">$C1049*D$26%</f>
        <v>2361.8102984195993</v>
      </c>
      <c r="E1049" s="517">
        <f t="shared" si="843"/>
        <v>2328.3332094289544</v>
      </c>
      <c r="F1049" s="517">
        <f t="shared" si="843"/>
        <v>2288.4657482721877</v>
      </c>
      <c r="G1049" s="517">
        <f t="shared" si="843"/>
        <v>2517.8233302183226</v>
      </c>
      <c r="H1049" s="517">
        <f t="shared" si="843"/>
        <v>2060.0377761999366</v>
      </c>
      <c r="I1049" s="517">
        <f t="shared" si="843"/>
        <v>2795.5762915426003</v>
      </c>
      <c r="J1049" s="517">
        <f t="shared" si="843"/>
        <v>6415.8445832279513</v>
      </c>
      <c r="K1049" s="517">
        <f t="shared" si="843"/>
        <v>2335.5975262199559</v>
      </c>
      <c r="L1049" s="517">
        <f t="shared" si="843"/>
        <v>2833.9574901792694</v>
      </c>
      <c r="M1049" s="517">
        <f t="shared" si="843"/>
        <v>1754.6080462492725</v>
      </c>
      <c r="N1049" s="517">
        <f t="shared" si="843"/>
        <v>1772.2650675874199</v>
      </c>
      <c r="O1049" s="517">
        <f t="shared" si="843"/>
        <v>1772.2650675874199</v>
      </c>
      <c r="P1049" s="511">
        <f t="shared" si="800"/>
        <v>3.7483505366253667E-7</v>
      </c>
      <c r="Q1049" s="530">
        <v>1986</v>
      </c>
      <c r="R1049" s="480"/>
      <c r="U1049" s="513"/>
    </row>
    <row r="1050" spans="1:21" s="479" customFormat="1" ht="45" x14ac:dyDescent="0.15">
      <c r="A1050" s="579"/>
      <c r="B1050" s="518" t="s">
        <v>301</v>
      </c>
      <c r="C1050" s="517">
        <f>'ENAJENAC DE INMUE'!I82</f>
        <v>122825.95775033247</v>
      </c>
      <c r="D1050" s="517">
        <f t="shared" ref="D1050:O1050" si="844">$C1050*D$27%</f>
        <v>5304.3271311282087</v>
      </c>
      <c r="E1050" s="517">
        <f t="shared" si="844"/>
        <v>5382.4545553435191</v>
      </c>
      <c r="F1050" s="517">
        <f t="shared" si="844"/>
        <v>5309.8918694765835</v>
      </c>
      <c r="G1050" s="517">
        <f t="shared" si="844"/>
        <v>5278.7880019548456</v>
      </c>
      <c r="H1050" s="517">
        <f t="shared" si="844"/>
        <v>7322.6870795424211</v>
      </c>
      <c r="I1050" s="517">
        <f t="shared" si="844"/>
        <v>5270.706053934874</v>
      </c>
      <c r="J1050" s="517">
        <f t="shared" si="844"/>
        <v>6057.5117992060932</v>
      </c>
      <c r="K1050" s="517">
        <f t="shared" si="844"/>
        <v>6051.2765755717273</v>
      </c>
      <c r="L1050" s="517">
        <f t="shared" si="844"/>
        <v>6043.6107907607147</v>
      </c>
      <c r="M1050" s="517">
        <f t="shared" si="844"/>
        <v>5277.923885231241</v>
      </c>
      <c r="N1050" s="517">
        <f t="shared" si="844"/>
        <v>21943.666558370653</v>
      </c>
      <c r="O1050" s="517">
        <f t="shared" si="844"/>
        <v>43583.113449565935</v>
      </c>
      <c r="P1050" s="511">
        <f t="shared" si="800"/>
        <v>2.4565088097006083E-7</v>
      </c>
      <c r="Q1050" s="530">
        <v>28969</v>
      </c>
      <c r="R1050" s="480"/>
      <c r="U1050" s="513"/>
    </row>
    <row r="1051" spans="1:21" s="479" customFormat="1" ht="27" x14ac:dyDescent="0.15">
      <c r="A1051" s="579"/>
      <c r="B1051" s="518" t="s">
        <v>248</v>
      </c>
      <c r="C1051" s="517">
        <f>'IMP BEBIDAS AL'!I82</f>
        <v>48006.874958330605</v>
      </c>
      <c r="D1051" s="517">
        <f t="shared" ref="D1051:O1051" si="845">$C1051*D$28%</f>
        <v>10916.311880721798</v>
      </c>
      <c r="E1051" s="517">
        <f t="shared" si="845"/>
        <v>3754.8148598470038</v>
      </c>
      <c r="F1051" s="517">
        <f t="shared" si="845"/>
        <v>4035.1233120297557</v>
      </c>
      <c r="G1051" s="517">
        <f t="shared" si="845"/>
        <v>4006.1565052195738</v>
      </c>
      <c r="H1051" s="517">
        <f t="shared" si="845"/>
        <v>2551.1397676328043</v>
      </c>
      <c r="I1051" s="517">
        <f t="shared" si="845"/>
        <v>4174.9443336844106</v>
      </c>
      <c r="J1051" s="517">
        <f t="shared" si="845"/>
        <v>4151.4441896381513</v>
      </c>
      <c r="K1051" s="517">
        <f t="shared" si="845"/>
        <v>3796.798618873755</v>
      </c>
      <c r="L1051" s="517">
        <f t="shared" si="845"/>
        <v>2753.5451983438379</v>
      </c>
      <c r="M1051" s="517">
        <f t="shared" si="845"/>
        <v>2559.6641745416159</v>
      </c>
      <c r="N1051" s="517">
        <f t="shared" si="845"/>
        <v>2577.7574392057386</v>
      </c>
      <c r="O1051" s="517">
        <f t="shared" si="845"/>
        <v>2729.1746785921623</v>
      </c>
      <c r="P1051" s="511">
        <f t="shared" si="800"/>
        <v>-6.3664629124104977E-12</v>
      </c>
      <c r="Q1051" s="530">
        <v>1240</v>
      </c>
      <c r="R1051" s="480"/>
      <c r="U1051" s="513"/>
    </row>
    <row r="1052" spans="1:21" s="479" customFormat="1" ht="18" x14ac:dyDescent="0.15">
      <c r="A1052" s="579"/>
      <c r="B1052" s="518" t="s">
        <v>253</v>
      </c>
      <c r="C1052" s="517">
        <f>'FOND GASO Y D'!Q83</f>
        <v>0</v>
      </c>
      <c r="D1052" s="517">
        <f t="shared" ref="D1052:O1052" si="846">$C1052*D$29%</f>
        <v>0</v>
      </c>
      <c r="E1052" s="517">
        <f t="shared" si="846"/>
        <v>0</v>
      </c>
      <c r="F1052" s="517">
        <f t="shared" si="846"/>
        <v>0</v>
      </c>
      <c r="G1052" s="517">
        <f t="shared" si="846"/>
        <v>0</v>
      </c>
      <c r="H1052" s="517">
        <f t="shared" si="846"/>
        <v>0</v>
      </c>
      <c r="I1052" s="517">
        <f t="shared" si="846"/>
        <v>0</v>
      </c>
      <c r="J1052" s="517">
        <f t="shared" si="846"/>
        <v>0</v>
      </c>
      <c r="K1052" s="517">
        <f t="shared" si="846"/>
        <v>0</v>
      </c>
      <c r="L1052" s="517">
        <f t="shared" si="846"/>
        <v>0</v>
      </c>
      <c r="M1052" s="517">
        <f t="shared" si="846"/>
        <v>0</v>
      </c>
      <c r="N1052" s="517">
        <f t="shared" si="846"/>
        <v>0</v>
      </c>
      <c r="O1052" s="517">
        <f t="shared" si="846"/>
        <v>0</v>
      </c>
      <c r="P1052" s="511">
        <f t="shared" si="800"/>
        <v>0</v>
      </c>
      <c r="Q1052" s="530">
        <v>48225</v>
      </c>
      <c r="R1052" s="480"/>
      <c r="U1052" s="513"/>
    </row>
    <row r="1053" spans="1:21" s="479" customFormat="1" ht="18" x14ac:dyDescent="0.15">
      <c r="A1053" s="579"/>
      <c r="B1053" s="528" t="s">
        <v>408</v>
      </c>
      <c r="C1053" s="519">
        <f>'FOND GASO Y D'!H83</f>
        <v>1561937.1551049175</v>
      </c>
      <c r="D1053" s="517">
        <f t="shared" ref="D1053:O1053" si="847">$C1053*D$30%</f>
        <v>121504.34493761096</v>
      </c>
      <c r="E1053" s="517">
        <f t="shared" si="847"/>
        <v>133591.26194649443</v>
      </c>
      <c r="F1053" s="517">
        <f t="shared" si="847"/>
        <v>130064.87720301103</v>
      </c>
      <c r="G1053" s="517">
        <f t="shared" si="847"/>
        <v>121193.36785149643</v>
      </c>
      <c r="H1053" s="517">
        <f t="shared" si="847"/>
        <v>133537.76861190886</v>
      </c>
      <c r="I1053" s="517">
        <f t="shared" si="847"/>
        <v>128879.81418173399</v>
      </c>
      <c r="J1053" s="517">
        <f t="shared" si="847"/>
        <v>131566.7793448903</v>
      </c>
      <c r="K1053" s="517">
        <f t="shared" si="847"/>
        <v>131488.59838931472</v>
      </c>
      <c r="L1053" s="517">
        <f t="shared" si="847"/>
        <v>136829.60909385575</v>
      </c>
      <c r="M1053" s="517">
        <f t="shared" si="847"/>
        <v>135628.08765962673</v>
      </c>
      <c r="N1053" s="517">
        <f t="shared" si="847"/>
        <v>126756.57830811213</v>
      </c>
      <c r="O1053" s="517">
        <f t="shared" si="847"/>
        <v>130896.06757842407</v>
      </c>
      <c r="P1053" s="511">
        <f t="shared" si="800"/>
        <v>-1.5618134057149291E-6</v>
      </c>
      <c r="Q1053" s="530">
        <v>95459</v>
      </c>
      <c r="R1053" s="480"/>
      <c r="U1053" s="513"/>
    </row>
    <row r="1054" spans="1:21" s="479" customFormat="1" x14ac:dyDescent="0.15">
      <c r="A1054" s="579"/>
      <c r="B1054" s="534"/>
      <c r="C1054" s="521"/>
      <c r="D1054" s="522"/>
      <c r="E1054" s="522"/>
      <c r="F1054" s="522"/>
      <c r="G1054" s="522"/>
      <c r="H1054" s="522"/>
      <c r="I1054" s="522"/>
      <c r="J1054" s="522"/>
      <c r="K1054" s="522"/>
      <c r="L1054" s="522"/>
      <c r="M1054" s="522"/>
      <c r="N1054" s="522"/>
      <c r="O1054" s="522"/>
      <c r="P1054" s="511">
        <f t="shared" si="800"/>
        <v>0</v>
      </c>
      <c r="Q1054" s="530">
        <v>0</v>
      </c>
      <c r="R1054" s="480"/>
      <c r="U1054" s="513"/>
    </row>
    <row r="1055" spans="1:21" s="479" customFormat="1" x14ac:dyDescent="0.15">
      <c r="A1055" s="591"/>
      <c r="B1055" s="532"/>
      <c r="C1055" s="521"/>
      <c r="D1055" s="521"/>
      <c r="E1055" s="521"/>
      <c r="F1055" s="521"/>
      <c r="G1055" s="521"/>
      <c r="H1055" s="521"/>
      <c r="I1055" s="521"/>
      <c r="J1055" s="521"/>
      <c r="K1055" s="521"/>
      <c r="L1055" s="521"/>
      <c r="M1055" s="521"/>
      <c r="N1055" s="521"/>
      <c r="O1055" s="521"/>
      <c r="P1055" s="511">
        <f t="shared" si="800"/>
        <v>0</v>
      </c>
      <c r="Q1055" s="530">
        <v>0</v>
      </c>
      <c r="R1055" s="480"/>
      <c r="U1055" s="513"/>
    </row>
    <row r="1056" spans="1:21" s="479" customFormat="1" x14ac:dyDescent="0.15">
      <c r="A1056" s="576">
        <v>69</v>
      </c>
      <c r="B1056" s="533" t="s">
        <v>84</v>
      </c>
      <c r="C1056" s="524">
        <f t="shared" ref="C1056:O1056" si="848">SUM(C1057:C1068)</f>
        <v>186786064.90881673</v>
      </c>
      <c r="D1056" s="524">
        <f t="shared" si="848"/>
        <v>14509931.235457318</v>
      </c>
      <c r="E1056" s="524">
        <f t="shared" si="848"/>
        <v>19258521.034715049</v>
      </c>
      <c r="F1056" s="524">
        <f t="shared" si="848"/>
        <v>12935765.461289484</v>
      </c>
      <c r="G1056" s="524">
        <f t="shared" si="848"/>
        <v>16754620.215515323</v>
      </c>
      <c r="H1056" s="524">
        <f t="shared" si="848"/>
        <v>18435560.66885218</v>
      </c>
      <c r="I1056" s="524">
        <f t="shared" si="848"/>
        <v>18478223.490582544</v>
      </c>
      <c r="J1056" s="524">
        <f t="shared" si="848"/>
        <v>16029476.697983479</v>
      </c>
      <c r="K1056" s="524">
        <f t="shared" si="848"/>
        <v>15599970.864734661</v>
      </c>
      <c r="L1056" s="524">
        <f t="shared" si="848"/>
        <v>14783737.3977676</v>
      </c>
      <c r="M1056" s="524">
        <f t="shared" si="848"/>
        <v>11096837.918028865</v>
      </c>
      <c r="N1056" s="524">
        <f t="shared" si="848"/>
        <v>14370135.279347587</v>
      </c>
      <c r="O1056" s="524">
        <f t="shared" si="848"/>
        <v>14533284.644004714</v>
      </c>
      <c r="P1056" s="511">
        <f t="shared" si="800"/>
        <v>5.3789839148521423E-4</v>
      </c>
      <c r="Q1056" s="530">
        <v>11066565</v>
      </c>
      <c r="R1056" s="480"/>
      <c r="T1056" s="512"/>
      <c r="U1056" s="513"/>
    </row>
    <row r="1057" spans="1:21" s="479" customFormat="1" x14ac:dyDescent="0.15">
      <c r="A1057" s="579"/>
      <c r="B1057" s="528" t="s">
        <v>294</v>
      </c>
      <c r="C1057" s="517">
        <f>'FG1'!I84</f>
        <v>127034247.16306368</v>
      </c>
      <c r="D1057" s="517">
        <f t="shared" ref="D1057:O1057" si="849">$C1057*D$19%</f>
        <v>9608196.9944047816</v>
      </c>
      <c r="E1057" s="517">
        <f t="shared" si="849"/>
        <v>13766141.43824254</v>
      </c>
      <c r="F1057" s="517">
        <f t="shared" si="849"/>
        <v>8898375.4215498827</v>
      </c>
      <c r="G1057" s="517">
        <f t="shared" si="849"/>
        <v>10930752.622567441</v>
      </c>
      <c r="H1057" s="517">
        <f t="shared" si="849"/>
        <v>13348837.352389814</v>
      </c>
      <c r="I1057" s="517">
        <f t="shared" si="849"/>
        <v>13086571.885484824</v>
      </c>
      <c r="J1057" s="517">
        <f t="shared" si="849"/>
        <v>10144757.562140804</v>
      </c>
      <c r="K1057" s="517">
        <f t="shared" si="849"/>
        <v>10771041.422445532</v>
      </c>
      <c r="L1057" s="517">
        <f t="shared" si="849"/>
        <v>10122107.366288438</v>
      </c>
      <c r="M1057" s="517">
        <f t="shared" si="849"/>
        <v>6710179.2841938222</v>
      </c>
      <c r="N1057" s="517">
        <f t="shared" si="849"/>
        <v>9793164.6434138175</v>
      </c>
      <c r="O1057" s="517">
        <f t="shared" si="849"/>
        <v>9854121.169814948</v>
      </c>
      <c r="P1057" s="511">
        <f t="shared" si="800"/>
        <v>1.2703053653240204E-4</v>
      </c>
      <c r="Q1057" s="530">
        <v>7668592</v>
      </c>
      <c r="R1057" s="480"/>
      <c r="U1057" s="513"/>
    </row>
    <row r="1058" spans="1:21" s="479" customFormat="1" x14ac:dyDescent="0.15">
      <c r="A1058" s="579"/>
      <c r="B1058" s="528" t="s">
        <v>296</v>
      </c>
      <c r="C1058" s="517">
        <f>FFM!J84</f>
        <v>34146284.238437824</v>
      </c>
      <c r="D1058" s="517">
        <f t="shared" ref="D1058:O1058" si="850">$C1058*D$20%</f>
        <v>2582249.2313943999</v>
      </c>
      <c r="E1058" s="517">
        <f t="shared" si="850"/>
        <v>3702073.8386376589</v>
      </c>
      <c r="F1058" s="517">
        <f t="shared" si="850"/>
        <v>2391078.900328483</v>
      </c>
      <c r="G1058" s="517">
        <f t="shared" si="850"/>
        <v>2938442.1517905383</v>
      </c>
      <c r="H1058" s="517">
        <f t="shared" si="850"/>
        <v>3589684.8081732304</v>
      </c>
      <c r="I1058" s="517">
        <f t="shared" si="850"/>
        <v>3519051.0201028781</v>
      </c>
      <c r="J1058" s="517">
        <f t="shared" si="850"/>
        <v>2726517.5636671823</v>
      </c>
      <c r="K1058" s="517">
        <f t="shared" si="850"/>
        <v>2895189.3896817309</v>
      </c>
      <c r="L1058" s="517">
        <f t="shared" si="850"/>
        <v>2720417.3601733004</v>
      </c>
      <c r="M1058" s="517">
        <f t="shared" si="850"/>
        <v>1801511.134693569</v>
      </c>
      <c r="N1058" s="517">
        <f t="shared" si="850"/>
        <v>2631825.9595440417</v>
      </c>
      <c r="O1058" s="517">
        <f t="shared" si="850"/>
        <v>2648242.8798410567</v>
      </c>
      <c r="P1058" s="511">
        <f t="shared" si="800"/>
        <v>4.0975911542773247E-4</v>
      </c>
      <c r="Q1058" s="530">
        <v>2347873</v>
      </c>
      <c r="R1058" s="480"/>
      <c r="U1058" s="513"/>
    </row>
    <row r="1059" spans="1:21" s="479" customFormat="1" ht="18" x14ac:dyDescent="0.15">
      <c r="A1059" s="579"/>
      <c r="B1059" s="528" t="s">
        <v>297</v>
      </c>
      <c r="C1059" s="517">
        <f>IEPS!I83</f>
        <v>3072196.3112125159</v>
      </c>
      <c r="D1059" s="517">
        <f t="shared" ref="D1059:O1059" si="851">$C1059*D$21%</f>
        <v>215790.51874908488</v>
      </c>
      <c r="E1059" s="517">
        <f t="shared" si="851"/>
        <v>493233.82975668675</v>
      </c>
      <c r="F1059" s="517">
        <f t="shared" si="851"/>
        <v>204869.51186112274</v>
      </c>
      <c r="G1059" s="517">
        <f t="shared" si="851"/>
        <v>199104.47729880651</v>
      </c>
      <c r="H1059" s="517">
        <f t="shared" si="851"/>
        <v>219822.29619869031</v>
      </c>
      <c r="I1059" s="517">
        <f t="shared" si="851"/>
        <v>227960.10064495564</v>
      </c>
      <c r="J1059" s="517">
        <f t="shared" si="851"/>
        <v>234756.76320169686</v>
      </c>
      <c r="K1059" s="517">
        <f t="shared" si="851"/>
        <v>260041.76596424438</v>
      </c>
      <c r="L1059" s="517">
        <f t="shared" si="851"/>
        <v>260586.67172196816</v>
      </c>
      <c r="M1059" s="517">
        <f t="shared" si="851"/>
        <v>257690.44533159153</v>
      </c>
      <c r="N1059" s="517">
        <f t="shared" si="851"/>
        <v>249359.08760835006</v>
      </c>
      <c r="O1059" s="517">
        <f t="shared" si="851"/>
        <v>248980.84287224585</v>
      </c>
      <c r="P1059" s="511">
        <f t="shared" si="800"/>
        <v>3.0723167583346367E-6</v>
      </c>
      <c r="Q1059" s="530">
        <v>198049</v>
      </c>
      <c r="R1059" s="480"/>
      <c r="U1059" s="513"/>
    </row>
    <row r="1060" spans="1:21" s="479" customFormat="1" x14ac:dyDescent="0.15">
      <c r="A1060" s="579"/>
      <c r="B1060" s="528" t="s">
        <v>236</v>
      </c>
      <c r="C1060" s="517">
        <f>ISR!C74</f>
        <v>9637895.4000000004</v>
      </c>
      <c r="D1060" s="517">
        <f>ISR!D74</f>
        <v>705242.04712461843</v>
      </c>
      <c r="E1060" s="517">
        <f>ISR!E74</f>
        <v>472098.45146344817</v>
      </c>
      <c r="F1060" s="517">
        <f>ISR!F74</f>
        <v>670583.57628304453</v>
      </c>
      <c r="G1060" s="517">
        <f>ISR!G74</f>
        <v>989938.17403757898</v>
      </c>
      <c r="H1060" s="517">
        <f>ISR!H74</f>
        <v>497561.87805532041</v>
      </c>
      <c r="I1060" s="517">
        <f>ISR!I74</f>
        <v>896827.20177667006</v>
      </c>
      <c r="J1060" s="517">
        <f>ISR!J74</f>
        <v>900464.13186498208</v>
      </c>
      <c r="K1060" s="517">
        <f>ISR!K74</f>
        <v>903323.41193441034</v>
      </c>
      <c r="L1060" s="517">
        <f>ISR!L74</f>
        <v>900464.13186498208</v>
      </c>
      <c r="M1060" s="517">
        <f>ISR!M74</f>
        <v>900464.13186498208</v>
      </c>
      <c r="N1060" s="517">
        <f>ISR!N74</f>
        <v>900464.13186498208</v>
      </c>
      <c r="O1060" s="517">
        <f>ISR!O74</f>
        <v>900464.13186498208</v>
      </c>
      <c r="P1060" s="511">
        <f t="shared" ref="P1060:P1123" si="852">C1060-D1060-E1060-F1060-G1060-H1060-I1060-J1060-K1060-L1060-M1060-N1060-O1060</f>
        <v>0</v>
      </c>
      <c r="Q1060" s="530">
        <v>0</v>
      </c>
      <c r="R1060" s="480"/>
      <c r="U1060" s="513"/>
    </row>
    <row r="1061" spans="1:21" s="479" customFormat="1" ht="18" x14ac:dyDescent="0.15">
      <c r="A1061" s="579"/>
      <c r="B1061" s="528" t="s">
        <v>298</v>
      </c>
      <c r="C1061" s="517">
        <f>FOFIR!I83</f>
        <v>5941612.5455470895</v>
      </c>
      <c r="D1061" s="517">
        <f t="shared" ref="D1061:O1061" si="853">$C1061*D$23%</f>
        <v>812310.5037504069</v>
      </c>
      <c r="E1061" s="517">
        <f t="shared" si="853"/>
        <v>206668.69862441969</v>
      </c>
      <c r="F1061" s="517">
        <f t="shared" si="853"/>
        <v>206668.69862441969</v>
      </c>
      <c r="G1061" s="517">
        <f t="shared" si="853"/>
        <v>1166300.5782584385</v>
      </c>
      <c r="H1061" s="517">
        <f t="shared" si="853"/>
        <v>206668.69862441969</v>
      </c>
      <c r="I1061" s="517">
        <f t="shared" si="853"/>
        <v>206668.69862441969</v>
      </c>
      <c r="J1061" s="517">
        <f t="shared" si="853"/>
        <v>1450689.9912851821</v>
      </c>
      <c r="K1061" s="517">
        <f t="shared" si="853"/>
        <v>206668.69862441969</v>
      </c>
      <c r="L1061" s="517">
        <f t="shared" si="853"/>
        <v>206668.69862441969</v>
      </c>
      <c r="M1061" s="517">
        <f t="shared" si="853"/>
        <v>858961.88328147097</v>
      </c>
      <c r="N1061" s="517">
        <f t="shared" si="853"/>
        <v>206668.69862441969</v>
      </c>
      <c r="O1061" s="517">
        <f t="shared" si="853"/>
        <v>206668.69862441969</v>
      </c>
      <c r="P1061" s="511">
        <f t="shared" si="852"/>
        <v>-2.3767002858221531E-5</v>
      </c>
      <c r="Q1061" s="530">
        <v>233280</v>
      </c>
      <c r="R1061" s="480"/>
      <c r="U1061" s="513"/>
    </row>
    <row r="1062" spans="1:21" s="479" customFormat="1" ht="27" x14ac:dyDescent="0.15">
      <c r="A1062" s="579"/>
      <c r="B1062" s="528" t="s">
        <v>407</v>
      </c>
      <c r="C1062" s="517">
        <f>FCISAN!I83</f>
        <v>377180.98425390769</v>
      </c>
      <c r="D1062" s="517">
        <f t="shared" ref="D1062:O1062" si="854">$C1062*D$24%</f>
        <v>31431.748687699917</v>
      </c>
      <c r="E1062" s="517">
        <f t="shared" si="854"/>
        <v>31431.748687699917</v>
      </c>
      <c r="F1062" s="517">
        <f t="shared" si="854"/>
        <v>31431.748687699917</v>
      </c>
      <c r="G1062" s="517">
        <f t="shared" si="854"/>
        <v>31431.748687699917</v>
      </c>
      <c r="H1062" s="517">
        <f t="shared" si="854"/>
        <v>31431.748687699917</v>
      </c>
      <c r="I1062" s="517">
        <f t="shared" si="854"/>
        <v>31431.748687699917</v>
      </c>
      <c r="J1062" s="517">
        <f t="shared" si="854"/>
        <v>31431.748687699917</v>
      </c>
      <c r="K1062" s="517">
        <f t="shared" si="854"/>
        <v>31431.748687699917</v>
      </c>
      <c r="L1062" s="517">
        <f t="shared" si="854"/>
        <v>31431.748687699917</v>
      </c>
      <c r="M1062" s="517">
        <f t="shared" si="854"/>
        <v>31431.748687699917</v>
      </c>
      <c r="N1062" s="517">
        <f t="shared" si="854"/>
        <v>31431.748687699917</v>
      </c>
      <c r="O1062" s="517">
        <f t="shared" si="854"/>
        <v>31431.748687699917</v>
      </c>
      <c r="P1062" s="511">
        <f t="shared" si="852"/>
        <v>1.5087862266227603E-6</v>
      </c>
      <c r="Q1062" s="530">
        <v>27747</v>
      </c>
      <c r="R1062" s="480"/>
      <c r="U1062" s="513"/>
    </row>
    <row r="1063" spans="1:21" s="479" customFormat="1" ht="27" x14ac:dyDescent="0.15">
      <c r="A1063" s="579"/>
      <c r="B1063" s="528" t="s">
        <v>242</v>
      </c>
      <c r="C1063" s="517">
        <f>ISAN!I83</f>
        <v>1884063.2504137713</v>
      </c>
      <c r="D1063" s="517">
        <f t="shared" ref="D1063:O1063" si="855">$C1063*D$25%</f>
        <v>181310.20339259465</v>
      </c>
      <c r="E1063" s="517">
        <f t="shared" si="855"/>
        <v>202504.56380190549</v>
      </c>
      <c r="F1063" s="517">
        <f t="shared" si="855"/>
        <v>157161.42110618958</v>
      </c>
      <c r="G1063" s="517">
        <f t="shared" si="855"/>
        <v>145862.01010081772</v>
      </c>
      <c r="H1063" s="517">
        <f t="shared" si="855"/>
        <v>155958.73704741098</v>
      </c>
      <c r="I1063" s="517">
        <f t="shared" si="855"/>
        <v>135454.9085732087</v>
      </c>
      <c r="J1063" s="517">
        <f t="shared" si="855"/>
        <v>146744.6249822845</v>
      </c>
      <c r="K1063" s="517">
        <f t="shared" si="855"/>
        <v>151332.28185650319</v>
      </c>
      <c r="L1063" s="517">
        <f t="shared" si="855"/>
        <v>148703.83437616646</v>
      </c>
      <c r="M1063" s="517">
        <f t="shared" si="855"/>
        <v>152350.68486919126</v>
      </c>
      <c r="N1063" s="517">
        <f t="shared" si="855"/>
        <v>147510.84890036174</v>
      </c>
      <c r="O1063" s="517">
        <f t="shared" si="855"/>
        <v>159169.13138452824</v>
      </c>
      <c r="P1063" s="511">
        <f t="shared" si="852"/>
        <v>2.2608612198382616E-5</v>
      </c>
      <c r="Q1063" s="530">
        <v>119206</v>
      </c>
      <c r="R1063" s="480"/>
      <c r="U1063" s="513"/>
    </row>
    <row r="1064" spans="1:21" s="479" customFormat="1" ht="18" x14ac:dyDescent="0.15">
      <c r="A1064" s="579"/>
      <c r="B1064" s="528" t="s">
        <v>403</v>
      </c>
      <c r="C1064" s="517">
        <f>LOT!I83</f>
        <v>91201.840385747884</v>
      </c>
      <c r="D1064" s="517">
        <f t="shared" ref="D1064:O1064" si="856">$C1064*D$26%</f>
        <v>6895.8066238838028</v>
      </c>
      <c r="E1064" s="517">
        <f t="shared" si="856"/>
        <v>6798.0631547472212</v>
      </c>
      <c r="F1064" s="517">
        <f t="shared" si="856"/>
        <v>6681.6616372730095</v>
      </c>
      <c r="G1064" s="517">
        <f t="shared" si="856"/>
        <v>7351.3197947806029</v>
      </c>
      <c r="H1064" s="517">
        <f t="shared" si="856"/>
        <v>6014.7176731662339</v>
      </c>
      <c r="I1064" s="517">
        <f t="shared" si="856"/>
        <v>8162.278537650398</v>
      </c>
      <c r="J1064" s="517">
        <f t="shared" si="856"/>
        <v>18732.420467654429</v>
      </c>
      <c r="K1064" s="517">
        <f t="shared" si="856"/>
        <v>6819.2728699724021</v>
      </c>
      <c r="L1064" s="517">
        <f t="shared" si="856"/>
        <v>8274.3405961351327</v>
      </c>
      <c r="M1064" s="517">
        <f t="shared" si="856"/>
        <v>5122.9507279826266</v>
      </c>
      <c r="N1064" s="517">
        <f t="shared" si="856"/>
        <v>5174.5041507038031</v>
      </c>
      <c r="O1064" s="517">
        <f t="shared" si="856"/>
        <v>5174.5041507038031</v>
      </c>
      <c r="P1064" s="511">
        <f t="shared" si="852"/>
        <v>1.0944258974632248E-6</v>
      </c>
      <c r="Q1064" s="530">
        <v>5821</v>
      </c>
      <c r="R1064" s="480"/>
      <c r="U1064" s="513"/>
    </row>
    <row r="1065" spans="1:21" s="479" customFormat="1" ht="45" x14ac:dyDescent="0.15">
      <c r="A1065" s="579"/>
      <c r="B1065" s="518" t="s">
        <v>301</v>
      </c>
      <c r="C1065" s="517">
        <f>'ENAJENAC DE INMUE'!I83</f>
        <v>358616.4619598671</v>
      </c>
      <c r="D1065" s="517">
        <f t="shared" ref="D1065:O1065" si="857">$C1065*D$27%</f>
        <v>15487.109269764935</v>
      </c>
      <c r="E1065" s="517">
        <f t="shared" si="857"/>
        <v>15715.218872712905</v>
      </c>
      <c r="F1065" s="517">
        <f t="shared" si="857"/>
        <v>15503.35670487375</v>
      </c>
      <c r="G1065" s="517">
        <f t="shared" si="857"/>
        <v>15412.542359696101</v>
      </c>
      <c r="H1065" s="517">
        <f t="shared" si="857"/>
        <v>21380.139675708138</v>
      </c>
      <c r="I1065" s="517">
        <f t="shared" si="857"/>
        <v>15388.945396499143</v>
      </c>
      <c r="J1065" s="517">
        <f t="shared" si="857"/>
        <v>17686.191823776418</v>
      </c>
      <c r="K1065" s="517">
        <f t="shared" si="857"/>
        <v>17667.98676451826</v>
      </c>
      <c r="L1065" s="517">
        <f t="shared" si="857"/>
        <v>17645.604878169295</v>
      </c>
      <c r="M1065" s="517">
        <f t="shared" si="857"/>
        <v>15410.019387452974</v>
      </c>
      <c r="N1065" s="517">
        <f t="shared" si="857"/>
        <v>64069.193578656515</v>
      </c>
      <c r="O1065" s="517">
        <f t="shared" si="857"/>
        <v>127250.15324732142</v>
      </c>
      <c r="P1065" s="511">
        <f t="shared" si="852"/>
        <v>7.1720569394528866E-7</v>
      </c>
      <c r="Q1065" s="530">
        <v>84964</v>
      </c>
      <c r="R1065" s="480"/>
      <c r="U1065" s="513"/>
    </row>
    <row r="1066" spans="1:21" s="479" customFormat="1" ht="27" x14ac:dyDescent="0.15">
      <c r="A1066" s="579"/>
      <c r="B1066" s="518" t="s">
        <v>248</v>
      </c>
      <c r="C1066" s="517">
        <f>'IMP BEBIDAS AL'!I83</f>
        <v>140166.26422161696</v>
      </c>
      <c r="D1066" s="517">
        <f t="shared" ref="D1066:O1066" si="858">$C1066*D$28%</f>
        <v>31872.490278255671</v>
      </c>
      <c r="E1066" s="517">
        <f t="shared" si="858"/>
        <v>10962.979202570246</v>
      </c>
      <c r="F1066" s="517">
        <f t="shared" si="858"/>
        <v>11781.399243581105</v>
      </c>
      <c r="G1066" s="517">
        <f t="shared" si="858"/>
        <v>11696.824500889841</v>
      </c>
      <c r="H1066" s="517">
        <f t="shared" si="858"/>
        <v>7448.5942075311623</v>
      </c>
      <c r="I1066" s="517">
        <f t="shared" si="858"/>
        <v>12189.636402987831</v>
      </c>
      <c r="J1066" s="517">
        <f t="shared" si="858"/>
        <v>12121.022742913246</v>
      </c>
      <c r="K1066" s="517">
        <f t="shared" si="858"/>
        <v>11085.559701006527</v>
      </c>
      <c r="L1066" s="517">
        <f t="shared" si="858"/>
        <v>8039.5598370489788</v>
      </c>
      <c r="M1066" s="517">
        <f t="shared" si="858"/>
        <v>7473.4830233966013</v>
      </c>
      <c r="N1066" s="517">
        <f t="shared" si="858"/>
        <v>7526.3101511307932</v>
      </c>
      <c r="O1066" s="517">
        <f t="shared" si="858"/>
        <v>7968.4049303049651</v>
      </c>
      <c r="P1066" s="511">
        <f t="shared" si="852"/>
        <v>-1.3642420526593924E-11</v>
      </c>
      <c r="Q1066" s="530">
        <v>3637</v>
      </c>
      <c r="R1066" s="480"/>
      <c r="U1066" s="513"/>
    </row>
    <row r="1067" spans="1:21" s="479" customFormat="1" ht="18" x14ac:dyDescent="0.15">
      <c r="A1067" s="579"/>
      <c r="B1067" s="518" t="s">
        <v>253</v>
      </c>
      <c r="C1067" s="517">
        <f>'FOND GASO Y D'!Q84</f>
        <v>0</v>
      </c>
      <c r="D1067" s="517">
        <f t="shared" ref="D1067:O1067" si="859">$C1067*D$29%</f>
        <v>0</v>
      </c>
      <c r="E1067" s="517">
        <f t="shared" si="859"/>
        <v>0</v>
      </c>
      <c r="F1067" s="517">
        <f t="shared" si="859"/>
        <v>0</v>
      </c>
      <c r="G1067" s="517">
        <f t="shared" si="859"/>
        <v>0</v>
      </c>
      <c r="H1067" s="517">
        <f t="shared" si="859"/>
        <v>0</v>
      </c>
      <c r="I1067" s="517">
        <f t="shared" si="859"/>
        <v>0</v>
      </c>
      <c r="J1067" s="517">
        <f t="shared" si="859"/>
        <v>0</v>
      </c>
      <c r="K1067" s="517">
        <f t="shared" si="859"/>
        <v>0</v>
      </c>
      <c r="L1067" s="517">
        <f t="shared" si="859"/>
        <v>0</v>
      </c>
      <c r="M1067" s="517">
        <f t="shared" si="859"/>
        <v>0</v>
      </c>
      <c r="N1067" s="517">
        <f t="shared" si="859"/>
        <v>0</v>
      </c>
      <c r="O1067" s="517">
        <f t="shared" si="859"/>
        <v>0</v>
      </c>
      <c r="P1067" s="511">
        <f t="shared" si="852"/>
        <v>0</v>
      </c>
      <c r="Q1067" s="530">
        <v>126669</v>
      </c>
      <c r="R1067" s="480"/>
      <c r="U1067" s="513"/>
    </row>
    <row r="1068" spans="1:21" s="479" customFormat="1" ht="18" x14ac:dyDescent="0.15">
      <c r="A1068" s="579"/>
      <c r="B1068" s="528" t="s">
        <v>408</v>
      </c>
      <c r="C1068" s="519">
        <f>'FOND GASO Y D'!H84</f>
        <v>4102600.4493207163</v>
      </c>
      <c r="D1068" s="517">
        <f t="shared" ref="D1068:O1068" si="860">$C1068*D$30%</f>
        <v>319144.58178183116</v>
      </c>
      <c r="E1068" s="517">
        <f t="shared" si="860"/>
        <v>350892.20427066088</v>
      </c>
      <c r="F1068" s="517">
        <f t="shared" si="860"/>
        <v>341629.76526291412</v>
      </c>
      <c r="G1068" s="517">
        <f t="shared" si="860"/>
        <v>318327.76611863228</v>
      </c>
      <c r="H1068" s="517">
        <f t="shared" si="860"/>
        <v>350751.69811918784</v>
      </c>
      <c r="I1068" s="517">
        <f t="shared" si="860"/>
        <v>338517.06635074952</v>
      </c>
      <c r="J1068" s="517">
        <f t="shared" si="860"/>
        <v>345574.67711930419</v>
      </c>
      <c r="K1068" s="517">
        <f t="shared" si="860"/>
        <v>345369.32620462478</v>
      </c>
      <c r="L1068" s="517">
        <f t="shared" si="860"/>
        <v>359398.08071927418</v>
      </c>
      <c r="M1068" s="517">
        <f t="shared" si="860"/>
        <v>356242.15196770709</v>
      </c>
      <c r="N1068" s="517">
        <f t="shared" si="860"/>
        <v>332940.15282342531</v>
      </c>
      <c r="O1068" s="517">
        <f t="shared" si="860"/>
        <v>343812.9785865075</v>
      </c>
      <c r="P1068" s="511">
        <f t="shared" si="852"/>
        <v>-4.1019520722329617E-6</v>
      </c>
      <c r="Q1068" s="530">
        <v>250727</v>
      </c>
      <c r="R1068" s="480"/>
      <c r="U1068" s="513"/>
    </row>
    <row r="1069" spans="1:21" s="479" customFormat="1" x14ac:dyDescent="0.15">
      <c r="A1069" s="579"/>
      <c r="B1069" s="534"/>
      <c r="C1069" s="521"/>
      <c r="D1069" s="522"/>
      <c r="E1069" s="522"/>
      <c r="F1069" s="522"/>
      <c r="G1069" s="522"/>
      <c r="H1069" s="522"/>
      <c r="I1069" s="522"/>
      <c r="J1069" s="522"/>
      <c r="K1069" s="522"/>
      <c r="L1069" s="522"/>
      <c r="M1069" s="522"/>
      <c r="N1069" s="522"/>
      <c r="O1069" s="522"/>
      <c r="P1069" s="511">
        <f t="shared" si="852"/>
        <v>0</v>
      </c>
      <c r="Q1069" s="530">
        <v>0</v>
      </c>
      <c r="R1069" s="480"/>
      <c r="U1069" s="513"/>
    </row>
    <row r="1070" spans="1:21" s="479" customFormat="1" x14ac:dyDescent="0.15">
      <c r="A1070" s="591"/>
      <c r="B1070" s="532"/>
      <c r="C1070" s="521"/>
      <c r="D1070" s="521"/>
      <c r="E1070" s="521"/>
      <c r="F1070" s="521"/>
      <c r="G1070" s="521"/>
      <c r="H1070" s="521"/>
      <c r="I1070" s="521"/>
      <c r="J1070" s="521"/>
      <c r="K1070" s="521"/>
      <c r="L1070" s="521"/>
      <c r="M1070" s="521"/>
      <c r="N1070" s="521"/>
      <c r="O1070" s="521"/>
      <c r="P1070" s="511">
        <f t="shared" si="852"/>
        <v>0</v>
      </c>
      <c r="Q1070" s="530">
        <v>0</v>
      </c>
      <c r="R1070" s="480"/>
      <c r="U1070" s="513"/>
    </row>
    <row r="1071" spans="1:21" s="479" customFormat="1" x14ac:dyDescent="0.15">
      <c r="A1071" s="576">
        <v>70</v>
      </c>
      <c r="B1071" s="533" t="s">
        <v>53</v>
      </c>
      <c r="C1071" s="524">
        <f t="shared" ref="C1071:O1071" si="861">SUM(C1072:C1083)</f>
        <v>42981685.572281078</v>
      </c>
      <c r="D1071" s="524">
        <f t="shared" si="861"/>
        <v>3362717.2578049335</v>
      </c>
      <c r="E1071" s="524">
        <f t="shared" si="861"/>
        <v>4455901.4925927958</v>
      </c>
      <c r="F1071" s="524">
        <f t="shared" si="861"/>
        <v>3039042.3258411926</v>
      </c>
      <c r="G1071" s="524">
        <f t="shared" si="861"/>
        <v>3809163.8343760413</v>
      </c>
      <c r="H1071" s="524">
        <f t="shared" si="861"/>
        <v>4296388.5150198331</v>
      </c>
      <c r="I1071" s="524">
        <f t="shared" si="861"/>
        <v>4205438.889058955</v>
      </c>
      <c r="J1071" s="524">
        <f t="shared" si="861"/>
        <v>3805123.6109371507</v>
      </c>
      <c r="K1071" s="524">
        <f t="shared" si="861"/>
        <v>3568473.7103350344</v>
      </c>
      <c r="L1071" s="524">
        <f t="shared" si="861"/>
        <v>3229044.2292799819</v>
      </c>
      <c r="M1071" s="524">
        <f t="shared" si="861"/>
        <v>2577205.7522916179</v>
      </c>
      <c r="N1071" s="524">
        <f t="shared" si="861"/>
        <v>3296989.2023085305</v>
      </c>
      <c r="O1071" s="524">
        <f t="shared" si="861"/>
        <v>3336196.7523169629</v>
      </c>
      <c r="P1071" s="511">
        <f t="shared" si="852"/>
        <v>1.1805025860667229E-4</v>
      </c>
      <c r="Q1071" s="530">
        <v>2467783</v>
      </c>
      <c r="R1071" s="480"/>
      <c r="T1071" s="512"/>
      <c r="U1071" s="513"/>
    </row>
    <row r="1072" spans="1:21" s="479" customFormat="1" x14ac:dyDescent="0.15">
      <c r="A1072" s="579"/>
      <c r="B1072" s="528" t="s">
        <v>294</v>
      </c>
      <c r="C1072" s="517">
        <f>'FG1'!I85</f>
        <v>27927717.71869345</v>
      </c>
      <c r="D1072" s="517">
        <f t="shared" ref="D1072:O1072" si="862">$C1072*D$19%</f>
        <v>2112304.5118761985</v>
      </c>
      <c r="E1072" s="517">
        <f t="shared" si="862"/>
        <v>3026403.6726202643</v>
      </c>
      <c r="F1072" s="517">
        <f t="shared" si="862"/>
        <v>1956254.4941838472</v>
      </c>
      <c r="G1072" s="517">
        <f t="shared" si="862"/>
        <v>2403060.4385294602</v>
      </c>
      <c r="H1072" s="517">
        <f t="shared" si="862"/>
        <v>2934661.8709186134</v>
      </c>
      <c r="I1072" s="517">
        <f t="shared" si="862"/>
        <v>2877004.3801973746</v>
      </c>
      <c r="J1072" s="517">
        <f t="shared" si="862"/>
        <v>2230264.1362244152</v>
      </c>
      <c r="K1072" s="517">
        <f t="shared" si="862"/>
        <v>2367948.8885881831</v>
      </c>
      <c r="L1072" s="517">
        <f t="shared" si="862"/>
        <v>2225284.6264452455</v>
      </c>
      <c r="M1072" s="517">
        <f t="shared" si="862"/>
        <v>1475192.6907571561</v>
      </c>
      <c r="N1072" s="517">
        <f t="shared" si="862"/>
        <v>2152968.5407028808</v>
      </c>
      <c r="O1072" s="517">
        <f t="shared" si="862"/>
        <v>2166369.4676218843</v>
      </c>
      <c r="P1072" s="511">
        <f t="shared" si="852"/>
        <v>2.7928967028856277E-5</v>
      </c>
      <c r="Q1072" s="530">
        <v>1697543</v>
      </c>
      <c r="R1072" s="480"/>
      <c r="U1072" s="513"/>
    </row>
    <row r="1073" spans="1:21" s="479" customFormat="1" x14ac:dyDescent="0.15">
      <c r="A1073" s="579"/>
      <c r="B1073" s="528" t="s">
        <v>296</v>
      </c>
      <c r="C1073" s="517">
        <f>FFM!J85</f>
        <v>7506855.8963416172</v>
      </c>
      <c r="D1073" s="517">
        <f t="shared" ref="D1073:O1073" si="863">$C1073*D$20%</f>
        <v>567692.01395845623</v>
      </c>
      <c r="E1073" s="517">
        <f t="shared" si="863"/>
        <v>813878.74095493602</v>
      </c>
      <c r="F1073" s="517">
        <f t="shared" si="863"/>
        <v>525664.36266419606</v>
      </c>
      <c r="G1073" s="517">
        <f t="shared" si="863"/>
        <v>645998.89227176178</v>
      </c>
      <c r="H1073" s="517">
        <f t="shared" si="863"/>
        <v>789170.68633515143</v>
      </c>
      <c r="I1073" s="517">
        <f t="shared" si="863"/>
        <v>773642.27144952863</v>
      </c>
      <c r="J1073" s="517">
        <f t="shared" si="863"/>
        <v>599408.54197699227</v>
      </c>
      <c r="K1073" s="517">
        <f t="shared" si="863"/>
        <v>636490.03180535522</v>
      </c>
      <c r="L1073" s="517">
        <f t="shared" si="863"/>
        <v>598067.44880717143</v>
      </c>
      <c r="M1073" s="517">
        <f t="shared" si="863"/>
        <v>396051.42361511011</v>
      </c>
      <c r="N1073" s="517">
        <f t="shared" si="863"/>
        <v>578591.16044926306</v>
      </c>
      <c r="O1073" s="517">
        <f t="shared" si="863"/>
        <v>582200.32196361281</v>
      </c>
      <c r="P1073" s="511">
        <f t="shared" si="852"/>
        <v>9.0081943199038506E-5</v>
      </c>
      <c r="Q1073" s="530">
        <v>519732</v>
      </c>
      <c r="R1073" s="480"/>
      <c r="U1073" s="513"/>
    </row>
    <row r="1074" spans="1:21" s="479" customFormat="1" ht="18" x14ac:dyDescent="0.15">
      <c r="A1074" s="579"/>
      <c r="B1074" s="528" t="s">
        <v>297</v>
      </c>
      <c r="C1074" s="517">
        <f>IEPS!I84</f>
        <v>675403.94241735921</v>
      </c>
      <c r="D1074" s="517">
        <f t="shared" ref="D1074:O1074" si="864">$C1074*D$21%</f>
        <v>47440.251968109726</v>
      </c>
      <c r="E1074" s="517">
        <f t="shared" si="864"/>
        <v>108434.50073013084</v>
      </c>
      <c r="F1074" s="517">
        <f t="shared" si="864"/>
        <v>45039.334070911413</v>
      </c>
      <c r="G1074" s="517">
        <f t="shared" si="864"/>
        <v>43771.925781489976</v>
      </c>
      <c r="H1074" s="517">
        <f t="shared" si="864"/>
        <v>48326.614071493081</v>
      </c>
      <c r="I1074" s="517">
        <f t="shared" si="864"/>
        <v>50115.661596083031</v>
      </c>
      <c r="J1074" s="517">
        <f t="shared" si="864"/>
        <v>51609.867115876696</v>
      </c>
      <c r="K1074" s="517">
        <f t="shared" si="864"/>
        <v>57168.623399624172</v>
      </c>
      <c r="L1074" s="517">
        <f t="shared" si="864"/>
        <v>57288.417663965083</v>
      </c>
      <c r="M1074" s="517">
        <f t="shared" si="864"/>
        <v>56651.699653773365</v>
      </c>
      <c r="N1074" s="517">
        <f t="shared" si="864"/>
        <v>54820.100601515616</v>
      </c>
      <c r="O1074" s="517">
        <f t="shared" si="864"/>
        <v>54736.945763710806</v>
      </c>
      <c r="P1074" s="511">
        <f t="shared" si="852"/>
        <v>6.7540531745180488E-7</v>
      </c>
      <c r="Q1074" s="530">
        <v>43841</v>
      </c>
      <c r="R1074" s="480"/>
      <c r="U1074" s="513"/>
    </row>
    <row r="1075" spans="1:21" s="479" customFormat="1" x14ac:dyDescent="0.15">
      <c r="A1075" s="579"/>
      <c r="B1075" s="528" t="s">
        <v>236</v>
      </c>
      <c r="C1075" s="517">
        <f>ISR!C75</f>
        <v>3834294.48</v>
      </c>
      <c r="D1075" s="517">
        <f>ISR!D75</f>
        <v>312092.05999999994</v>
      </c>
      <c r="E1075" s="517">
        <f>ISR!E75</f>
        <v>308505.60000000015</v>
      </c>
      <c r="F1075" s="517">
        <f>ISR!F75</f>
        <v>325759.13000000018</v>
      </c>
      <c r="G1075" s="517">
        <f>ISR!G75</f>
        <v>327686.26000000013</v>
      </c>
      <c r="H1075" s="517">
        <f>ISR!H75</f>
        <v>335520.43999999983</v>
      </c>
      <c r="I1075" s="517">
        <f>ISR!I75</f>
        <v>323571.41000000015</v>
      </c>
      <c r="J1075" s="517">
        <f>ISR!J75</f>
        <v>462049.75999999919</v>
      </c>
      <c r="K1075" s="517">
        <f>ISR!K75</f>
        <v>320462.86999999988</v>
      </c>
      <c r="L1075" s="517">
        <f>ISR!L75</f>
        <v>159156.63000000003</v>
      </c>
      <c r="M1075" s="517">
        <f>ISR!M75</f>
        <v>318016.62</v>
      </c>
      <c r="N1075" s="517">
        <f>ISR!N75</f>
        <v>319335.01999999996</v>
      </c>
      <c r="O1075" s="517">
        <f>ISR!O75</f>
        <v>322138.68000000017</v>
      </c>
      <c r="P1075" s="511">
        <f t="shared" si="852"/>
        <v>0</v>
      </c>
      <c r="Q1075" s="530">
        <v>0</v>
      </c>
      <c r="R1075" s="480"/>
      <c r="U1075" s="513"/>
    </row>
    <row r="1076" spans="1:21" s="479" customFormat="1" ht="18" x14ac:dyDescent="0.15">
      <c r="A1076" s="579"/>
      <c r="B1076" s="528" t="s">
        <v>298</v>
      </c>
      <c r="C1076" s="517">
        <f>FOFIR!I84</f>
        <v>1306227.9005195224</v>
      </c>
      <c r="D1076" s="517">
        <f t="shared" ref="D1076:O1076" si="865">$C1076*D$23%</f>
        <v>178581.59476909303</v>
      </c>
      <c r="E1076" s="517">
        <f t="shared" si="865"/>
        <v>45434.874495408665</v>
      </c>
      <c r="F1076" s="517">
        <f t="shared" si="865"/>
        <v>45434.874495408665</v>
      </c>
      <c r="G1076" s="517">
        <f t="shared" si="865"/>
        <v>256404.19061908871</v>
      </c>
      <c r="H1076" s="517">
        <f t="shared" si="865"/>
        <v>45434.874495408665</v>
      </c>
      <c r="I1076" s="517">
        <f t="shared" si="865"/>
        <v>45434.874495408665</v>
      </c>
      <c r="J1076" s="517">
        <f t="shared" si="865"/>
        <v>318925.49827088177</v>
      </c>
      <c r="K1076" s="517">
        <f t="shared" si="865"/>
        <v>45434.874495408665</v>
      </c>
      <c r="L1076" s="517">
        <f t="shared" si="865"/>
        <v>45434.874495408665</v>
      </c>
      <c r="M1076" s="517">
        <f t="shared" si="865"/>
        <v>188837.62090241443</v>
      </c>
      <c r="N1076" s="517">
        <f t="shared" si="865"/>
        <v>45434.874495408665</v>
      </c>
      <c r="O1076" s="517">
        <f t="shared" si="865"/>
        <v>45434.874495408665</v>
      </c>
      <c r="P1076" s="511">
        <f t="shared" si="852"/>
        <v>-5.2247632993385196E-6</v>
      </c>
      <c r="Q1076" s="530">
        <v>51639</v>
      </c>
      <c r="R1076" s="480"/>
      <c r="U1076" s="513"/>
    </row>
    <row r="1077" spans="1:21" s="479" customFormat="1" ht="27" x14ac:dyDescent="0.15">
      <c r="A1077" s="579"/>
      <c r="B1077" s="528" t="s">
        <v>407</v>
      </c>
      <c r="C1077" s="517">
        <f>FCISAN!I84</f>
        <v>82920.978337288005</v>
      </c>
      <c r="D1077" s="517">
        <f t="shared" ref="D1077:O1077" si="866">$C1077*D$24%</f>
        <v>6910.0815280796942</v>
      </c>
      <c r="E1077" s="517">
        <f t="shared" si="866"/>
        <v>6910.0815280796942</v>
      </c>
      <c r="F1077" s="517">
        <f t="shared" si="866"/>
        <v>6910.0815280796942</v>
      </c>
      <c r="G1077" s="517">
        <f t="shared" si="866"/>
        <v>6910.0815280796942</v>
      </c>
      <c r="H1077" s="517">
        <f t="shared" si="866"/>
        <v>6910.0815280796942</v>
      </c>
      <c r="I1077" s="517">
        <f t="shared" si="866"/>
        <v>6910.0815280796942</v>
      </c>
      <c r="J1077" s="517">
        <f t="shared" si="866"/>
        <v>6910.0815280796942</v>
      </c>
      <c r="K1077" s="517">
        <f t="shared" si="866"/>
        <v>6910.0815280796942</v>
      </c>
      <c r="L1077" s="517">
        <f t="shared" si="866"/>
        <v>6910.0815280796942</v>
      </c>
      <c r="M1077" s="517">
        <f t="shared" si="866"/>
        <v>6910.0815280796942</v>
      </c>
      <c r="N1077" s="517">
        <f t="shared" si="866"/>
        <v>6910.0815280796942</v>
      </c>
      <c r="O1077" s="517">
        <f t="shared" si="866"/>
        <v>6910.0815280796942</v>
      </c>
      <c r="P1077" s="511">
        <f t="shared" si="852"/>
        <v>3.3165815693791956E-7</v>
      </c>
      <c r="Q1077" s="530">
        <v>6145</v>
      </c>
      <c r="R1077" s="480"/>
      <c r="U1077" s="513"/>
    </row>
    <row r="1078" spans="1:21" s="479" customFormat="1" ht="27" x14ac:dyDescent="0.15">
      <c r="A1078" s="579"/>
      <c r="B1078" s="528" t="s">
        <v>242</v>
      </c>
      <c r="C1078" s="517">
        <f>ISAN!I84</f>
        <v>414200.01138888852</v>
      </c>
      <c r="D1078" s="517">
        <f t="shared" ref="D1078:O1078" si="867">$C1078*D$25%</f>
        <v>39859.961332848827</v>
      </c>
      <c r="E1078" s="517">
        <f t="shared" si="867"/>
        <v>44519.414417021457</v>
      </c>
      <c r="F1078" s="517">
        <f t="shared" si="867"/>
        <v>34550.996309588554</v>
      </c>
      <c r="G1078" s="517">
        <f t="shared" si="867"/>
        <v>32066.888535560851</v>
      </c>
      <c r="H1078" s="517">
        <f t="shared" si="867"/>
        <v>34286.593428881693</v>
      </c>
      <c r="I1078" s="517">
        <f t="shared" si="867"/>
        <v>29778.949651176637</v>
      </c>
      <c r="J1078" s="517">
        <f t="shared" si="867"/>
        <v>32260.926126323928</v>
      </c>
      <c r="K1078" s="517">
        <f t="shared" si="867"/>
        <v>33269.494988931052</v>
      </c>
      <c r="L1078" s="517">
        <f t="shared" si="867"/>
        <v>32691.646566882864</v>
      </c>
      <c r="M1078" s="517">
        <f t="shared" si="867"/>
        <v>33493.384786346949</v>
      </c>
      <c r="N1078" s="517">
        <f t="shared" si="867"/>
        <v>32429.375861503646</v>
      </c>
      <c r="O1078" s="517">
        <f t="shared" si="867"/>
        <v>34992.379378851663</v>
      </c>
      <c r="P1078" s="511">
        <f t="shared" si="852"/>
        <v>4.9704249249771237E-6</v>
      </c>
      <c r="Q1078" s="530">
        <v>26388</v>
      </c>
      <c r="R1078" s="480"/>
      <c r="U1078" s="513"/>
    </row>
    <row r="1079" spans="1:21" s="479" customFormat="1" ht="18" x14ac:dyDescent="0.15">
      <c r="A1079" s="579"/>
      <c r="B1079" s="528" t="s">
        <v>403</v>
      </c>
      <c r="C1079" s="517">
        <f>LOT!I84</f>
        <v>20050.177889817754</v>
      </c>
      <c r="D1079" s="517">
        <f t="shared" ref="D1079:O1079" si="868">$C1079*D$26%</f>
        <v>1516.0017486254594</v>
      </c>
      <c r="E1079" s="517">
        <f t="shared" si="868"/>
        <v>1494.5134328692498</v>
      </c>
      <c r="F1079" s="517">
        <f t="shared" si="868"/>
        <v>1468.9232570336383</v>
      </c>
      <c r="G1079" s="517">
        <f t="shared" si="868"/>
        <v>1616.1435886256863</v>
      </c>
      <c r="H1079" s="517">
        <f t="shared" si="868"/>
        <v>1322.2996245902432</v>
      </c>
      <c r="I1079" s="517">
        <f t="shared" si="868"/>
        <v>1794.4280068684491</v>
      </c>
      <c r="J1079" s="517">
        <f t="shared" si="868"/>
        <v>4118.2103463564272</v>
      </c>
      <c r="K1079" s="517">
        <f t="shared" si="868"/>
        <v>1499.1762616176454</v>
      </c>
      <c r="L1079" s="517">
        <f t="shared" si="868"/>
        <v>1819.0641786585659</v>
      </c>
      <c r="M1079" s="517">
        <f t="shared" si="868"/>
        <v>1126.2500074820252</v>
      </c>
      <c r="N1079" s="517">
        <f t="shared" si="868"/>
        <v>1137.5837184248815</v>
      </c>
      <c r="O1079" s="517">
        <f t="shared" si="868"/>
        <v>1137.5837184248815</v>
      </c>
      <c r="P1079" s="511">
        <f t="shared" si="852"/>
        <v>2.4060091163846664E-7</v>
      </c>
      <c r="Q1079" s="530">
        <v>1289</v>
      </c>
      <c r="R1079" s="480"/>
      <c r="U1079" s="513"/>
    </row>
    <row r="1080" spans="1:21" s="479" customFormat="1" ht="45" x14ac:dyDescent="0.15">
      <c r="A1080" s="579"/>
      <c r="B1080" s="518" t="s">
        <v>301</v>
      </c>
      <c r="C1080" s="517">
        <f>'ENAJENAC DE INMUE'!I84</f>
        <v>78839.679397917396</v>
      </c>
      <c r="D1080" s="517">
        <f t="shared" ref="D1080:O1080" si="869">$C1080*D$27%</f>
        <v>3404.748133858463</v>
      </c>
      <c r="E1080" s="517">
        <f t="shared" si="869"/>
        <v>3454.8966626396568</v>
      </c>
      <c r="F1080" s="517">
        <f t="shared" si="869"/>
        <v>3408.3200350701836</v>
      </c>
      <c r="G1080" s="517">
        <f t="shared" si="869"/>
        <v>3388.3550456789862</v>
      </c>
      <c r="H1080" s="517">
        <f t="shared" si="869"/>
        <v>4700.2955422167979</v>
      </c>
      <c r="I1080" s="517">
        <f t="shared" si="869"/>
        <v>3383.1673947746035</v>
      </c>
      <c r="J1080" s="517">
        <f t="shared" si="869"/>
        <v>3888.2032507270837</v>
      </c>
      <c r="K1080" s="517">
        <f t="shared" si="869"/>
        <v>3884.2009775813135</v>
      </c>
      <c r="L1080" s="517">
        <f t="shared" si="869"/>
        <v>3879.2804540380557</v>
      </c>
      <c r="M1080" s="517">
        <f t="shared" si="869"/>
        <v>3387.800385355556</v>
      </c>
      <c r="N1080" s="517">
        <f t="shared" si="869"/>
        <v>14085.22813877314</v>
      </c>
      <c r="O1080" s="517">
        <f t="shared" si="869"/>
        <v>27975.183377045876</v>
      </c>
      <c r="P1080" s="511">
        <f t="shared" si="852"/>
        <v>1.5768455341458321E-7</v>
      </c>
      <c r="Q1080" s="530">
        <v>18808</v>
      </c>
      <c r="R1080" s="480"/>
      <c r="U1080" s="513"/>
    </row>
    <row r="1081" spans="1:21" s="479" customFormat="1" ht="27" x14ac:dyDescent="0.15">
      <c r="A1081" s="579"/>
      <c r="B1081" s="518" t="s">
        <v>248</v>
      </c>
      <c r="C1081" s="517">
        <f>'IMP BEBIDAS AL'!I84</f>
        <v>30814.712947764077</v>
      </c>
      <c r="D1081" s="517">
        <f t="shared" ref="D1081:O1081" si="870">$C1081*D$28%</f>
        <v>7006.9759246917292</v>
      </c>
      <c r="E1081" s="517">
        <f t="shared" si="870"/>
        <v>2410.1452589574665</v>
      </c>
      <c r="F1081" s="517">
        <f t="shared" si="870"/>
        <v>2590.0699988690085</v>
      </c>
      <c r="G1081" s="517">
        <f t="shared" si="870"/>
        <v>2571.4767486804913</v>
      </c>
      <c r="H1081" s="517">
        <f t="shared" si="870"/>
        <v>1637.5287851472367</v>
      </c>
      <c r="I1081" s="517">
        <f t="shared" si="870"/>
        <v>2679.8184911441476</v>
      </c>
      <c r="J1081" s="517">
        <f t="shared" si="870"/>
        <v>2664.7341892885252</v>
      </c>
      <c r="K1081" s="517">
        <f t="shared" si="870"/>
        <v>2437.0938467170399</v>
      </c>
      <c r="L1081" s="517">
        <f t="shared" si="870"/>
        <v>1767.4490361913372</v>
      </c>
      <c r="M1081" s="517">
        <f t="shared" si="870"/>
        <v>1643.0004421166386</v>
      </c>
      <c r="N1081" s="517">
        <f t="shared" si="870"/>
        <v>1654.614169471248</v>
      </c>
      <c r="O1081" s="517">
        <f t="shared" si="870"/>
        <v>1751.8060564892103</v>
      </c>
      <c r="P1081" s="511">
        <f t="shared" si="852"/>
        <v>-2.0463630789890885E-12</v>
      </c>
      <c r="Q1081" s="530">
        <v>807</v>
      </c>
      <c r="R1081" s="480"/>
      <c r="U1081" s="513"/>
    </row>
    <row r="1082" spans="1:21" s="479" customFormat="1" ht="18" x14ac:dyDescent="0.15">
      <c r="A1082" s="579"/>
      <c r="B1082" s="518" t="s">
        <v>253</v>
      </c>
      <c r="C1082" s="517">
        <f>'FOND GASO Y D'!Q85</f>
        <v>0</v>
      </c>
      <c r="D1082" s="517">
        <f t="shared" ref="D1082:O1082" si="871">$C1082*D$29%</f>
        <v>0</v>
      </c>
      <c r="E1082" s="517">
        <f t="shared" si="871"/>
        <v>0</v>
      </c>
      <c r="F1082" s="517">
        <f t="shared" si="871"/>
        <v>0</v>
      </c>
      <c r="G1082" s="517">
        <f t="shared" si="871"/>
        <v>0</v>
      </c>
      <c r="H1082" s="517">
        <f t="shared" si="871"/>
        <v>0</v>
      </c>
      <c r="I1082" s="517">
        <f t="shared" si="871"/>
        <v>0</v>
      </c>
      <c r="J1082" s="517">
        <f t="shared" si="871"/>
        <v>0</v>
      </c>
      <c r="K1082" s="517">
        <f t="shared" si="871"/>
        <v>0</v>
      </c>
      <c r="L1082" s="517">
        <f t="shared" si="871"/>
        <v>0</v>
      </c>
      <c r="M1082" s="517">
        <f t="shared" si="871"/>
        <v>0</v>
      </c>
      <c r="N1082" s="517">
        <f t="shared" si="871"/>
        <v>0</v>
      </c>
      <c r="O1082" s="517">
        <f t="shared" si="871"/>
        <v>0</v>
      </c>
      <c r="P1082" s="511">
        <f t="shared" si="852"/>
        <v>0</v>
      </c>
      <c r="Q1082" s="530">
        <v>34097</v>
      </c>
      <c r="R1082" s="480"/>
      <c r="U1082" s="513"/>
    </row>
    <row r="1083" spans="1:21" s="479" customFormat="1" ht="18" x14ac:dyDescent="0.15">
      <c r="A1083" s="579"/>
      <c r="B1083" s="528" t="s">
        <v>408</v>
      </c>
      <c r="C1083" s="519">
        <f>'FOND GASO Y D'!H85</f>
        <v>1104360.0743474618</v>
      </c>
      <c r="D1083" s="517">
        <f t="shared" ref="D1083:O1083" si="872">$C1083*D$30%</f>
        <v>85909.056564971936</v>
      </c>
      <c r="E1083" s="517">
        <f t="shared" si="872"/>
        <v>94455.052492487681</v>
      </c>
      <c r="F1083" s="517">
        <f t="shared" si="872"/>
        <v>91961.739298187298</v>
      </c>
      <c r="G1083" s="517">
        <f t="shared" si="872"/>
        <v>85689.181727614123</v>
      </c>
      <c r="H1083" s="517">
        <f t="shared" si="872"/>
        <v>94417.230290251842</v>
      </c>
      <c r="I1083" s="517">
        <f t="shared" si="872"/>
        <v>91123.846248517177</v>
      </c>
      <c r="J1083" s="517">
        <f t="shared" si="872"/>
        <v>93023.651908209678</v>
      </c>
      <c r="K1083" s="517">
        <f t="shared" si="872"/>
        <v>92968.374443537177</v>
      </c>
      <c r="L1083" s="517">
        <f t="shared" si="872"/>
        <v>96744.710104341211</v>
      </c>
      <c r="M1083" s="517">
        <f t="shared" si="872"/>
        <v>95895.180213782893</v>
      </c>
      <c r="N1083" s="517">
        <f t="shared" si="872"/>
        <v>89622.622643209746</v>
      </c>
      <c r="O1083" s="517">
        <f t="shared" si="872"/>
        <v>92549.428413455433</v>
      </c>
      <c r="P1083" s="511">
        <f t="shared" si="852"/>
        <v>-1.1044758139178157E-6</v>
      </c>
      <c r="Q1083" s="530">
        <v>67494</v>
      </c>
      <c r="R1083" s="480"/>
      <c r="U1083" s="513"/>
    </row>
    <row r="1084" spans="1:21" s="479" customFormat="1" x14ac:dyDescent="0.15">
      <c r="A1084" s="579"/>
      <c r="B1084" s="534"/>
      <c r="C1084" s="521"/>
      <c r="D1084" s="522"/>
      <c r="E1084" s="522"/>
      <c r="F1084" s="522"/>
      <c r="G1084" s="522"/>
      <c r="H1084" s="522"/>
      <c r="I1084" s="522"/>
      <c r="J1084" s="522"/>
      <c r="K1084" s="522"/>
      <c r="L1084" s="522"/>
      <c r="M1084" s="522"/>
      <c r="N1084" s="522"/>
      <c r="O1084" s="522"/>
      <c r="P1084" s="511">
        <f t="shared" si="852"/>
        <v>0</v>
      </c>
      <c r="Q1084" s="530">
        <v>0</v>
      </c>
      <c r="R1084" s="480"/>
      <c r="U1084" s="513"/>
    </row>
    <row r="1085" spans="1:21" s="479" customFormat="1" x14ac:dyDescent="0.15">
      <c r="A1085" s="591"/>
      <c r="B1085" s="532"/>
      <c r="C1085" s="521"/>
      <c r="D1085" s="521"/>
      <c r="E1085" s="521"/>
      <c r="F1085" s="521"/>
      <c r="G1085" s="521"/>
      <c r="H1085" s="521"/>
      <c r="I1085" s="521"/>
      <c r="J1085" s="521"/>
      <c r="K1085" s="521"/>
      <c r="L1085" s="521"/>
      <c r="M1085" s="521"/>
      <c r="N1085" s="521"/>
      <c r="O1085" s="521"/>
      <c r="P1085" s="511">
        <f t="shared" si="852"/>
        <v>0</v>
      </c>
      <c r="Q1085" s="530">
        <v>0</v>
      </c>
      <c r="R1085" s="480"/>
      <c r="U1085" s="513"/>
    </row>
    <row r="1086" spans="1:21" s="479" customFormat="1" x14ac:dyDescent="0.15">
      <c r="A1086" s="576">
        <v>71</v>
      </c>
      <c r="B1086" s="533" t="s">
        <v>143</v>
      </c>
      <c r="C1086" s="524">
        <f t="shared" ref="C1086:O1086" si="873">SUM(C1087:C1098)</f>
        <v>115455775.66808371</v>
      </c>
      <c r="D1086" s="524">
        <f t="shared" si="873"/>
        <v>8978555.6862357091</v>
      </c>
      <c r="E1086" s="524">
        <f t="shared" si="873"/>
        <v>12090833.354526758</v>
      </c>
      <c r="F1086" s="524">
        <f t="shared" si="873"/>
        <v>8364943.4641848262</v>
      </c>
      <c r="G1086" s="524">
        <f t="shared" si="873"/>
        <v>10276069.727093721</v>
      </c>
      <c r="H1086" s="524">
        <f t="shared" si="873"/>
        <v>11561048.097504254</v>
      </c>
      <c r="I1086" s="524">
        <f t="shared" si="873"/>
        <v>11335274.241752923</v>
      </c>
      <c r="J1086" s="524">
        <f t="shared" si="873"/>
        <v>9814292.6910713501</v>
      </c>
      <c r="K1086" s="524">
        <f t="shared" si="873"/>
        <v>9542422.7437291443</v>
      </c>
      <c r="L1086" s="524">
        <f t="shared" si="873"/>
        <v>9045421.7771663368</v>
      </c>
      <c r="M1086" s="524">
        <f t="shared" si="873"/>
        <v>6754961.313068266</v>
      </c>
      <c r="N1086" s="524">
        <f t="shared" si="873"/>
        <v>8794678.9728771131</v>
      </c>
      <c r="O1086" s="524">
        <f t="shared" si="873"/>
        <v>8897273.5985381398</v>
      </c>
      <c r="P1086" s="511">
        <f t="shared" si="852"/>
        <v>3.3516809344291687E-4</v>
      </c>
      <c r="Q1086" s="530">
        <v>6840563</v>
      </c>
      <c r="R1086" s="480"/>
      <c r="T1086" s="512"/>
      <c r="U1086" s="513"/>
    </row>
    <row r="1087" spans="1:21" s="479" customFormat="1" x14ac:dyDescent="0.15">
      <c r="A1087" s="579"/>
      <c r="B1087" s="528" t="s">
        <v>294</v>
      </c>
      <c r="C1087" s="517">
        <f>'FG1'!I86</f>
        <v>79229816.524838239</v>
      </c>
      <c r="D1087" s="517">
        <f t="shared" ref="D1087:O1087" si="874">$C1087*D$19%</f>
        <v>5992523.2919594524</v>
      </c>
      <c r="E1087" s="517">
        <f t="shared" si="874"/>
        <v>8585785.9968021009</v>
      </c>
      <c r="F1087" s="517">
        <f t="shared" si="874"/>
        <v>5549815.6423405567</v>
      </c>
      <c r="G1087" s="517">
        <f t="shared" si="874"/>
        <v>6817386.2096631685</v>
      </c>
      <c r="H1087" s="517">
        <f t="shared" si="874"/>
        <v>8325518.1800870029</v>
      </c>
      <c r="I1087" s="517">
        <f t="shared" si="874"/>
        <v>8161946.1883782577</v>
      </c>
      <c r="J1087" s="517">
        <f t="shared" si="874"/>
        <v>6327170.0213695094</v>
      </c>
      <c r="K1087" s="517">
        <f t="shared" si="874"/>
        <v>6717776.1488708388</v>
      </c>
      <c r="L1087" s="517">
        <f t="shared" si="874"/>
        <v>6313043.3515799763</v>
      </c>
      <c r="M1087" s="517">
        <f t="shared" si="874"/>
        <v>4185062.5749213533</v>
      </c>
      <c r="N1087" s="517">
        <f t="shared" si="874"/>
        <v>6107885.5129454611</v>
      </c>
      <c r="O1087" s="517">
        <f t="shared" si="874"/>
        <v>6145903.4058413329</v>
      </c>
      <c r="P1087" s="511">
        <f t="shared" si="852"/>
        <v>7.9235062003135681E-5</v>
      </c>
      <c r="Q1087" s="530">
        <v>4717745</v>
      </c>
      <c r="R1087" s="480"/>
      <c r="U1087" s="513"/>
    </row>
    <row r="1088" spans="1:21" s="479" customFormat="1" x14ac:dyDescent="0.15">
      <c r="A1088" s="579"/>
      <c r="B1088" s="528" t="s">
        <v>296</v>
      </c>
      <c r="C1088" s="517">
        <f>FFM!J86</f>
        <v>21296649.491248567</v>
      </c>
      <c r="D1088" s="517">
        <f t="shared" ref="D1088:O1088" si="875">$C1088*D$20%</f>
        <v>1610519.5047298202</v>
      </c>
      <c r="E1088" s="517">
        <f t="shared" si="875"/>
        <v>2308941.3882239237</v>
      </c>
      <c r="F1088" s="517">
        <f t="shared" si="875"/>
        <v>1491288.7414231114</v>
      </c>
      <c r="G1088" s="517">
        <f t="shared" si="875"/>
        <v>1832672.9819272503</v>
      </c>
      <c r="H1088" s="517">
        <f t="shared" si="875"/>
        <v>2238845.6269472735</v>
      </c>
      <c r="I1088" s="517">
        <f t="shared" si="875"/>
        <v>2194792.1359065091</v>
      </c>
      <c r="J1088" s="517">
        <f t="shared" si="875"/>
        <v>1700498.0243147374</v>
      </c>
      <c r="K1088" s="517">
        <f t="shared" si="875"/>
        <v>1805696.7256609031</v>
      </c>
      <c r="L1088" s="517">
        <f t="shared" si="875"/>
        <v>1696693.3967093639</v>
      </c>
      <c r="M1088" s="517">
        <f t="shared" si="875"/>
        <v>1123582.0249795255</v>
      </c>
      <c r="N1088" s="517">
        <f t="shared" si="875"/>
        <v>1641439.9467595657</v>
      </c>
      <c r="O1088" s="517">
        <f t="shared" si="875"/>
        <v>1651678.9934110234</v>
      </c>
      <c r="P1088" s="511">
        <f t="shared" si="852"/>
        <v>2.5556213222444057E-4</v>
      </c>
      <c r="Q1088" s="530">
        <v>1444421</v>
      </c>
      <c r="R1088" s="480"/>
      <c r="U1088" s="513"/>
    </row>
    <row r="1089" spans="1:21" s="479" customFormat="1" ht="18" x14ac:dyDescent="0.15">
      <c r="A1089" s="579"/>
      <c r="B1089" s="528" t="s">
        <v>297</v>
      </c>
      <c r="C1089" s="517">
        <f>IEPS!I85</f>
        <v>1916093.9313727512</v>
      </c>
      <c r="D1089" s="517">
        <f t="shared" ref="D1089:O1089" si="876">$C1089*D$21%</f>
        <v>134586.09461701737</v>
      </c>
      <c r="E1089" s="517">
        <f t="shared" si="876"/>
        <v>307624.33523381478</v>
      </c>
      <c r="F1089" s="517">
        <f t="shared" si="876"/>
        <v>127774.78671129129</v>
      </c>
      <c r="G1089" s="517">
        <f t="shared" si="876"/>
        <v>124179.20016016737</v>
      </c>
      <c r="H1089" s="517">
        <f t="shared" si="876"/>
        <v>137100.66840113388</v>
      </c>
      <c r="I1089" s="517">
        <f t="shared" si="876"/>
        <v>142176.12456820192</v>
      </c>
      <c r="J1089" s="517">
        <f t="shared" si="876"/>
        <v>146415.1257775421</v>
      </c>
      <c r="K1089" s="517">
        <f t="shared" si="876"/>
        <v>162185.09469887681</v>
      </c>
      <c r="L1089" s="517">
        <f t="shared" si="876"/>
        <v>162524.94622845974</v>
      </c>
      <c r="M1089" s="517">
        <f t="shared" si="876"/>
        <v>160718.60273724838</v>
      </c>
      <c r="N1089" s="517">
        <f t="shared" si="876"/>
        <v>155522.42959058576</v>
      </c>
      <c r="O1089" s="517">
        <f t="shared" si="876"/>
        <v>155286.52264649566</v>
      </c>
      <c r="P1089" s="511">
        <f t="shared" si="852"/>
        <v>1.9161379896104336E-6</v>
      </c>
      <c r="Q1089" s="530">
        <v>121840</v>
      </c>
      <c r="R1089" s="480"/>
      <c r="U1089" s="513"/>
    </row>
    <row r="1090" spans="1:21" s="479" customFormat="1" x14ac:dyDescent="0.15">
      <c r="A1090" s="579"/>
      <c r="B1090" s="528" t="s">
        <v>236</v>
      </c>
      <c r="C1090" s="517">
        <f>ISR!C76</f>
        <v>4653438.03</v>
      </c>
      <c r="D1090" s="517">
        <f>ISR!D76</f>
        <v>344065.31999999989</v>
      </c>
      <c r="E1090" s="517">
        <f>ISR!E76</f>
        <v>346839.10999999993</v>
      </c>
      <c r="F1090" s="517">
        <f>ISR!F76</f>
        <v>688888.72000000055</v>
      </c>
      <c r="G1090" s="517">
        <f>ISR!G76</f>
        <v>419217.2099999999</v>
      </c>
      <c r="H1090" s="517">
        <f>ISR!H76</f>
        <v>346216.99000000017</v>
      </c>
      <c r="I1090" s="517">
        <f>ISR!I76</f>
        <v>343797.5199999999</v>
      </c>
      <c r="J1090" s="517">
        <f>ISR!J76</f>
        <v>351794.43999999983</v>
      </c>
      <c r="K1090" s="517">
        <f>ISR!K76</f>
        <v>349601.57000000018</v>
      </c>
      <c r="L1090" s="517">
        <f>ISR!L76</f>
        <v>358808.73999999993</v>
      </c>
      <c r="M1090" s="517">
        <f>ISR!M76</f>
        <v>368069.47000000003</v>
      </c>
      <c r="N1090" s="517">
        <f>ISR!N76</f>
        <v>368069.47000000003</v>
      </c>
      <c r="O1090" s="517">
        <f>ISR!O76</f>
        <v>368069.47000000003</v>
      </c>
      <c r="P1090" s="511">
        <f t="shared" si="852"/>
        <v>-1.0477378964424133E-9</v>
      </c>
      <c r="Q1090" s="530">
        <v>0</v>
      </c>
      <c r="R1090" s="480"/>
      <c r="U1090" s="513"/>
    </row>
    <row r="1091" spans="1:21" s="479" customFormat="1" ht="18" x14ac:dyDescent="0.15">
      <c r="A1091" s="579"/>
      <c r="B1091" s="528" t="s">
        <v>298</v>
      </c>
      <c r="C1091" s="517">
        <f>FOFIR!I85</f>
        <v>3705716.232891948</v>
      </c>
      <c r="D1091" s="517">
        <f t="shared" ref="D1091:O1091" si="877">$C1091*D$23%</f>
        <v>506628.83128461335</v>
      </c>
      <c r="E1091" s="517">
        <f t="shared" si="877"/>
        <v>128896.91905224152</v>
      </c>
      <c r="F1091" s="517">
        <f t="shared" si="877"/>
        <v>128896.91905224152</v>
      </c>
      <c r="G1091" s="517">
        <f t="shared" si="877"/>
        <v>727408.41853153915</v>
      </c>
      <c r="H1091" s="517">
        <f t="shared" si="877"/>
        <v>128896.91905224152</v>
      </c>
      <c r="I1091" s="517">
        <f t="shared" si="877"/>
        <v>128896.91905224152</v>
      </c>
      <c r="J1091" s="517">
        <f t="shared" si="877"/>
        <v>904778.8640523653</v>
      </c>
      <c r="K1091" s="517">
        <f t="shared" si="877"/>
        <v>128896.91905224152</v>
      </c>
      <c r="L1091" s="517">
        <f t="shared" si="877"/>
        <v>128896.91905224152</v>
      </c>
      <c r="M1091" s="517">
        <f t="shared" si="877"/>
        <v>535724.76662032097</v>
      </c>
      <c r="N1091" s="517">
        <f t="shared" si="877"/>
        <v>128896.91905224152</v>
      </c>
      <c r="O1091" s="517">
        <f t="shared" si="877"/>
        <v>128896.91905224152</v>
      </c>
      <c r="P1091" s="511">
        <f t="shared" si="852"/>
        <v>-1.4822522643953562E-5</v>
      </c>
      <c r="Q1091" s="530">
        <v>143516</v>
      </c>
      <c r="R1091" s="480"/>
      <c r="U1091" s="513"/>
    </row>
    <row r="1092" spans="1:21" s="479" customFormat="1" ht="27" x14ac:dyDescent="0.15">
      <c r="A1092" s="579"/>
      <c r="B1092" s="528" t="s">
        <v>407</v>
      </c>
      <c r="C1092" s="517">
        <f>FCISAN!I85</f>
        <v>235243.49414796263</v>
      </c>
      <c r="D1092" s="517">
        <f t="shared" ref="D1092:O1092" si="878">$C1092*D$24%</f>
        <v>19603.624512251808</v>
      </c>
      <c r="E1092" s="517">
        <f t="shared" si="878"/>
        <v>19603.624512251808</v>
      </c>
      <c r="F1092" s="517">
        <f t="shared" si="878"/>
        <v>19603.624512251808</v>
      </c>
      <c r="G1092" s="517">
        <f t="shared" si="878"/>
        <v>19603.624512251808</v>
      </c>
      <c r="H1092" s="517">
        <f t="shared" si="878"/>
        <v>19603.624512251808</v>
      </c>
      <c r="I1092" s="517">
        <f t="shared" si="878"/>
        <v>19603.624512251808</v>
      </c>
      <c r="J1092" s="517">
        <f t="shared" si="878"/>
        <v>19603.624512251808</v>
      </c>
      <c r="K1092" s="517">
        <f t="shared" si="878"/>
        <v>19603.624512251808</v>
      </c>
      <c r="L1092" s="517">
        <f t="shared" si="878"/>
        <v>19603.624512251808</v>
      </c>
      <c r="M1092" s="517">
        <f t="shared" si="878"/>
        <v>19603.624512251808</v>
      </c>
      <c r="N1092" s="517">
        <f t="shared" si="878"/>
        <v>19603.624512251808</v>
      </c>
      <c r="O1092" s="517">
        <f t="shared" si="878"/>
        <v>19603.624512251808</v>
      </c>
      <c r="P1092" s="511">
        <f t="shared" si="852"/>
        <v>9.4086863100528717E-7</v>
      </c>
      <c r="Q1092" s="530">
        <v>17071</v>
      </c>
      <c r="R1092" s="480"/>
      <c r="U1092" s="513"/>
    </row>
    <row r="1093" spans="1:21" s="479" customFormat="1" ht="27" x14ac:dyDescent="0.15">
      <c r="A1093" s="579"/>
      <c r="B1093" s="528" t="s">
        <v>242</v>
      </c>
      <c r="C1093" s="517">
        <f>ISAN!I85</f>
        <v>1175068.841553116</v>
      </c>
      <c r="D1093" s="517">
        <f t="shared" ref="D1093:O1093" si="879">$C1093*D$25%</f>
        <v>113081.11371287897</v>
      </c>
      <c r="E1093" s="517">
        <f t="shared" si="879"/>
        <v>126299.79547855674</v>
      </c>
      <c r="F1093" s="517">
        <f t="shared" si="879"/>
        <v>98019.792592172176</v>
      </c>
      <c r="G1093" s="517">
        <f t="shared" si="879"/>
        <v>90972.478338046771</v>
      </c>
      <c r="H1093" s="517">
        <f t="shared" si="879"/>
        <v>97269.692210248701</v>
      </c>
      <c r="I1093" s="517">
        <f t="shared" si="879"/>
        <v>84481.687366306563</v>
      </c>
      <c r="J1093" s="517">
        <f t="shared" si="879"/>
        <v>91522.955210877306</v>
      </c>
      <c r="K1093" s="517">
        <f t="shared" si="879"/>
        <v>94384.224675927078</v>
      </c>
      <c r="L1093" s="517">
        <f t="shared" si="879"/>
        <v>92744.891848261017</v>
      </c>
      <c r="M1093" s="517">
        <f t="shared" si="879"/>
        <v>95019.391063303279</v>
      </c>
      <c r="N1093" s="517">
        <f t="shared" si="879"/>
        <v>92000.840362337898</v>
      </c>
      <c r="O1093" s="517">
        <f t="shared" si="879"/>
        <v>99271.978680098677</v>
      </c>
      <c r="P1093" s="511">
        <f t="shared" si="852"/>
        <v>1.410089316777885E-5</v>
      </c>
      <c r="Q1093" s="530">
        <v>73337</v>
      </c>
      <c r="R1093" s="480"/>
      <c r="U1093" s="513"/>
    </row>
    <row r="1094" spans="1:21" s="479" customFormat="1" ht="18" x14ac:dyDescent="0.15">
      <c r="A1094" s="579"/>
      <c r="B1094" s="528" t="s">
        <v>403</v>
      </c>
      <c r="C1094" s="517">
        <f>LOT!I85</f>
        <v>56881.551564713664</v>
      </c>
      <c r="D1094" s="517">
        <f t="shared" ref="D1094:O1094" si="880">$C1094*D$26%</f>
        <v>4300.8362374893104</v>
      </c>
      <c r="E1094" s="517">
        <f t="shared" si="880"/>
        <v>4239.8747464021708</v>
      </c>
      <c r="F1094" s="517">
        <f t="shared" si="880"/>
        <v>4167.2764425695332</v>
      </c>
      <c r="G1094" s="517">
        <f t="shared" si="880"/>
        <v>4584.9346263944271</v>
      </c>
      <c r="H1094" s="517">
        <f t="shared" si="880"/>
        <v>3751.3110703286184</v>
      </c>
      <c r="I1094" s="517">
        <f t="shared" si="880"/>
        <v>5090.7203797772299</v>
      </c>
      <c r="J1094" s="517">
        <f t="shared" si="880"/>
        <v>11683.197797939321</v>
      </c>
      <c r="K1094" s="517">
        <f t="shared" si="880"/>
        <v>4253.1030047920376</v>
      </c>
      <c r="L1094" s="517">
        <f t="shared" si="880"/>
        <v>5160.6122123453752</v>
      </c>
      <c r="M1094" s="517">
        <f t="shared" si="880"/>
        <v>3195.1261593485178</v>
      </c>
      <c r="N1094" s="517">
        <f t="shared" si="880"/>
        <v>3227.2794433222734</v>
      </c>
      <c r="O1094" s="517">
        <f t="shared" si="880"/>
        <v>3227.2794433222734</v>
      </c>
      <c r="P1094" s="511">
        <f t="shared" si="852"/>
        <v>6.82570316712372E-7</v>
      </c>
      <c r="Q1094" s="530">
        <v>3582</v>
      </c>
      <c r="R1094" s="480"/>
      <c r="U1094" s="513"/>
    </row>
    <row r="1095" spans="1:21" s="479" customFormat="1" ht="45" x14ac:dyDescent="0.15">
      <c r="A1095" s="579"/>
      <c r="B1095" s="518" t="s">
        <v>301</v>
      </c>
      <c r="C1095" s="517">
        <f>'ENAJENAC DE INMUE'!I85</f>
        <v>223665.01253315783</v>
      </c>
      <c r="D1095" s="517">
        <f t="shared" ref="D1095:O1095" si="881">$C1095*D$27%</f>
        <v>9659.1340787696681</v>
      </c>
      <c r="E1095" s="517">
        <f t="shared" si="881"/>
        <v>9801.4034462255368</v>
      </c>
      <c r="F1095" s="517">
        <f t="shared" si="881"/>
        <v>9669.2674194350275</v>
      </c>
      <c r="G1095" s="517">
        <f t="shared" si="881"/>
        <v>9612.6275442286787</v>
      </c>
      <c r="H1095" s="517">
        <f t="shared" si="881"/>
        <v>13334.550183206815</v>
      </c>
      <c r="I1095" s="517">
        <f t="shared" si="881"/>
        <v>9597.9103864039971</v>
      </c>
      <c r="J1095" s="517">
        <f t="shared" si="881"/>
        <v>11030.676880559597</v>
      </c>
      <c r="K1095" s="517">
        <f t="shared" si="881"/>
        <v>11019.322591955863</v>
      </c>
      <c r="L1095" s="517">
        <f t="shared" si="881"/>
        <v>11005.363263754924</v>
      </c>
      <c r="M1095" s="517">
        <f t="shared" si="881"/>
        <v>9611.0539951079936</v>
      </c>
      <c r="N1095" s="517">
        <f t="shared" si="881"/>
        <v>39959.228046712495</v>
      </c>
      <c r="O1095" s="517">
        <f t="shared" si="881"/>
        <v>79364.474696349906</v>
      </c>
      <c r="P1095" s="511">
        <f t="shared" si="852"/>
        <v>4.4732587411999702E-7</v>
      </c>
      <c r="Q1095" s="530">
        <v>52271</v>
      </c>
      <c r="R1095" s="480"/>
      <c r="U1095" s="513"/>
    </row>
    <row r="1096" spans="1:21" s="479" customFormat="1" ht="27" x14ac:dyDescent="0.15">
      <c r="A1096" s="579"/>
      <c r="B1096" s="518" t="s">
        <v>248</v>
      </c>
      <c r="C1096" s="517">
        <f>'IMP BEBIDAS AL'!I85</f>
        <v>87420.106351287046</v>
      </c>
      <c r="D1096" s="517">
        <f t="shared" ref="D1096:O1096" si="882">$C1096*D$28%</f>
        <v>19878.510034340776</v>
      </c>
      <c r="E1096" s="517">
        <f t="shared" si="882"/>
        <v>6837.4855614353555</v>
      </c>
      <c r="F1096" s="517">
        <f t="shared" si="882"/>
        <v>7347.9248416894961</v>
      </c>
      <c r="G1096" s="517">
        <f t="shared" si="882"/>
        <v>7295.1765356562191</v>
      </c>
      <c r="H1096" s="517">
        <f t="shared" si="882"/>
        <v>4645.6035723432733</v>
      </c>
      <c r="I1096" s="517">
        <f t="shared" si="882"/>
        <v>7602.5377194034718</v>
      </c>
      <c r="J1096" s="517">
        <f t="shared" si="882"/>
        <v>7559.7441592398973</v>
      </c>
      <c r="K1096" s="517">
        <f t="shared" si="882"/>
        <v>6913.9376254851632</v>
      </c>
      <c r="L1096" s="517">
        <f t="shared" si="882"/>
        <v>5014.1821206073519</v>
      </c>
      <c r="M1096" s="517">
        <f t="shared" si="882"/>
        <v>4661.126443998568</v>
      </c>
      <c r="N1096" s="517">
        <f t="shared" si="882"/>
        <v>4694.0741233164263</v>
      </c>
      <c r="O1096" s="517">
        <f t="shared" si="882"/>
        <v>4969.8036137710515</v>
      </c>
      <c r="P1096" s="511">
        <f t="shared" si="852"/>
        <v>-1.4551915228366852E-11</v>
      </c>
      <c r="Q1096" s="530">
        <v>2239</v>
      </c>
      <c r="R1096" s="480"/>
      <c r="U1096" s="513"/>
    </row>
    <row r="1097" spans="1:21" s="479" customFormat="1" ht="18" x14ac:dyDescent="0.15">
      <c r="A1097" s="579"/>
      <c r="B1097" s="518" t="s">
        <v>253</v>
      </c>
      <c r="C1097" s="517">
        <f>'FOND GASO Y D'!Q86</f>
        <v>0</v>
      </c>
      <c r="D1097" s="517">
        <f t="shared" ref="D1097:O1097" si="883">$C1097*D$29%</f>
        <v>0</v>
      </c>
      <c r="E1097" s="517">
        <f t="shared" si="883"/>
        <v>0</v>
      </c>
      <c r="F1097" s="517">
        <f t="shared" si="883"/>
        <v>0</v>
      </c>
      <c r="G1097" s="517">
        <f t="shared" si="883"/>
        <v>0</v>
      </c>
      <c r="H1097" s="517">
        <f t="shared" si="883"/>
        <v>0</v>
      </c>
      <c r="I1097" s="517">
        <f t="shared" si="883"/>
        <v>0</v>
      </c>
      <c r="J1097" s="517">
        <f t="shared" si="883"/>
        <v>0</v>
      </c>
      <c r="K1097" s="517">
        <f t="shared" si="883"/>
        <v>0</v>
      </c>
      <c r="L1097" s="517">
        <f t="shared" si="883"/>
        <v>0</v>
      </c>
      <c r="M1097" s="517">
        <f t="shared" si="883"/>
        <v>0</v>
      </c>
      <c r="N1097" s="517">
        <f t="shared" si="883"/>
        <v>0</v>
      </c>
      <c r="O1097" s="517">
        <f t="shared" si="883"/>
        <v>0</v>
      </c>
      <c r="P1097" s="511">
        <f t="shared" si="852"/>
        <v>0</v>
      </c>
      <c r="Q1097" s="530">
        <v>88789</v>
      </c>
      <c r="R1097" s="480"/>
      <c r="U1097" s="513"/>
    </row>
    <row r="1098" spans="1:21" s="479" customFormat="1" ht="18" x14ac:dyDescent="0.15">
      <c r="A1098" s="579"/>
      <c r="B1098" s="528" t="s">
        <v>408</v>
      </c>
      <c r="C1098" s="519">
        <f>'FOND GASO Y D'!H86</f>
        <v>2875782.4515819815</v>
      </c>
      <c r="D1098" s="517">
        <f t="shared" ref="D1098:O1098" si="884">$C1098*D$30%</f>
        <v>223709.42506907362</v>
      </c>
      <c r="E1098" s="517">
        <f t="shared" si="884"/>
        <v>245963.42146980594</v>
      </c>
      <c r="F1098" s="517">
        <f t="shared" si="884"/>
        <v>239470.76884950584</v>
      </c>
      <c r="G1098" s="517">
        <f t="shared" si="884"/>
        <v>223136.86525501875</v>
      </c>
      <c r="H1098" s="517">
        <f t="shared" si="884"/>
        <v>245864.93146822357</v>
      </c>
      <c r="I1098" s="517">
        <f t="shared" si="884"/>
        <v>237288.87348356948</v>
      </c>
      <c r="J1098" s="517">
        <f t="shared" si="884"/>
        <v>242236.01699633006</v>
      </c>
      <c r="K1098" s="517">
        <f t="shared" si="884"/>
        <v>242092.07303587219</v>
      </c>
      <c r="L1098" s="517">
        <f t="shared" si="884"/>
        <v>251925.74963907638</v>
      </c>
      <c r="M1098" s="517">
        <f t="shared" si="884"/>
        <v>249713.55163580694</v>
      </c>
      <c r="N1098" s="517">
        <f t="shared" si="884"/>
        <v>233379.64804131989</v>
      </c>
      <c r="O1098" s="517">
        <f t="shared" si="884"/>
        <v>241001.12664125458</v>
      </c>
      <c r="P1098" s="511">
        <f t="shared" si="852"/>
        <v>-2.8758367989212275E-6</v>
      </c>
      <c r="Q1098" s="530">
        <v>175752</v>
      </c>
      <c r="R1098" s="480"/>
      <c r="U1098" s="513"/>
    </row>
    <row r="1099" spans="1:21" s="479" customFormat="1" x14ac:dyDescent="0.15">
      <c r="A1099" s="579"/>
      <c r="B1099" s="534"/>
      <c r="C1099" s="521"/>
      <c r="D1099" s="522"/>
      <c r="E1099" s="522"/>
      <c r="F1099" s="522"/>
      <c r="G1099" s="522"/>
      <c r="H1099" s="522"/>
      <c r="I1099" s="522"/>
      <c r="J1099" s="522"/>
      <c r="K1099" s="522"/>
      <c r="L1099" s="522"/>
      <c r="M1099" s="522"/>
      <c r="N1099" s="522"/>
      <c r="O1099" s="522"/>
      <c r="P1099" s="511">
        <f t="shared" si="852"/>
        <v>0</v>
      </c>
      <c r="Q1099" s="530">
        <v>0</v>
      </c>
      <c r="R1099" s="480"/>
      <c r="U1099" s="513"/>
    </row>
    <row r="1100" spans="1:21" s="479" customFormat="1" x14ac:dyDescent="0.15">
      <c r="A1100" s="591"/>
      <c r="B1100" s="532"/>
      <c r="C1100" s="521"/>
      <c r="D1100" s="521"/>
      <c r="E1100" s="521"/>
      <c r="F1100" s="521"/>
      <c r="G1100" s="521"/>
      <c r="H1100" s="521"/>
      <c r="I1100" s="521"/>
      <c r="J1100" s="521"/>
      <c r="K1100" s="521"/>
      <c r="L1100" s="521"/>
      <c r="M1100" s="521"/>
      <c r="N1100" s="521"/>
      <c r="O1100" s="521"/>
      <c r="P1100" s="511">
        <f t="shared" si="852"/>
        <v>0</v>
      </c>
      <c r="Q1100" s="530">
        <v>0</v>
      </c>
      <c r="R1100" s="480"/>
      <c r="U1100" s="513"/>
    </row>
    <row r="1101" spans="1:21" s="479" customFormat="1" x14ac:dyDescent="0.15">
      <c r="A1101" s="576">
        <v>72</v>
      </c>
      <c r="B1101" s="533" t="s">
        <v>132</v>
      </c>
      <c r="C1101" s="524">
        <f t="shared" ref="C1101:O1101" si="885">SUM(C1102:C1113)</f>
        <v>37097925.946326591</v>
      </c>
      <c r="D1101" s="524">
        <f t="shared" si="885"/>
        <v>2887678.7802357371</v>
      </c>
      <c r="E1101" s="524">
        <f t="shared" si="885"/>
        <v>3865597.2032316537</v>
      </c>
      <c r="F1101" s="524">
        <f t="shared" si="885"/>
        <v>2586268.2207602379</v>
      </c>
      <c r="G1101" s="524">
        <f t="shared" si="885"/>
        <v>3297858.8214709321</v>
      </c>
      <c r="H1101" s="524">
        <f t="shared" si="885"/>
        <v>3720375.6621589791</v>
      </c>
      <c r="I1101" s="524">
        <f t="shared" si="885"/>
        <v>3672092.0104521625</v>
      </c>
      <c r="J1101" s="524">
        <f t="shared" si="885"/>
        <v>3152485.3369012796</v>
      </c>
      <c r="K1101" s="524">
        <f t="shared" si="885"/>
        <v>3081489.1424241532</v>
      </c>
      <c r="L1101" s="524">
        <f t="shared" si="885"/>
        <v>2900076.5598869631</v>
      </c>
      <c r="M1101" s="524">
        <f t="shared" si="885"/>
        <v>2225257.8681153604</v>
      </c>
      <c r="N1101" s="524">
        <f t="shared" si="885"/>
        <v>2837907.3889306793</v>
      </c>
      <c r="O1101" s="524">
        <f t="shared" si="885"/>
        <v>2870838.9516522321</v>
      </c>
      <c r="P1101" s="511">
        <f t="shared" si="852"/>
        <v>1.0622246190905571E-4</v>
      </c>
      <c r="Q1101" s="530">
        <v>2201036</v>
      </c>
      <c r="R1101" s="480"/>
      <c r="T1101" s="512"/>
      <c r="U1101" s="513"/>
    </row>
    <row r="1102" spans="1:21" s="479" customFormat="1" x14ac:dyDescent="0.15">
      <c r="A1102" s="579"/>
      <c r="B1102" s="528" t="s">
        <v>294</v>
      </c>
      <c r="C1102" s="517">
        <f>'FG1'!I87</f>
        <v>25143326.760582831</v>
      </c>
      <c r="D1102" s="517">
        <f t="shared" ref="D1102:O1102" si="886">$C1102*D$19%</f>
        <v>1901707.9410111336</v>
      </c>
      <c r="E1102" s="517">
        <f t="shared" si="886"/>
        <v>2724671.4972052923</v>
      </c>
      <c r="F1102" s="517">
        <f t="shared" si="886"/>
        <v>1761216.0961223103</v>
      </c>
      <c r="G1102" s="517">
        <f t="shared" si="886"/>
        <v>2163475.5277883974</v>
      </c>
      <c r="H1102" s="517">
        <f t="shared" si="886"/>
        <v>2642076.3449259773</v>
      </c>
      <c r="I1102" s="517">
        <f t="shared" si="886"/>
        <v>2590167.3008715459</v>
      </c>
      <c r="J1102" s="517">
        <f t="shared" si="886"/>
        <v>2007907.0013646258</v>
      </c>
      <c r="K1102" s="517">
        <f t="shared" si="886"/>
        <v>2131864.5962351495</v>
      </c>
      <c r="L1102" s="517">
        <f t="shared" si="886"/>
        <v>2003423.948264967</v>
      </c>
      <c r="M1102" s="517">
        <f t="shared" si="886"/>
        <v>1328116.1114609635</v>
      </c>
      <c r="N1102" s="517">
        <f t="shared" si="886"/>
        <v>1938317.7698016427</v>
      </c>
      <c r="O1102" s="517">
        <f t="shared" si="886"/>
        <v>1950382.6255056828</v>
      </c>
      <c r="P1102" s="511">
        <f t="shared" si="852"/>
        <v>2.5145011022686958E-5</v>
      </c>
      <c r="Q1102" s="530">
        <v>1509529</v>
      </c>
      <c r="R1102" s="480"/>
      <c r="U1102" s="513"/>
    </row>
    <row r="1103" spans="1:21" s="479" customFormat="1" x14ac:dyDescent="0.15">
      <c r="A1103" s="579"/>
      <c r="B1103" s="528" t="s">
        <v>296</v>
      </c>
      <c r="C1103" s="517">
        <f>FFM!J87</f>
        <v>6758423.0350476131</v>
      </c>
      <c r="D1103" s="517">
        <f t="shared" ref="D1103:O1103" si="887">$C1103*D$20%</f>
        <v>511093.17095312517</v>
      </c>
      <c r="E1103" s="517">
        <f t="shared" si="887"/>
        <v>732735.10329218046</v>
      </c>
      <c r="F1103" s="517">
        <f t="shared" si="887"/>
        <v>473255.67273306462</v>
      </c>
      <c r="G1103" s="517">
        <f t="shared" si="887"/>
        <v>581592.86050401011</v>
      </c>
      <c r="H1103" s="517">
        <f t="shared" si="887"/>
        <v>710490.43950757978</v>
      </c>
      <c r="I1103" s="517">
        <f t="shared" si="887"/>
        <v>696510.20619686507</v>
      </c>
      <c r="J1103" s="517">
        <f t="shared" si="887"/>
        <v>539647.5639656072</v>
      </c>
      <c r="K1103" s="517">
        <f t="shared" si="887"/>
        <v>573032.03257543163</v>
      </c>
      <c r="L1103" s="517">
        <f t="shared" si="887"/>
        <v>538440.17766484187</v>
      </c>
      <c r="M1103" s="517">
        <f t="shared" si="887"/>
        <v>356565.13211186219</v>
      </c>
      <c r="N1103" s="517">
        <f t="shared" si="887"/>
        <v>520905.67351384775</v>
      </c>
      <c r="O1103" s="517">
        <f t="shared" si="887"/>
        <v>524155.00194809621</v>
      </c>
      <c r="P1103" s="511">
        <f t="shared" si="852"/>
        <v>8.1101781688630581E-5</v>
      </c>
      <c r="Q1103" s="530">
        <v>462168</v>
      </c>
      <c r="R1103" s="480"/>
      <c r="U1103" s="513"/>
    </row>
    <row r="1104" spans="1:21" s="479" customFormat="1" ht="18" x14ac:dyDescent="0.15">
      <c r="A1104" s="579"/>
      <c r="B1104" s="528" t="s">
        <v>297</v>
      </c>
      <c r="C1104" s="517">
        <f>IEPS!I86</f>
        <v>608066.22978069843</v>
      </c>
      <c r="D1104" s="517">
        <f t="shared" ref="D1104:O1104" si="888">$C1104*D$21%</f>
        <v>42710.46309094422</v>
      </c>
      <c r="E1104" s="517">
        <f t="shared" si="888"/>
        <v>97623.590708001735</v>
      </c>
      <c r="F1104" s="517">
        <f t="shared" si="888"/>
        <v>40548.91649330793</v>
      </c>
      <c r="G1104" s="517">
        <f t="shared" si="888"/>
        <v>39407.868696958125</v>
      </c>
      <c r="H1104" s="517">
        <f t="shared" si="888"/>
        <v>43508.454971915147</v>
      </c>
      <c r="I1104" s="517">
        <f t="shared" si="888"/>
        <v>45119.134618353564</v>
      </c>
      <c r="J1104" s="517">
        <f t="shared" si="888"/>
        <v>46464.367981497002</v>
      </c>
      <c r="K1104" s="517">
        <f t="shared" si="888"/>
        <v>51468.916761047061</v>
      </c>
      <c r="L1104" s="517">
        <f t="shared" si="888"/>
        <v>51576.767547950112</v>
      </c>
      <c r="M1104" s="517">
        <f t="shared" si="888"/>
        <v>51003.530266413036</v>
      </c>
      <c r="N1104" s="517">
        <f t="shared" si="888"/>
        <v>49354.541475808597</v>
      </c>
      <c r="O1104" s="517">
        <f t="shared" si="888"/>
        <v>49279.677167893809</v>
      </c>
      <c r="P1104" s="511">
        <f t="shared" si="852"/>
        <v>6.0808088164776564E-7</v>
      </c>
      <c r="Q1104" s="530">
        <v>38984</v>
      </c>
      <c r="R1104" s="480"/>
      <c r="U1104" s="513"/>
    </row>
    <row r="1105" spans="1:21" s="479" customFormat="1" x14ac:dyDescent="0.15">
      <c r="A1105" s="579"/>
      <c r="B1105" s="528" t="s">
        <v>236</v>
      </c>
      <c r="C1105" s="517">
        <f>ISR!C77</f>
        <v>1794234.25</v>
      </c>
      <c r="D1105" s="517">
        <f>ISR!D77</f>
        <v>136588.26995479627</v>
      </c>
      <c r="E1105" s="517">
        <f>ISR!E77</f>
        <v>126625.11229510843</v>
      </c>
      <c r="F1105" s="517">
        <f>ISR!F77</f>
        <v>138561.78251146324</v>
      </c>
      <c r="G1105" s="517">
        <f>ISR!G77</f>
        <v>158883.68287980219</v>
      </c>
      <c r="H1105" s="517">
        <f>ISR!H77</f>
        <v>149336.61270675942</v>
      </c>
      <c r="I1105" s="517">
        <f>ISR!I77</f>
        <v>172354.02312395524</v>
      </c>
      <c r="J1105" s="517">
        <f>ISR!J77</f>
        <v>137721.30249622936</v>
      </c>
      <c r="K1105" s="517">
        <f>ISR!K77</f>
        <v>152313.3127607129</v>
      </c>
      <c r="L1105" s="517">
        <f>ISR!L77</f>
        <v>131062.35237553435</v>
      </c>
      <c r="M1105" s="517">
        <f>ISR!M77</f>
        <v>186161.17337421339</v>
      </c>
      <c r="N1105" s="517">
        <f>ISR!N77</f>
        <v>152313.3127607129</v>
      </c>
      <c r="O1105" s="517">
        <f>ISR!O77</f>
        <v>152313.3127607129</v>
      </c>
      <c r="P1105" s="511">
        <f t="shared" si="852"/>
        <v>-6.4028427004814148E-10</v>
      </c>
      <c r="Q1105" s="530">
        <v>0</v>
      </c>
      <c r="R1105" s="480"/>
      <c r="U1105" s="513"/>
    </row>
    <row r="1106" spans="1:21" s="479" customFormat="1" ht="18" x14ac:dyDescent="0.15">
      <c r="A1106" s="579"/>
      <c r="B1106" s="528" t="s">
        <v>298</v>
      </c>
      <c r="C1106" s="517">
        <f>FOFIR!I86</f>
        <v>1175997.0956942532</v>
      </c>
      <c r="D1106" s="517">
        <f t="shared" ref="D1106:O1106" si="889">$C1106*D$23%</f>
        <v>160777.02574671249</v>
      </c>
      <c r="E1106" s="517">
        <f t="shared" si="889"/>
        <v>40905.021572868267</v>
      </c>
      <c r="F1106" s="517">
        <f t="shared" si="889"/>
        <v>40905.021572868267</v>
      </c>
      <c r="G1106" s="517">
        <f t="shared" si="889"/>
        <v>230840.7157525552</v>
      </c>
      <c r="H1106" s="517">
        <f t="shared" si="889"/>
        <v>40905.021572868267</v>
      </c>
      <c r="I1106" s="517">
        <f t="shared" si="889"/>
        <v>40905.021572868267</v>
      </c>
      <c r="J1106" s="517">
        <f t="shared" si="889"/>
        <v>287128.65462468669</v>
      </c>
      <c r="K1106" s="517">
        <f t="shared" si="889"/>
        <v>40905.021572868267</v>
      </c>
      <c r="L1106" s="517">
        <f t="shared" si="889"/>
        <v>40905.021572868267</v>
      </c>
      <c r="M1106" s="517">
        <f t="shared" si="889"/>
        <v>170010.52699205666</v>
      </c>
      <c r="N1106" s="517">
        <f t="shared" si="889"/>
        <v>40905.021572868267</v>
      </c>
      <c r="O1106" s="517">
        <f t="shared" si="889"/>
        <v>40905.021572868267</v>
      </c>
      <c r="P1106" s="511">
        <f t="shared" si="852"/>
        <v>-4.7037610784173012E-6</v>
      </c>
      <c r="Q1106" s="530">
        <v>45922</v>
      </c>
      <c r="R1106" s="480"/>
      <c r="U1106" s="513"/>
    </row>
    <row r="1107" spans="1:21" s="479" customFormat="1" ht="27" x14ac:dyDescent="0.15">
      <c r="A1107" s="579"/>
      <c r="B1107" s="528" t="s">
        <v>407</v>
      </c>
      <c r="C1107" s="517">
        <f>FCISAN!I86</f>
        <v>74653.764215258678</v>
      </c>
      <c r="D1107" s="517">
        <f t="shared" ref="D1107:O1107" si="890">$C1107*D$24%</f>
        <v>6221.1470179133394</v>
      </c>
      <c r="E1107" s="517">
        <f t="shared" si="890"/>
        <v>6221.1470179133394</v>
      </c>
      <c r="F1107" s="517">
        <f t="shared" si="890"/>
        <v>6221.1470179133394</v>
      </c>
      <c r="G1107" s="517">
        <f t="shared" si="890"/>
        <v>6221.1470179133394</v>
      </c>
      <c r="H1107" s="517">
        <f t="shared" si="890"/>
        <v>6221.1470179133394</v>
      </c>
      <c r="I1107" s="517">
        <f t="shared" si="890"/>
        <v>6221.1470179133394</v>
      </c>
      <c r="J1107" s="517">
        <f t="shared" si="890"/>
        <v>6221.1470179133394</v>
      </c>
      <c r="K1107" s="517">
        <f t="shared" si="890"/>
        <v>6221.1470179133394</v>
      </c>
      <c r="L1107" s="517">
        <f t="shared" si="890"/>
        <v>6221.1470179133394</v>
      </c>
      <c r="M1107" s="517">
        <f t="shared" si="890"/>
        <v>6221.1470179133394</v>
      </c>
      <c r="N1107" s="517">
        <f t="shared" si="890"/>
        <v>6221.1470179133394</v>
      </c>
      <c r="O1107" s="517">
        <f t="shared" si="890"/>
        <v>6221.1470179133394</v>
      </c>
      <c r="P1107" s="511">
        <f t="shared" si="852"/>
        <v>2.9859802452847362E-7</v>
      </c>
      <c r="Q1107" s="530">
        <v>5461</v>
      </c>
      <c r="R1107" s="480"/>
      <c r="U1107" s="513"/>
    </row>
    <row r="1108" spans="1:21" s="479" customFormat="1" ht="27" x14ac:dyDescent="0.15">
      <c r="A1108" s="579"/>
      <c r="B1108" s="528" t="s">
        <v>242</v>
      </c>
      <c r="C1108" s="517">
        <f>ISAN!I86</f>
        <v>372904.30730818678</v>
      </c>
      <c r="D1108" s="517">
        <f t="shared" ref="D1108:O1108" si="891">$C1108*D$25%</f>
        <v>35885.926753878033</v>
      </c>
      <c r="E1108" s="517">
        <f t="shared" si="891"/>
        <v>40080.832782398247</v>
      </c>
      <c r="F1108" s="517">
        <f t="shared" si="891"/>
        <v>31106.26506849119</v>
      </c>
      <c r="G1108" s="517">
        <f t="shared" si="891"/>
        <v>28869.822617303147</v>
      </c>
      <c r="H1108" s="517">
        <f t="shared" si="891"/>
        <v>30868.223131337047</v>
      </c>
      <c r="I1108" s="517">
        <f t="shared" si="891"/>
        <v>26809.991035010611</v>
      </c>
      <c r="J1108" s="517">
        <f t="shared" si="891"/>
        <v>29044.514677625953</v>
      </c>
      <c r="K1108" s="517">
        <f t="shared" si="891"/>
        <v>29952.529314858784</v>
      </c>
      <c r="L1108" s="517">
        <f t="shared" si="891"/>
        <v>29432.292328793868</v>
      </c>
      <c r="M1108" s="517">
        <f t="shared" si="891"/>
        <v>30154.097319501732</v>
      </c>
      <c r="N1108" s="517">
        <f t="shared" si="891"/>
        <v>29196.169989277943</v>
      </c>
      <c r="O1108" s="517">
        <f t="shared" si="891"/>
        <v>31503.642285235368</v>
      </c>
      <c r="P1108" s="511">
        <f t="shared" si="852"/>
        <v>4.4748630898538977E-6</v>
      </c>
      <c r="Q1108" s="530">
        <v>23466</v>
      </c>
      <c r="R1108" s="480"/>
      <c r="U1108" s="513"/>
    </row>
    <row r="1109" spans="1:21" s="479" customFormat="1" ht="18" x14ac:dyDescent="0.15">
      <c r="A1109" s="579"/>
      <c r="B1109" s="528" t="s">
        <v>403</v>
      </c>
      <c r="C1109" s="517">
        <f>LOT!I86</f>
        <v>18051.176947913013</v>
      </c>
      <c r="D1109" s="517">
        <f t="shared" ref="D1109:O1109" si="892">$C1109*D$26%</f>
        <v>1364.8565099106186</v>
      </c>
      <c r="E1109" s="517">
        <f t="shared" si="892"/>
        <v>1345.5105773129355</v>
      </c>
      <c r="F1109" s="517">
        <f t="shared" si="892"/>
        <v>1322.4717397188103</v>
      </c>
      <c r="G1109" s="517">
        <f t="shared" si="892"/>
        <v>1455.0142174216178</v>
      </c>
      <c r="H1109" s="517">
        <f t="shared" si="892"/>
        <v>1190.4664703129167</v>
      </c>
      <c r="I1109" s="517">
        <f t="shared" si="892"/>
        <v>1615.5236951150894</v>
      </c>
      <c r="J1109" s="517">
        <f t="shared" si="892"/>
        <v>3707.6251432441381</v>
      </c>
      <c r="K1109" s="517">
        <f t="shared" si="892"/>
        <v>1349.7085224522577</v>
      </c>
      <c r="L1109" s="517">
        <f t="shared" si="892"/>
        <v>1637.7036427817093</v>
      </c>
      <c r="M1109" s="517">
        <f t="shared" si="892"/>
        <v>1013.9629824915825</v>
      </c>
      <c r="N1109" s="517">
        <f t="shared" si="892"/>
        <v>1024.1667234673614</v>
      </c>
      <c r="O1109" s="517">
        <f t="shared" si="892"/>
        <v>1024.1667234673614</v>
      </c>
      <c r="P1109" s="511">
        <f t="shared" si="852"/>
        <v>2.1661116988980211E-7</v>
      </c>
      <c r="Q1109" s="530">
        <v>1147</v>
      </c>
      <c r="R1109" s="480"/>
      <c r="U1109" s="513"/>
    </row>
    <row r="1110" spans="1:21" s="479" customFormat="1" ht="45" x14ac:dyDescent="0.15">
      <c r="A1110" s="579"/>
      <c r="B1110" s="518" t="s">
        <v>301</v>
      </c>
      <c r="C1110" s="517">
        <f>'ENAJENAC DE INMUE'!I86</f>
        <v>70979.370415026002</v>
      </c>
      <c r="D1110" s="517">
        <f t="shared" ref="D1110:O1110" si="893">$C1110*D$27%</f>
        <v>3065.2950495051377</v>
      </c>
      <c r="E1110" s="517">
        <f t="shared" si="893"/>
        <v>3110.4437744531865</v>
      </c>
      <c r="F1110" s="517">
        <f t="shared" si="893"/>
        <v>3068.510832485596</v>
      </c>
      <c r="G1110" s="517">
        <f t="shared" si="893"/>
        <v>3050.5363507506117</v>
      </c>
      <c r="H1110" s="517">
        <f t="shared" si="893"/>
        <v>4231.6764971511857</v>
      </c>
      <c r="I1110" s="517">
        <f t="shared" si="893"/>
        <v>3045.865908177303</v>
      </c>
      <c r="J1110" s="517">
        <f t="shared" si="893"/>
        <v>3500.5497344723622</v>
      </c>
      <c r="K1110" s="517">
        <f t="shared" si="893"/>
        <v>3496.9464876011775</v>
      </c>
      <c r="L1110" s="517">
        <f t="shared" si="893"/>
        <v>3492.5165398149875</v>
      </c>
      <c r="M1110" s="517">
        <f t="shared" si="893"/>
        <v>3050.0369900118071</v>
      </c>
      <c r="N1110" s="517">
        <f t="shared" si="893"/>
        <v>12680.932153416841</v>
      </c>
      <c r="O1110" s="517">
        <f t="shared" si="893"/>
        <v>25186.060097043846</v>
      </c>
      <c r="P1110" s="511">
        <f t="shared" si="852"/>
        <v>1.4196120901033282E-7</v>
      </c>
      <c r="Q1110" s="530">
        <v>16724</v>
      </c>
      <c r="R1110" s="480"/>
      <c r="U1110" s="513"/>
    </row>
    <row r="1111" spans="1:21" s="479" customFormat="1" ht="27" x14ac:dyDescent="0.15">
      <c r="A1111" s="579"/>
      <c r="B1111" s="518" t="s">
        <v>248</v>
      </c>
      <c r="C1111" s="517">
        <f>'IMP BEBIDAS AL'!I86</f>
        <v>27742.488823588763</v>
      </c>
      <c r="D1111" s="517">
        <f t="shared" ref="D1111:O1111" si="894">$C1111*D$28%</f>
        <v>6308.3810518514301</v>
      </c>
      <c r="E1111" s="517">
        <f t="shared" si="894"/>
        <v>2169.8539922535474</v>
      </c>
      <c r="F1111" s="517">
        <f t="shared" si="894"/>
        <v>2331.8402516921656</v>
      </c>
      <c r="G1111" s="517">
        <f t="shared" si="894"/>
        <v>2315.1007468840721</v>
      </c>
      <c r="H1111" s="517">
        <f t="shared" si="894"/>
        <v>1474.2673117631118</v>
      </c>
      <c r="I1111" s="517">
        <f t="shared" si="894"/>
        <v>2412.6408273164684</v>
      </c>
      <c r="J1111" s="517">
        <f t="shared" si="894"/>
        <v>2399.0604290063939</v>
      </c>
      <c r="K1111" s="517">
        <f t="shared" si="894"/>
        <v>2194.1158082243405</v>
      </c>
      <c r="L1111" s="517">
        <f t="shared" si="894"/>
        <v>1591.2345254009183</v>
      </c>
      <c r="M1111" s="517">
        <f t="shared" si="894"/>
        <v>1479.1934450221645</v>
      </c>
      <c r="N1111" s="517">
        <f t="shared" si="894"/>
        <v>1489.6492847984957</v>
      </c>
      <c r="O1111" s="517">
        <f t="shared" si="894"/>
        <v>1577.1511493756559</v>
      </c>
      <c r="P1111" s="511">
        <f t="shared" si="852"/>
        <v>-1.8189894035458565E-12</v>
      </c>
      <c r="Q1111" s="530">
        <v>717</v>
      </c>
      <c r="R1111" s="480"/>
      <c r="U1111" s="513"/>
    </row>
    <row r="1112" spans="1:21" s="479" customFormat="1" ht="18" x14ac:dyDescent="0.15">
      <c r="A1112" s="579"/>
      <c r="B1112" s="518" t="s">
        <v>253</v>
      </c>
      <c r="C1112" s="517">
        <f>'FOND GASO Y D'!Q87</f>
        <v>0</v>
      </c>
      <c r="D1112" s="517">
        <f t="shared" ref="D1112:O1112" si="895">$C1112*D$29%</f>
        <v>0</v>
      </c>
      <c r="E1112" s="517">
        <f t="shared" si="895"/>
        <v>0</v>
      </c>
      <c r="F1112" s="517">
        <f t="shared" si="895"/>
        <v>0</v>
      </c>
      <c r="G1112" s="517">
        <f t="shared" si="895"/>
        <v>0</v>
      </c>
      <c r="H1112" s="517">
        <f t="shared" si="895"/>
        <v>0</v>
      </c>
      <c r="I1112" s="517">
        <f t="shared" si="895"/>
        <v>0</v>
      </c>
      <c r="J1112" s="517">
        <f t="shared" si="895"/>
        <v>0</v>
      </c>
      <c r="K1112" s="517">
        <f t="shared" si="895"/>
        <v>0</v>
      </c>
      <c r="L1112" s="517">
        <f t="shared" si="895"/>
        <v>0</v>
      </c>
      <c r="M1112" s="517">
        <f t="shared" si="895"/>
        <v>0</v>
      </c>
      <c r="N1112" s="517">
        <f t="shared" si="895"/>
        <v>0</v>
      </c>
      <c r="O1112" s="517">
        <f t="shared" si="895"/>
        <v>0</v>
      </c>
      <c r="P1112" s="511">
        <f t="shared" si="852"/>
        <v>0</v>
      </c>
      <c r="Q1112" s="530">
        <v>32531</v>
      </c>
      <c r="R1112" s="480"/>
      <c r="U1112" s="513"/>
    </row>
    <row r="1113" spans="1:21" s="479" customFormat="1" ht="18" x14ac:dyDescent="0.15">
      <c r="A1113" s="579"/>
      <c r="B1113" s="528" t="s">
        <v>408</v>
      </c>
      <c r="C1113" s="519">
        <f>'FOND GASO Y D'!H87</f>
        <v>1053547.4675112241</v>
      </c>
      <c r="D1113" s="517">
        <f t="shared" ref="D1113:O1113" si="896">$C1113*D$30%</f>
        <v>81956.303095966505</v>
      </c>
      <c r="E1113" s="517">
        <f t="shared" si="896"/>
        <v>90109.090013870475</v>
      </c>
      <c r="F1113" s="517">
        <f t="shared" si="896"/>
        <v>87730.496416922833</v>
      </c>
      <c r="G1113" s="517">
        <f t="shared" si="896"/>
        <v>81746.544898935841</v>
      </c>
      <c r="H1113" s="517">
        <f t="shared" si="896"/>
        <v>90073.008045401264</v>
      </c>
      <c r="I1113" s="517">
        <f t="shared" si="896"/>
        <v>86931.155585041706</v>
      </c>
      <c r="J1113" s="517">
        <f t="shared" si="896"/>
        <v>88743.54946637174</v>
      </c>
      <c r="K1113" s="517">
        <f t="shared" si="896"/>
        <v>88690.815367893432</v>
      </c>
      <c r="L1113" s="517">
        <f t="shared" si="896"/>
        <v>92293.398406096108</v>
      </c>
      <c r="M1113" s="517">
        <f t="shared" si="896"/>
        <v>91482.956154911284</v>
      </c>
      <c r="N1113" s="517">
        <f t="shared" si="896"/>
        <v>85499.004636924306</v>
      </c>
      <c r="O1113" s="517">
        <f t="shared" si="896"/>
        <v>88291.145423942144</v>
      </c>
      <c r="P1113" s="511">
        <f t="shared" si="852"/>
        <v>-1.0535441106185317E-6</v>
      </c>
      <c r="Q1113" s="530">
        <v>64387</v>
      </c>
      <c r="R1113" s="480"/>
      <c r="U1113" s="513"/>
    </row>
    <row r="1114" spans="1:21" s="479" customFormat="1" x14ac:dyDescent="0.15">
      <c r="A1114" s="579"/>
      <c r="B1114" s="534"/>
      <c r="C1114" s="521"/>
      <c r="D1114" s="522"/>
      <c r="E1114" s="522"/>
      <c r="F1114" s="522"/>
      <c r="G1114" s="522"/>
      <c r="H1114" s="522"/>
      <c r="I1114" s="522"/>
      <c r="J1114" s="522"/>
      <c r="K1114" s="522"/>
      <c r="L1114" s="522"/>
      <c r="M1114" s="522"/>
      <c r="N1114" s="522"/>
      <c r="O1114" s="522"/>
      <c r="P1114" s="511">
        <f t="shared" si="852"/>
        <v>0</v>
      </c>
      <c r="Q1114" s="530">
        <v>0</v>
      </c>
      <c r="R1114" s="480"/>
      <c r="U1114" s="513"/>
    </row>
    <row r="1115" spans="1:21" s="479" customFormat="1" x14ac:dyDescent="0.15">
      <c r="A1115" s="591"/>
      <c r="B1115" s="532"/>
      <c r="C1115" s="521"/>
      <c r="D1115" s="522"/>
      <c r="E1115" s="522"/>
      <c r="F1115" s="522"/>
      <c r="G1115" s="522"/>
      <c r="H1115" s="522"/>
      <c r="I1115" s="522"/>
      <c r="J1115" s="522"/>
      <c r="K1115" s="522"/>
      <c r="L1115" s="522"/>
      <c r="M1115" s="522"/>
      <c r="N1115" s="522"/>
      <c r="O1115" s="522"/>
      <c r="P1115" s="511">
        <f t="shared" si="852"/>
        <v>0</v>
      </c>
      <c r="Q1115" s="530">
        <v>0</v>
      </c>
      <c r="R1115" s="480"/>
      <c r="U1115" s="513"/>
    </row>
    <row r="1116" spans="1:21" s="479" customFormat="1" x14ac:dyDescent="0.15">
      <c r="A1116" s="584">
        <v>73</v>
      </c>
      <c r="B1116" s="533" t="s">
        <v>85</v>
      </c>
      <c r="C1116" s="524">
        <f t="shared" ref="C1116:O1116" si="897">SUM(C1117:C1128)</f>
        <v>57010413.027573675</v>
      </c>
      <c r="D1116" s="524">
        <f t="shared" si="897"/>
        <v>4493955.1096612886</v>
      </c>
      <c r="E1116" s="524">
        <f t="shared" si="897"/>
        <v>5972293.7302371534</v>
      </c>
      <c r="F1116" s="524">
        <f t="shared" si="897"/>
        <v>3980364.3248055871</v>
      </c>
      <c r="G1116" s="524">
        <f t="shared" si="897"/>
        <v>4995179.2055977089</v>
      </c>
      <c r="H1116" s="524">
        <f t="shared" si="897"/>
        <v>5714354.8555826852</v>
      </c>
      <c r="I1116" s="524">
        <f t="shared" si="897"/>
        <v>5685152.361545899</v>
      </c>
      <c r="J1116" s="524">
        <f t="shared" si="897"/>
        <v>4857401.9303424442</v>
      </c>
      <c r="K1116" s="524">
        <f t="shared" si="897"/>
        <v>4729060.937205391</v>
      </c>
      <c r="L1116" s="524">
        <f t="shared" si="897"/>
        <v>4481865.5782624967</v>
      </c>
      <c r="M1116" s="524">
        <f t="shared" si="897"/>
        <v>3349850.9282887625</v>
      </c>
      <c r="N1116" s="524">
        <f t="shared" si="897"/>
        <v>4351781.6610445334</v>
      </c>
      <c r="O1116" s="524">
        <f t="shared" si="897"/>
        <v>4399152.4048353387</v>
      </c>
      <c r="P1116" s="511">
        <f t="shared" si="852"/>
        <v>1.6438774764537811E-4</v>
      </c>
      <c r="Q1116" s="530">
        <v>3380391</v>
      </c>
      <c r="R1116" s="480"/>
      <c r="T1116" s="512"/>
      <c r="U1116" s="513"/>
    </row>
    <row r="1117" spans="1:21" s="479" customFormat="1" x14ac:dyDescent="0.15">
      <c r="A1117" s="579"/>
      <c r="B1117" s="527" t="s">
        <v>294</v>
      </c>
      <c r="C1117" s="515">
        <f>'FG1'!I88</f>
        <v>38875305.979613848</v>
      </c>
      <c r="D1117" s="515">
        <f t="shared" ref="D1117:O1117" si="898">$C1117*D$19%</f>
        <v>2940322.0502454923</v>
      </c>
      <c r="E1117" s="515">
        <f t="shared" si="898"/>
        <v>4212745.5589465918</v>
      </c>
      <c r="F1117" s="515">
        <f t="shared" si="898"/>
        <v>2723100.8563398514</v>
      </c>
      <c r="G1117" s="515">
        <f t="shared" si="898"/>
        <v>3345053.4976156396</v>
      </c>
      <c r="H1117" s="515">
        <f t="shared" si="898"/>
        <v>4085041.2241994129</v>
      </c>
      <c r="I1117" s="515">
        <f t="shared" si="898"/>
        <v>4004782.1562590138</v>
      </c>
      <c r="J1117" s="515">
        <f t="shared" si="898"/>
        <v>3104521.5217514574</v>
      </c>
      <c r="K1117" s="515">
        <f t="shared" si="898"/>
        <v>3296178.3170106742</v>
      </c>
      <c r="L1117" s="515">
        <f t="shared" si="898"/>
        <v>3097590.0578830675</v>
      </c>
      <c r="M1117" s="515">
        <f t="shared" si="898"/>
        <v>2053464.1537746561</v>
      </c>
      <c r="N1117" s="515">
        <f t="shared" si="898"/>
        <v>2996926.2661332441</v>
      </c>
      <c r="O1117" s="515">
        <f t="shared" si="898"/>
        <v>3015580.3194158725</v>
      </c>
      <c r="P1117" s="511">
        <f t="shared" si="852"/>
        <v>3.8869213312864304E-5</v>
      </c>
      <c r="Q1117" s="530">
        <v>2326876</v>
      </c>
      <c r="R1117" s="480"/>
      <c r="U1117" s="513"/>
    </row>
    <row r="1118" spans="1:21" s="479" customFormat="1" x14ac:dyDescent="0.15">
      <c r="A1118" s="579"/>
      <c r="B1118" s="528" t="s">
        <v>296</v>
      </c>
      <c r="C1118" s="517">
        <f>FFM!J88</f>
        <v>10449522.687627681</v>
      </c>
      <c r="D1118" s="517">
        <f t="shared" ref="D1118:O1118" si="899">$C1118*D$20%</f>
        <v>790225.71651267295</v>
      </c>
      <c r="E1118" s="517">
        <f t="shared" si="899"/>
        <v>1132916.9609784437</v>
      </c>
      <c r="F1118" s="517">
        <f t="shared" si="899"/>
        <v>731723.34191386111</v>
      </c>
      <c r="G1118" s="517">
        <f t="shared" si="899"/>
        <v>899228.67498573498</v>
      </c>
      <c r="H1118" s="517">
        <f t="shared" si="899"/>
        <v>1098523.4171457444</v>
      </c>
      <c r="I1118" s="517">
        <f t="shared" si="899"/>
        <v>1076907.9064857769</v>
      </c>
      <c r="J1118" s="517">
        <f t="shared" si="899"/>
        <v>834375.03597196704</v>
      </c>
      <c r="K1118" s="517">
        <f t="shared" si="899"/>
        <v>885992.36746241827</v>
      </c>
      <c r="L1118" s="517">
        <f t="shared" si="899"/>
        <v>832508.23798120033</v>
      </c>
      <c r="M1118" s="517">
        <f t="shared" si="899"/>
        <v>551302.48850923195</v>
      </c>
      <c r="N1118" s="517">
        <f t="shared" si="899"/>
        <v>805397.29834455112</v>
      </c>
      <c r="O1118" s="517">
        <f t="shared" si="899"/>
        <v>810421.24121068371</v>
      </c>
      <c r="P1118" s="511">
        <f t="shared" si="852"/>
        <v>1.2539257295429707E-4</v>
      </c>
      <c r="Q1118" s="530">
        <v>712414</v>
      </c>
      <c r="R1118" s="480"/>
      <c r="U1118" s="513"/>
    </row>
    <row r="1119" spans="1:21" s="479" customFormat="1" ht="18" x14ac:dyDescent="0.15">
      <c r="A1119" s="579"/>
      <c r="B1119" s="528" t="s">
        <v>297</v>
      </c>
      <c r="C1119" s="517">
        <f>IEPS!I87</f>
        <v>940160.4236259337</v>
      </c>
      <c r="D1119" s="517">
        <f t="shared" ref="D1119:O1119" si="900">$C1119*D$21%</f>
        <v>66036.699797197871</v>
      </c>
      <c r="E1119" s="517">
        <f t="shared" si="900"/>
        <v>150940.52572039919</v>
      </c>
      <c r="F1119" s="517">
        <f t="shared" si="900"/>
        <v>62694.628711201454</v>
      </c>
      <c r="G1119" s="517">
        <f t="shared" si="900"/>
        <v>60930.399870569127</v>
      </c>
      <c r="H1119" s="517">
        <f t="shared" si="900"/>
        <v>67270.513398611423</v>
      </c>
      <c r="I1119" s="517">
        <f t="shared" si="900"/>
        <v>69760.862614793587</v>
      </c>
      <c r="J1119" s="517">
        <f t="shared" si="900"/>
        <v>71840.792574108724</v>
      </c>
      <c r="K1119" s="517">
        <f t="shared" si="900"/>
        <v>79578.565978060695</v>
      </c>
      <c r="L1119" s="517">
        <f t="shared" si="900"/>
        <v>79745.319263372614</v>
      </c>
      <c r="M1119" s="517">
        <f t="shared" si="900"/>
        <v>78859.009550625618</v>
      </c>
      <c r="N1119" s="517">
        <f t="shared" si="900"/>
        <v>76309.428725378661</v>
      </c>
      <c r="O1119" s="517">
        <f t="shared" si="900"/>
        <v>76193.677420674547</v>
      </c>
      <c r="P1119" s="511">
        <f t="shared" si="852"/>
        <v>9.4014103524386883E-7</v>
      </c>
      <c r="Q1119" s="530">
        <v>60093</v>
      </c>
      <c r="R1119" s="480"/>
      <c r="U1119" s="513"/>
    </row>
    <row r="1120" spans="1:21" s="479" customFormat="1" x14ac:dyDescent="0.15">
      <c r="A1120" s="579"/>
      <c r="B1120" s="528" t="s">
        <v>236</v>
      </c>
      <c r="C1120" s="517">
        <f>ISR!C78</f>
        <v>2565605.37</v>
      </c>
      <c r="D1120" s="517">
        <f>ISR!D78</f>
        <v>251246.86999999985</v>
      </c>
      <c r="E1120" s="517">
        <f>ISR!E78</f>
        <v>203257.11</v>
      </c>
      <c r="F1120" s="517">
        <f>ISR!F78</f>
        <v>207499.68000000005</v>
      </c>
      <c r="G1120" s="517">
        <f>ISR!G78</f>
        <v>152716.04000000012</v>
      </c>
      <c r="H1120" s="517">
        <f>ISR!H78</f>
        <v>204962.78999999995</v>
      </c>
      <c r="I1120" s="517">
        <f>ISR!I78</f>
        <v>285585.00999999908</v>
      </c>
      <c r="J1120" s="517">
        <f>ISR!J78</f>
        <v>207916.83000000005</v>
      </c>
      <c r="K1120" s="517">
        <f>ISR!K78</f>
        <v>211900.87000000008</v>
      </c>
      <c r="L1120" s="517">
        <f>ISR!L78</f>
        <v>212817.56999999998</v>
      </c>
      <c r="M1120" s="517">
        <f>ISR!M78</f>
        <v>209255.83000000016</v>
      </c>
      <c r="N1120" s="517">
        <f>ISR!N78</f>
        <v>210811.13000000012</v>
      </c>
      <c r="O1120" s="517">
        <f>ISR!O78</f>
        <v>207635.63999999993</v>
      </c>
      <c r="P1120" s="511">
        <f t="shared" si="852"/>
        <v>9.0221874415874481E-10</v>
      </c>
      <c r="Q1120" s="530">
        <v>0</v>
      </c>
      <c r="R1120" s="480"/>
      <c r="U1120" s="513"/>
    </row>
    <row r="1121" spans="1:21" s="479" customFormat="1" ht="18" x14ac:dyDescent="0.15">
      <c r="A1121" s="579"/>
      <c r="B1121" s="528" t="s">
        <v>298</v>
      </c>
      <c r="C1121" s="517">
        <f>FOFIR!I87</f>
        <v>1818265.6321327456</v>
      </c>
      <c r="D1121" s="517">
        <f t="shared" ref="D1121:O1121" si="901">$C1121*D$23%</f>
        <v>248585.08700583814</v>
      </c>
      <c r="E1121" s="517">
        <f t="shared" si="901"/>
        <v>63245.219890349072</v>
      </c>
      <c r="F1121" s="517">
        <f t="shared" si="901"/>
        <v>63245.219890349072</v>
      </c>
      <c r="G1121" s="517">
        <f t="shared" si="901"/>
        <v>356913.9256266671</v>
      </c>
      <c r="H1121" s="517">
        <f t="shared" si="901"/>
        <v>63245.219890349072</v>
      </c>
      <c r="I1121" s="517">
        <f t="shared" si="901"/>
        <v>63245.219890349072</v>
      </c>
      <c r="J1121" s="517">
        <f t="shared" si="901"/>
        <v>443943.41330951295</v>
      </c>
      <c r="K1121" s="517">
        <f t="shared" si="901"/>
        <v>63245.219890349072</v>
      </c>
      <c r="L1121" s="517">
        <f t="shared" si="901"/>
        <v>63245.219890349072</v>
      </c>
      <c r="M1121" s="517">
        <f t="shared" si="901"/>
        <v>262861.44707520789</v>
      </c>
      <c r="N1121" s="517">
        <f t="shared" si="901"/>
        <v>63245.219890349072</v>
      </c>
      <c r="O1121" s="517">
        <f t="shared" si="901"/>
        <v>63245.219890349072</v>
      </c>
      <c r="P1121" s="511">
        <f t="shared" si="852"/>
        <v>-7.2731490945443511E-6</v>
      </c>
      <c r="Q1121" s="530">
        <v>70786</v>
      </c>
      <c r="R1121" s="480"/>
      <c r="U1121" s="513"/>
    </row>
    <row r="1122" spans="1:21" s="479" customFormat="1" ht="27" x14ac:dyDescent="0.15">
      <c r="A1122" s="579"/>
      <c r="B1122" s="528" t="s">
        <v>407</v>
      </c>
      <c r="C1122" s="517">
        <f>FCISAN!I87</f>
        <v>115425.77297081806</v>
      </c>
      <c r="D1122" s="517">
        <f t="shared" ref="D1122:O1122" si="902">$C1122*D$24%</f>
        <v>9618.8144141963639</v>
      </c>
      <c r="E1122" s="517">
        <f t="shared" si="902"/>
        <v>9618.8144141963639</v>
      </c>
      <c r="F1122" s="517">
        <f t="shared" si="902"/>
        <v>9618.8144141963639</v>
      </c>
      <c r="G1122" s="517">
        <f t="shared" si="902"/>
        <v>9618.8144141963639</v>
      </c>
      <c r="H1122" s="517">
        <f t="shared" si="902"/>
        <v>9618.8144141963639</v>
      </c>
      <c r="I1122" s="517">
        <f t="shared" si="902"/>
        <v>9618.8144141963639</v>
      </c>
      <c r="J1122" s="517">
        <f t="shared" si="902"/>
        <v>9618.8144141963639</v>
      </c>
      <c r="K1122" s="517">
        <f t="shared" si="902"/>
        <v>9618.8144141963639</v>
      </c>
      <c r="L1122" s="517">
        <f t="shared" si="902"/>
        <v>9618.8144141963639</v>
      </c>
      <c r="M1122" s="517">
        <f t="shared" si="902"/>
        <v>9618.8144141963639</v>
      </c>
      <c r="N1122" s="517">
        <f t="shared" si="902"/>
        <v>9618.8144141963639</v>
      </c>
      <c r="O1122" s="517">
        <f t="shared" si="902"/>
        <v>9618.8144141963639</v>
      </c>
      <c r="P1122" s="511">
        <f t="shared" si="852"/>
        <v>4.6171044232323766E-7</v>
      </c>
      <c r="Q1122" s="530">
        <v>8423</v>
      </c>
      <c r="R1122" s="480"/>
      <c r="U1122" s="513"/>
    </row>
    <row r="1123" spans="1:21" s="479" customFormat="1" ht="27" x14ac:dyDescent="0.15">
      <c r="A1123" s="579"/>
      <c r="B1123" s="528" t="s">
        <v>242</v>
      </c>
      <c r="C1123" s="517">
        <f>ISAN!I87</f>
        <v>576565.27259743051</v>
      </c>
      <c r="D1123" s="517">
        <f t="shared" ref="D1123:O1123" si="903">$C1123*D$25%</f>
        <v>55484.956155685766</v>
      </c>
      <c r="E1123" s="517">
        <f t="shared" si="903"/>
        <v>61970.901988045043</v>
      </c>
      <c r="F1123" s="517">
        <f t="shared" si="903"/>
        <v>48094.891496869583</v>
      </c>
      <c r="G1123" s="517">
        <f t="shared" si="903"/>
        <v>44637.020331943539</v>
      </c>
      <c r="H1123" s="517">
        <f t="shared" si="903"/>
        <v>47726.843416718359</v>
      </c>
      <c r="I1123" s="517">
        <f t="shared" si="903"/>
        <v>41452.215719944841</v>
      </c>
      <c r="J1123" s="517">
        <f t="shared" si="903"/>
        <v>44907.120122712069</v>
      </c>
      <c r="K1123" s="517">
        <f t="shared" si="903"/>
        <v>46311.045195655599</v>
      </c>
      <c r="L1123" s="517">
        <f t="shared" si="903"/>
        <v>45506.681787115274</v>
      </c>
      <c r="M1123" s="517">
        <f t="shared" si="903"/>
        <v>46622.699175688162</v>
      </c>
      <c r="N1123" s="517">
        <f t="shared" si="903"/>
        <v>45141.601689134994</v>
      </c>
      <c r="O1123" s="517">
        <f t="shared" si="903"/>
        <v>48709.295510998505</v>
      </c>
      <c r="P1123" s="511">
        <f t="shared" si="852"/>
        <v>6.9188172346912324E-6</v>
      </c>
      <c r="Q1123" s="530">
        <v>36173</v>
      </c>
      <c r="R1123" s="480"/>
      <c r="U1123" s="513"/>
    </row>
    <row r="1124" spans="1:21" s="479" customFormat="1" ht="18" x14ac:dyDescent="0.15">
      <c r="A1124" s="579"/>
      <c r="B1124" s="528" t="s">
        <v>403</v>
      </c>
      <c r="C1124" s="517">
        <f>LOT!I87</f>
        <v>27909.792281043545</v>
      </c>
      <c r="D1124" s="517">
        <f t="shared" ref="D1124:O1124" si="904">$C1124*D$26%</f>
        <v>2110.2702496880415</v>
      </c>
      <c r="E1124" s="517">
        <f t="shared" si="904"/>
        <v>2080.358573466463</v>
      </c>
      <c r="F1124" s="517">
        <f t="shared" si="904"/>
        <v>2044.737119336123</v>
      </c>
      <c r="G1124" s="517">
        <f t="shared" si="904"/>
        <v>2249.667414561437</v>
      </c>
      <c r="H1124" s="517">
        <f t="shared" si="904"/>
        <v>1840.6374276787524</v>
      </c>
      <c r="I1124" s="517">
        <f t="shared" si="904"/>
        <v>2497.8388326628765</v>
      </c>
      <c r="J1124" s="517">
        <f t="shared" si="904"/>
        <v>5732.5374352325516</v>
      </c>
      <c r="K1124" s="517">
        <f t="shared" si="904"/>
        <v>2086.8492182141031</v>
      </c>
      <c r="L1124" s="517">
        <f t="shared" si="904"/>
        <v>2532.1323157950856</v>
      </c>
      <c r="M1124" s="517">
        <f t="shared" si="904"/>
        <v>1567.7369017912877</v>
      </c>
      <c r="N1124" s="517">
        <f t="shared" si="904"/>
        <v>1583.5133961409533</v>
      </c>
      <c r="O1124" s="517">
        <f t="shared" si="904"/>
        <v>1583.5133961409533</v>
      </c>
      <c r="P1124" s="511">
        <f t="shared" ref="P1124:P1187" si="905">C1124-D1124-E1124-F1124-G1124-H1124-I1124-J1124-K1124-L1124-M1124-N1124-O1124</f>
        <v>3.3491414797026664E-7</v>
      </c>
      <c r="Q1124" s="530">
        <v>1767</v>
      </c>
      <c r="R1124" s="480"/>
      <c r="U1124" s="513"/>
    </row>
    <row r="1125" spans="1:21" s="479" customFormat="1" ht="45" x14ac:dyDescent="0.15">
      <c r="A1125" s="579"/>
      <c r="B1125" s="518" t="s">
        <v>301</v>
      </c>
      <c r="C1125" s="517">
        <f>'ENAJENAC DE INMUE'!I87</f>
        <v>109744.61611222857</v>
      </c>
      <c r="D1125" s="517">
        <f t="shared" ref="D1125:O1125" si="906">$C1125*D$27%</f>
        <v>4739.4000047011095</v>
      </c>
      <c r="E1125" s="517">
        <f t="shared" si="906"/>
        <v>4809.2066183468578</v>
      </c>
      <c r="F1125" s="517">
        <f t="shared" si="906"/>
        <v>4744.3720813288264</v>
      </c>
      <c r="G1125" s="517">
        <f t="shared" si="906"/>
        <v>4716.5808712027283</v>
      </c>
      <c r="H1125" s="517">
        <f t="shared" si="906"/>
        <v>6542.7984212252868</v>
      </c>
      <c r="I1125" s="517">
        <f t="shared" si="906"/>
        <v>4709.3596754625441</v>
      </c>
      <c r="J1125" s="517">
        <f t="shared" si="906"/>
        <v>5412.3681929715567</v>
      </c>
      <c r="K1125" s="517">
        <f t="shared" si="906"/>
        <v>5406.797039799535</v>
      </c>
      <c r="L1125" s="517">
        <f t="shared" si="906"/>
        <v>5399.9476846087246</v>
      </c>
      <c r="M1125" s="517">
        <f t="shared" si="906"/>
        <v>4715.8087855634622</v>
      </c>
      <c r="N1125" s="517">
        <f t="shared" si="906"/>
        <v>19606.598691770567</v>
      </c>
      <c r="O1125" s="517">
        <f t="shared" si="906"/>
        <v>38941.378045027886</v>
      </c>
      <c r="P1125" s="511">
        <f t="shared" si="905"/>
        <v>2.1949381334707141E-7</v>
      </c>
      <c r="Q1125" s="530">
        <v>25780</v>
      </c>
      <c r="R1125" s="480"/>
      <c r="U1125" s="513"/>
    </row>
    <row r="1126" spans="1:21" s="479" customFormat="1" ht="27" x14ac:dyDescent="0.15">
      <c r="A1126" s="579"/>
      <c r="B1126" s="518" t="s">
        <v>248</v>
      </c>
      <c r="C1126" s="517">
        <f>'IMP BEBIDAS AL'!I87</f>
        <v>42893.995369928147</v>
      </c>
      <c r="D1126" s="517">
        <f t="shared" ref="D1126:O1126" si="907">$C1126*D$28%</f>
        <v>9753.6911468368398</v>
      </c>
      <c r="E1126" s="517">
        <f t="shared" si="907"/>
        <v>3354.9155480962277</v>
      </c>
      <c r="F1126" s="517">
        <f t="shared" si="907"/>
        <v>3605.3702894330668</v>
      </c>
      <c r="G1126" s="517">
        <f t="shared" si="907"/>
        <v>3579.4885364908891</v>
      </c>
      <c r="H1126" s="517">
        <f t="shared" si="907"/>
        <v>2279.4355490929952</v>
      </c>
      <c r="I1126" s="517">
        <f t="shared" si="907"/>
        <v>3730.2999429603824</v>
      </c>
      <c r="J1126" s="517">
        <f t="shared" si="907"/>
        <v>3709.3026364123552</v>
      </c>
      <c r="K1126" s="517">
        <f t="shared" si="907"/>
        <v>3392.4279078752961</v>
      </c>
      <c r="L1126" s="517">
        <f t="shared" si="907"/>
        <v>2460.2841799464559</v>
      </c>
      <c r="M1126" s="517">
        <f t="shared" si="907"/>
        <v>2287.0520804917855</v>
      </c>
      <c r="N1126" s="517">
        <f t="shared" si="907"/>
        <v>2303.2183569137237</v>
      </c>
      <c r="O1126" s="517">
        <f t="shared" si="907"/>
        <v>2438.5091953781316</v>
      </c>
      <c r="P1126" s="511">
        <f t="shared" si="905"/>
        <v>0</v>
      </c>
      <c r="Q1126" s="530">
        <v>1104</v>
      </c>
      <c r="R1126" s="480"/>
      <c r="U1126" s="513"/>
    </row>
    <row r="1127" spans="1:21" s="479" customFormat="1" ht="18" x14ac:dyDescent="0.15">
      <c r="A1127" s="579"/>
      <c r="B1127" s="518" t="s">
        <v>253</v>
      </c>
      <c r="C1127" s="517">
        <f>'FOND GASO Y D'!Q88</f>
        <v>0</v>
      </c>
      <c r="D1127" s="517">
        <f t="shared" ref="D1127:O1127" si="908">$C1127*D$29%</f>
        <v>0</v>
      </c>
      <c r="E1127" s="517">
        <f t="shared" si="908"/>
        <v>0</v>
      </c>
      <c r="F1127" s="517">
        <f t="shared" si="908"/>
        <v>0</v>
      </c>
      <c r="G1127" s="517">
        <f t="shared" si="908"/>
        <v>0</v>
      </c>
      <c r="H1127" s="517">
        <f t="shared" si="908"/>
        <v>0</v>
      </c>
      <c r="I1127" s="517">
        <f t="shared" si="908"/>
        <v>0</v>
      </c>
      <c r="J1127" s="517">
        <f t="shared" si="908"/>
        <v>0</v>
      </c>
      <c r="K1127" s="517">
        <f t="shared" si="908"/>
        <v>0</v>
      </c>
      <c r="L1127" s="517">
        <f t="shared" si="908"/>
        <v>0</v>
      </c>
      <c r="M1127" s="517">
        <f t="shared" si="908"/>
        <v>0</v>
      </c>
      <c r="N1127" s="517">
        <f t="shared" si="908"/>
        <v>0</v>
      </c>
      <c r="O1127" s="517">
        <f t="shared" si="908"/>
        <v>0</v>
      </c>
      <c r="P1127" s="511">
        <f t="shared" si="905"/>
        <v>0</v>
      </c>
      <c r="Q1127" s="530">
        <v>45974</v>
      </c>
      <c r="R1127" s="480"/>
      <c r="U1127" s="513"/>
    </row>
    <row r="1128" spans="1:21" s="479" customFormat="1" ht="18" x14ac:dyDescent="0.15">
      <c r="A1128" s="579"/>
      <c r="B1128" s="528" t="s">
        <v>408</v>
      </c>
      <c r="C1128" s="519">
        <f>'FOND GASO Y D'!H88</f>
        <v>1489013.4852420159</v>
      </c>
      <c r="D1128" s="517">
        <f t="shared" ref="D1128:O1128" si="909">$C1128*D$30%</f>
        <v>115831.55412897994</v>
      </c>
      <c r="E1128" s="517">
        <f t="shared" si="909"/>
        <v>127354.15755921825</v>
      </c>
      <c r="F1128" s="517">
        <f t="shared" si="909"/>
        <v>123992.41254916003</v>
      </c>
      <c r="G1128" s="517">
        <f t="shared" si="909"/>
        <v>115535.09593070198</v>
      </c>
      <c r="H1128" s="517">
        <f t="shared" si="909"/>
        <v>127303.16171965571</v>
      </c>
      <c r="I1128" s="517">
        <f t="shared" si="909"/>
        <v>122862.67771074099</v>
      </c>
      <c r="J1128" s="517">
        <f t="shared" si="909"/>
        <v>125424.19393387384</v>
      </c>
      <c r="K1128" s="517">
        <f t="shared" si="909"/>
        <v>125349.66308814766</v>
      </c>
      <c r="L1128" s="517">
        <f t="shared" si="909"/>
        <v>130441.3128628464</v>
      </c>
      <c r="M1128" s="517">
        <f t="shared" si="909"/>
        <v>129295.88802131097</v>
      </c>
      <c r="N1128" s="517">
        <f t="shared" si="909"/>
        <v>120838.57140285295</v>
      </c>
      <c r="O1128" s="517">
        <f t="shared" si="909"/>
        <v>124784.79633601621</v>
      </c>
      <c r="P1128" s="511">
        <f t="shared" si="905"/>
        <v>-1.4890101738274097E-6</v>
      </c>
      <c r="Q1128" s="530">
        <v>91001</v>
      </c>
      <c r="R1128" s="480"/>
      <c r="U1128" s="513"/>
    </row>
    <row r="1129" spans="1:21" s="479" customFormat="1" x14ac:dyDescent="0.15">
      <c r="A1129" s="579"/>
      <c r="B1129" s="534"/>
      <c r="C1129" s="521"/>
      <c r="D1129" s="522"/>
      <c r="E1129" s="522"/>
      <c r="F1129" s="522"/>
      <c r="G1129" s="522"/>
      <c r="H1129" s="522"/>
      <c r="I1129" s="522"/>
      <c r="J1129" s="522"/>
      <c r="K1129" s="522"/>
      <c r="L1129" s="522"/>
      <c r="M1129" s="522"/>
      <c r="N1129" s="522"/>
      <c r="O1129" s="522"/>
      <c r="P1129" s="511">
        <f t="shared" si="905"/>
        <v>0</v>
      </c>
      <c r="Q1129" s="530">
        <v>0</v>
      </c>
      <c r="R1129" s="480"/>
      <c r="U1129" s="513"/>
    </row>
    <row r="1130" spans="1:21" s="479" customFormat="1" x14ac:dyDescent="0.15">
      <c r="A1130" s="591"/>
      <c r="B1130" s="532"/>
      <c r="C1130" s="521"/>
      <c r="D1130" s="521"/>
      <c r="E1130" s="521"/>
      <c r="F1130" s="521"/>
      <c r="G1130" s="521"/>
      <c r="H1130" s="521"/>
      <c r="I1130" s="521"/>
      <c r="J1130" s="521"/>
      <c r="K1130" s="521"/>
      <c r="L1130" s="521"/>
      <c r="M1130" s="521"/>
      <c r="N1130" s="521"/>
      <c r="O1130" s="521"/>
      <c r="P1130" s="511">
        <f t="shared" si="905"/>
        <v>0</v>
      </c>
      <c r="Q1130" s="530">
        <v>0</v>
      </c>
      <c r="R1130" s="480"/>
      <c r="U1130" s="513"/>
    </row>
    <row r="1131" spans="1:21" s="479" customFormat="1" x14ac:dyDescent="0.15">
      <c r="A1131" s="584">
        <v>74</v>
      </c>
      <c r="B1131" s="510" t="s">
        <v>133</v>
      </c>
      <c r="C1131" s="524">
        <f t="shared" ref="C1131:O1131" si="910">SUM(C1132:C1143)</f>
        <v>30627833.120254628</v>
      </c>
      <c r="D1131" s="524">
        <f t="shared" si="910"/>
        <v>2395773.1120850798</v>
      </c>
      <c r="E1131" s="524">
        <f t="shared" si="910"/>
        <v>3210361.1083505228</v>
      </c>
      <c r="F1131" s="524">
        <f t="shared" si="910"/>
        <v>2145831.1342274467</v>
      </c>
      <c r="G1131" s="524">
        <f t="shared" si="910"/>
        <v>2708941.250121505</v>
      </c>
      <c r="H1131" s="524">
        <f t="shared" si="910"/>
        <v>3068166.8962443057</v>
      </c>
      <c r="I1131" s="524">
        <f t="shared" si="910"/>
        <v>3011367.7489898438</v>
      </c>
      <c r="J1131" s="524">
        <f t="shared" si="910"/>
        <v>2612233.2550698286</v>
      </c>
      <c r="K1131" s="524">
        <f t="shared" si="910"/>
        <v>2542785.235130081</v>
      </c>
      <c r="L1131" s="524">
        <f t="shared" si="910"/>
        <v>2411140.694473912</v>
      </c>
      <c r="M1131" s="524">
        <f t="shared" si="910"/>
        <v>1809982.3329617355</v>
      </c>
      <c r="N1131" s="524">
        <f t="shared" si="910"/>
        <v>2341967.7090623355</v>
      </c>
      <c r="O1131" s="524">
        <f t="shared" si="910"/>
        <v>2369282.6434506234</v>
      </c>
      <c r="P1131" s="511">
        <f t="shared" si="905"/>
        <v>8.7406951934099197E-5</v>
      </c>
      <c r="Q1131" s="530">
        <v>1814501</v>
      </c>
      <c r="R1131" s="480"/>
      <c r="T1131" s="512"/>
      <c r="U1131" s="513"/>
    </row>
    <row r="1132" spans="1:21" s="479" customFormat="1" x14ac:dyDescent="0.15">
      <c r="A1132" s="579"/>
      <c r="B1132" s="525" t="s">
        <v>294</v>
      </c>
      <c r="C1132" s="526">
        <f>'FG1'!I89</f>
        <v>20706034.274442691</v>
      </c>
      <c r="D1132" s="526">
        <f t="shared" ref="D1132:O1132" si="911">$C1132*D$19%</f>
        <v>1566094.6612795643</v>
      </c>
      <c r="E1132" s="526">
        <f t="shared" si="911"/>
        <v>2243821.6686653798</v>
      </c>
      <c r="F1132" s="526">
        <f t="shared" si="911"/>
        <v>1450396.8070040457</v>
      </c>
      <c r="G1132" s="526">
        <f t="shared" si="911"/>
        <v>1781665.5232963348</v>
      </c>
      <c r="H1132" s="526">
        <f t="shared" si="911"/>
        <v>2175802.902879803</v>
      </c>
      <c r="I1132" s="526">
        <f t="shared" si="911"/>
        <v>2133054.7631614893</v>
      </c>
      <c r="J1132" s="526">
        <f t="shared" si="911"/>
        <v>1653551.7191514894</v>
      </c>
      <c r="K1132" s="526">
        <f t="shared" si="911"/>
        <v>1755633.2866547329</v>
      </c>
      <c r="L1132" s="526">
        <f t="shared" si="911"/>
        <v>1649859.8349382514</v>
      </c>
      <c r="M1132" s="526">
        <f t="shared" si="911"/>
        <v>1093730.2762760103</v>
      </c>
      <c r="N1132" s="526">
        <f t="shared" si="911"/>
        <v>1596243.5901359536</v>
      </c>
      <c r="O1132" s="526">
        <f t="shared" si="911"/>
        <v>1606179.2409789318</v>
      </c>
      <c r="P1132" s="511">
        <f t="shared" si="905"/>
        <v>2.0707957446575165E-5</v>
      </c>
      <c r="Q1132" s="530">
        <v>1239633</v>
      </c>
      <c r="R1132" s="480"/>
      <c r="U1132" s="513"/>
    </row>
    <row r="1133" spans="1:21" s="479" customFormat="1" x14ac:dyDescent="0.15">
      <c r="A1133" s="579"/>
      <c r="B1133" s="527" t="s">
        <v>296</v>
      </c>
      <c r="C1133" s="515">
        <f>FFM!J89</f>
        <v>5565697.0271834871</v>
      </c>
      <c r="D1133" s="515">
        <f t="shared" ref="D1133:O1133" si="912">$C1133*D$20%</f>
        <v>420895.48515033885</v>
      </c>
      <c r="E1133" s="515">
        <f t="shared" si="912"/>
        <v>603422.06531875429</v>
      </c>
      <c r="F1133" s="515">
        <f t="shared" si="912"/>
        <v>389735.54587643279</v>
      </c>
      <c r="G1133" s="515">
        <f t="shared" si="912"/>
        <v>478953.39459399576</v>
      </c>
      <c r="H1133" s="515">
        <f t="shared" si="912"/>
        <v>585103.13818817749</v>
      </c>
      <c r="I1133" s="515">
        <f t="shared" si="912"/>
        <v>573590.13543986296</v>
      </c>
      <c r="J1133" s="515">
        <f t="shared" si="912"/>
        <v>444410.6009515326</v>
      </c>
      <c r="K1133" s="515">
        <f t="shared" si="912"/>
        <v>471903.3809583839</v>
      </c>
      <c r="L1133" s="515">
        <f t="shared" si="912"/>
        <v>443416.29409770243</v>
      </c>
      <c r="M1133" s="515">
        <f t="shared" si="912"/>
        <v>293638.54341478011</v>
      </c>
      <c r="N1133" s="515">
        <f t="shared" si="912"/>
        <v>428976.27796964464</v>
      </c>
      <c r="O1133" s="515">
        <f t="shared" si="912"/>
        <v>431652.16515709297</v>
      </c>
      <c r="P1133" s="511">
        <f t="shared" si="905"/>
        <v>6.6788401454687119E-5</v>
      </c>
      <c r="Q1133" s="530">
        <v>379536</v>
      </c>
      <c r="R1133" s="480"/>
      <c r="U1133" s="513"/>
    </row>
    <row r="1134" spans="1:21" s="479" customFormat="1" ht="18" x14ac:dyDescent="0.15">
      <c r="A1134" s="579"/>
      <c r="B1134" s="528" t="s">
        <v>297</v>
      </c>
      <c r="C1134" s="517">
        <f>IEPS!I88</f>
        <v>500754.74557760678</v>
      </c>
      <c r="D1134" s="517">
        <f t="shared" ref="D1134:O1134" si="913">$C1134*D$21%</f>
        <v>35172.92365721579</v>
      </c>
      <c r="E1134" s="517">
        <f t="shared" si="913"/>
        <v>80394.986488541836</v>
      </c>
      <c r="F1134" s="517">
        <f t="shared" si="913"/>
        <v>33392.846646617982</v>
      </c>
      <c r="G1134" s="517">
        <f t="shared" si="913"/>
        <v>32453.170882747479</v>
      </c>
      <c r="H1134" s="517">
        <f t="shared" si="913"/>
        <v>35830.085988813626</v>
      </c>
      <c r="I1134" s="517">
        <f t="shared" si="913"/>
        <v>37156.513007874011</v>
      </c>
      <c r="J1134" s="517">
        <f t="shared" si="913"/>
        <v>38264.339684494989</v>
      </c>
      <c r="K1134" s="517">
        <f t="shared" si="913"/>
        <v>42385.686057797342</v>
      </c>
      <c r="L1134" s="517">
        <f t="shared" si="913"/>
        <v>42474.503345636949</v>
      </c>
      <c r="M1134" s="517">
        <f t="shared" si="913"/>
        <v>42002.430938038815</v>
      </c>
      <c r="N1134" s="517">
        <f t="shared" si="913"/>
        <v>40644.455569800957</v>
      </c>
      <c r="O1134" s="517">
        <f t="shared" si="913"/>
        <v>40582.803309526229</v>
      </c>
      <c r="P1134" s="511">
        <f t="shared" si="905"/>
        <v>5.0083326641470194E-7</v>
      </c>
      <c r="Q1134" s="530">
        <v>32015</v>
      </c>
      <c r="R1134" s="480"/>
      <c r="U1134" s="513"/>
    </row>
    <row r="1135" spans="1:21" s="479" customFormat="1" x14ac:dyDescent="0.15">
      <c r="A1135" s="579"/>
      <c r="B1135" s="528" t="s">
        <v>236</v>
      </c>
      <c r="C1135" s="517">
        <f>ISR!C79</f>
        <v>1480906.19</v>
      </c>
      <c r="D1135" s="517">
        <f>ISR!D79</f>
        <v>124467.25999999997</v>
      </c>
      <c r="E1135" s="517">
        <f>ISR!E79</f>
        <v>124945.17999999993</v>
      </c>
      <c r="F1135" s="517">
        <f>ISR!F79</f>
        <v>123964.61999999994</v>
      </c>
      <c r="G1135" s="517">
        <f>ISR!G79</f>
        <v>118219.28</v>
      </c>
      <c r="H1135" s="517">
        <f>ISR!H79</f>
        <v>121049.71999999996</v>
      </c>
      <c r="I1135" s="517">
        <f>ISR!I79</f>
        <v>123188.00000000007</v>
      </c>
      <c r="J1135" s="517">
        <f>ISR!J79</f>
        <v>123312.62999999995</v>
      </c>
      <c r="K1135" s="517">
        <f>ISR!K79</f>
        <v>124351.89999999998</v>
      </c>
      <c r="L1135" s="517">
        <f>ISR!L79</f>
        <v>124351.89999999998</v>
      </c>
      <c r="M1135" s="517">
        <f>ISR!M79</f>
        <v>124351.89999999998</v>
      </c>
      <c r="N1135" s="517">
        <f>ISR!N79</f>
        <v>124351.89999999998</v>
      </c>
      <c r="O1135" s="517">
        <f>ISR!O79</f>
        <v>124351.89999999998</v>
      </c>
      <c r="P1135" s="511">
        <f t="shared" si="905"/>
        <v>1.4551915228366852E-10</v>
      </c>
      <c r="Q1135" s="530">
        <v>0</v>
      </c>
      <c r="R1135" s="480"/>
      <c r="U1135" s="513"/>
    </row>
    <row r="1136" spans="1:21" s="479" customFormat="1" ht="18" x14ac:dyDescent="0.15">
      <c r="A1136" s="579"/>
      <c r="B1136" s="528" t="s">
        <v>298</v>
      </c>
      <c r="C1136" s="517">
        <f>FOFIR!I88</f>
        <v>968457.21339723875</v>
      </c>
      <c r="D1136" s="517">
        <f t="shared" ref="D1136:O1136" si="914">$C1136*D$23%</f>
        <v>132403.1078844085</v>
      </c>
      <c r="E1136" s="517">
        <f t="shared" si="914"/>
        <v>33686.106327522226</v>
      </c>
      <c r="F1136" s="517">
        <f t="shared" si="914"/>
        <v>33686.106327522226</v>
      </c>
      <c r="G1136" s="517">
        <f t="shared" si="914"/>
        <v>190101.96295116254</v>
      </c>
      <c r="H1136" s="517">
        <f t="shared" si="914"/>
        <v>33686.106327522226</v>
      </c>
      <c r="I1136" s="517">
        <f t="shared" si="914"/>
        <v>33686.106327522226</v>
      </c>
      <c r="J1136" s="517">
        <f t="shared" si="914"/>
        <v>236456.21044681387</v>
      </c>
      <c r="K1136" s="517">
        <f t="shared" si="914"/>
        <v>33686.106327522226</v>
      </c>
      <c r="L1136" s="517">
        <f t="shared" si="914"/>
        <v>33686.106327522226</v>
      </c>
      <c r="M1136" s="517">
        <f t="shared" si="914"/>
        <v>140007.08149854984</v>
      </c>
      <c r="N1136" s="517">
        <f t="shared" si="914"/>
        <v>33686.106327522226</v>
      </c>
      <c r="O1136" s="517">
        <f t="shared" si="914"/>
        <v>33686.106327522226</v>
      </c>
      <c r="P1136" s="511">
        <f t="shared" si="905"/>
        <v>-3.8737780414521694E-6</v>
      </c>
      <c r="Q1136" s="530">
        <v>37710</v>
      </c>
      <c r="R1136" s="480"/>
      <c r="U1136" s="513"/>
    </row>
    <row r="1137" spans="1:21" s="479" customFormat="1" ht="27" x14ac:dyDescent="0.15">
      <c r="A1137" s="579"/>
      <c r="B1137" s="528" t="s">
        <v>407</v>
      </c>
      <c r="C1137" s="517">
        <f>FCISAN!I88</f>
        <v>61478.873312048454</v>
      </c>
      <c r="D1137" s="517">
        <f t="shared" ref="D1137:O1137" si="915">$C1137*D$24%</f>
        <v>5123.2394426502124</v>
      </c>
      <c r="E1137" s="517">
        <f t="shared" si="915"/>
        <v>5123.2394426502124</v>
      </c>
      <c r="F1137" s="517">
        <f t="shared" si="915"/>
        <v>5123.2394426502124</v>
      </c>
      <c r="G1137" s="517">
        <f t="shared" si="915"/>
        <v>5123.2394426502124</v>
      </c>
      <c r="H1137" s="517">
        <f t="shared" si="915"/>
        <v>5123.2394426502124</v>
      </c>
      <c r="I1137" s="517">
        <f t="shared" si="915"/>
        <v>5123.2394426502124</v>
      </c>
      <c r="J1137" s="517">
        <f t="shared" si="915"/>
        <v>5123.2394426502124</v>
      </c>
      <c r="K1137" s="517">
        <f t="shared" si="915"/>
        <v>5123.2394426502124</v>
      </c>
      <c r="L1137" s="517">
        <f t="shared" si="915"/>
        <v>5123.2394426502124</v>
      </c>
      <c r="M1137" s="517">
        <f t="shared" si="915"/>
        <v>5123.2394426502124</v>
      </c>
      <c r="N1137" s="517">
        <f t="shared" si="915"/>
        <v>5123.2394426502124</v>
      </c>
      <c r="O1137" s="517">
        <f t="shared" si="915"/>
        <v>5123.2394426502124</v>
      </c>
      <c r="P1137" s="511">
        <f t="shared" si="905"/>
        <v>2.4589098757132888E-7</v>
      </c>
      <c r="Q1137" s="530">
        <v>4490</v>
      </c>
      <c r="R1137" s="480"/>
      <c r="U1137" s="513"/>
    </row>
    <row r="1138" spans="1:21" s="479" customFormat="1" ht="27" x14ac:dyDescent="0.15">
      <c r="A1138" s="579"/>
      <c r="B1138" s="528" t="s">
        <v>242</v>
      </c>
      <c r="C1138" s="517">
        <f>ISAN!I88</f>
        <v>307094.18215553748</v>
      </c>
      <c r="D1138" s="517">
        <f t="shared" ref="D1138:O1138" si="916">$C1138*D$25%</f>
        <v>29552.780998766852</v>
      </c>
      <c r="E1138" s="517">
        <f t="shared" si="916"/>
        <v>33007.370315116823</v>
      </c>
      <c r="F1138" s="517">
        <f t="shared" si="916"/>
        <v>25616.633661533328</v>
      </c>
      <c r="G1138" s="517">
        <f t="shared" si="916"/>
        <v>23774.878412195558</v>
      </c>
      <c r="H1138" s="517">
        <f t="shared" si="916"/>
        <v>25420.601348212109</v>
      </c>
      <c r="I1138" s="517">
        <f t="shared" si="916"/>
        <v>22078.565758398585</v>
      </c>
      <c r="J1138" s="517">
        <f t="shared" si="916"/>
        <v>23918.740830361628</v>
      </c>
      <c r="K1138" s="517">
        <f t="shared" si="916"/>
        <v>24666.509110162751</v>
      </c>
      <c r="L1138" s="517">
        <f t="shared" si="916"/>
        <v>24238.083509729469</v>
      </c>
      <c r="M1138" s="517">
        <f t="shared" si="916"/>
        <v>24832.504407941367</v>
      </c>
      <c r="N1138" s="517">
        <f t="shared" si="916"/>
        <v>24043.632023594269</v>
      </c>
      <c r="O1138" s="517">
        <f t="shared" si="916"/>
        <v>25943.881775839618</v>
      </c>
      <c r="P1138" s="511">
        <f t="shared" si="905"/>
        <v>3.6851270124316216E-6</v>
      </c>
      <c r="Q1138" s="530">
        <v>19268</v>
      </c>
      <c r="R1138" s="480"/>
      <c r="U1138" s="513"/>
    </row>
    <row r="1139" spans="1:21" s="479" customFormat="1" ht="18" x14ac:dyDescent="0.15">
      <c r="A1139" s="579"/>
      <c r="B1139" s="528" t="s">
        <v>403</v>
      </c>
      <c r="C1139" s="517">
        <f>LOT!I88</f>
        <v>14865.506547187417</v>
      </c>
      <c r="D1139" s="517">
        <f t="shared" ref="D1139:O1139" si="917">$C1139*D$26%</f>
        <v>1123.9867318675535</v>
      </c>
      <c r="E1139" s="517">
        <f t="shared" si="917"/>
        <v>1108.0549680539175</v>
      </c>
      <c r="F1139" s="517">
        <f t="shared" si="917"/>
        <v>1089.0820228502168</v>
      </c>
      <c r="G1139" s="517">
        <f t="shared" si="917"/>
        <v>1198.2334136851132</v>
      </c>
      <c r="H1139" s="517">
        <f t="shared" si="917"/>
        <v>980.37303383089295</v>
      </c>
      <c r="I1139" s="517">
        <f t="shared" si="917"/>
        <v>1330.4161903773443</v>
      </c>
      <c r="J1139" s="517">
        <f t="shared" si="917"/>
        <v>3053.3037264245881</v>
      </c>
      <c r="K1139" s="517">
        <f t="shared" si="917"/>
        <v>1111.5120601390151</v>
      </c>
      <c r="L1139" s="517">
        <f t="shared" si="917"/>
        <v>1348.6818224857557</v>
      </c>
      <c r="M1139" s="517">
        <f t="shared" si="917"/>
        <v>835.01886876007677</v>
      </c>
      <c r="N1139" s="517">
        <f t="shared" si="917"/>
        <v>843.4218542672786</v>
      </c>
      <c r="O1139" s="517">
        <f t="shared" si="917"/>
        <v>843.4218542672786</v>
      </c>
      <c r="P1139" s="511">
        <f t="shared" si="905"/>
        <v>1.7838738131104037E-7</v>
      </c>
      <c r="Q1139" s="530">
        <v>942</v>
      </c>
      <c r="R1139" s="480"/>
      <c r="U1139" s="513"/>
    </row>
    <row r="1140" spans="1:21" s="479" customFormat="1" ht="45" x14ac:dyDescent="0.15">
      <c r="A1140" s="579"/>
      <c r="B1140" s="518" t="s">
        <v>301</v>
      </c>
      <c r="C1140" s="517">
        <f>'ENAJENAC DE INMUE'!I88</f>
        <v>58452.936263626863</v>
      </c>
      <c r="D1140" s="517">
        <f t="shared" ref="D1140:O1140" si="918">$C1140*D$27%</f>
        <v>2524.3320011190767</v>
      </c>
      <c r="E1140" s="517">
        <f t="shared" si="918"/>
        <v>2561.5128823574037</v>
      </c>
      <c r="F1140" s="517">
        <f t="shared" si="918"/>
        <v>2526.9802629519904</v>
      </c>
      <c r="G1140" s="517">
        <f t="shared" si="918"/>
        <v>2512.1779164521076</v>
      </c>
      <c r="H1140" s="517">
        <f t="shared" si="918"/>
        <v>3484.8705353394116</v>
      </c>
      <c r="I1140" s="517">
        <f t="shared" si="918"/>
        <v>2508.3317132459611</v>
      </c>
      <c r="J1140" s="517">
        <f t="shared" si="918"/>
        <v>2882.7729707990247</v>
      </c>
      <c r="K1140" s="517">
        <f t="shared" si="918"/>
        <v>2879.8056246747647</v>
      </c>
      <c r="L1140" s="517">
        <f t="shared" si="918"/>
        <v>2876.1574737531196</v>
      </c>
      <c r="M1140" s="517">
        <f t="shared" si="918"/>
        <v>2511.7666828603296</v>
      </c>
      <c r="N1140" s="517">
        <f t="shared" si="918"/>
        <v>10443.002165177484</v>
      </c>
      <c r="O1140" s="517">
        <f t="shared" si="918"/>
        <v>20741.226034779284</v>
      </c>
      <c r="P1140" s="511">
        <f t="shared" si="905"/>
        <v>1.1691008694469929E-7</v>
      </c>
      <c r="Q1140" s="530">
        <v>13734</v>
      </c>
      <c r="R1140" s="480"/>
      <c r="U1140" s="513"/>
    </row>
    <row r="1141" spans="1:21" s="479" customFormat="1" ht="27" x14ac:dyDescent="0.15">
      <c r="A1141" s="579"/>
      <c r="B1141" s="518" t="s">
        <v>248</v>
      </c>
      <c r="C1141" s="517">
        <f>'IMP BEBIDAS AL'!I88</f>
        <v>22846.496404768379</v>
      </c>
      <c r="D1141" s="517">
        <f t="shared" ref="D1141:O1141" si="919">$C1141*D$28%</f>
        <v>5195.0784205953141</v>
      </c>
      <c r="E1141" s="517">
        <f t="shared" si="919"/>
        <v>1786.9183168145244</v>
      </c>
      <c r="F1141" s="517">
        <f t="shared" si="919"/>
        <v>1920.3172529164488</v>
      </c>
      <c r="G1141" s="517">
        <f t="shared" si="919"/>
        <v>1906.5319347048205</v>
      </c>
      <c r="H1141" s="517">
        <f t="shared" si="919"/>
        <v>1214.0887233312906</v>
      </c>
      <c r="I1141" s="517">
        <f t="shared" si="919"/>
        <v>1986.8581488051489</v>
      </c>
      <c r="J1141" s="517">
        <f t="shared" si="919"/>
        <v>1975.6744182055124</v>
      </c>
      <c r="K1141" s="517">
        <f t="shared" si="919"/>
        <v>1806.8984092595313</v>
      </c>
      <c r="L1141" s="517">
        <f t="shared" si="919"/>
        <v>1310.4135715756101</v>
      </c>
      <c r="M1141" s="517">
        <f t="shared" si="919"/>
        <v>1218.1454929494751</v>
      </c>
      <c r="N1141" s="517">
        <f t="shared" si="919"/>
        <v>1226.7560868791613</v>
      </c>
      <c r="O1141" s="517">
        <f t="shared" si="919"/>
        <v>1298.815628731543</v>
      </c>
      <c r="P1141" s="511">
        <f t="shared" si="905"/>
        <v>-3.1832314562052488E-12</v>
      </c>
      <c r="Q1141" s="530">
        <v>589</v>
      </c>
      <c r="R1141" s="480"/>
      <c r="U1141" s="513"/>
    </row>
    <row r="1142" spans="1:21" s="479" customFormat="1" ht="18" x14ac:dyDescent="0.15">
      <c r="A1142" s="579"/>
      <c r="B1142" s="518" t="s">
        <v>253</v>
      </c>
      <c r="C1142" s="517">
        <f>'FOND GASO Y D'!Q89</f>
        <v>0</v>
      </c>
      <c r="D1142" s="517">
        <f t="shared" ref="D1142:O1142" si="920">$C1142*D$29%</f>
        <v>0</v>
      </c>
      <c r="E1142" s="517">
        <f t="shared" si="920"/>
        <v>0</v>
      </c>
      <c r="F1142" s="517">
        <f t="shared" si="920"/>
        <v>0</v>
      </c>
      <c r="G1142" s="517">
        <f t="shared" si="920"/>
        <v>0</v>
      </c>
      <c r="H1142" s="517">
        <f t="shared" si="920"/>
        <v>0</v>
      </c>
      <c r="I1142" s="517">
        <f t="shared" si="920"/>
        <v>0</v>
      </c>
      <c r="J1142" s="517">
        <f t="shared" si="920"/>
        <v>0</v>
      </c>
      <c r="K1142" s="517">
        <f t="shared" si="920"/>
        <v>0</v>
      </c>
      <c r="L1142" s="517">
        <f t="shared" si="920"/>
        <v>0</v>
      </c>
      <c r="M1142" s="517">
        <f t="shared" si="920"/>
        <v>0</v>
      </c>
      <c r="N1142" s="517">
        <f t="shared" si="920"/>
        <v>0</v>
      </c>
      <c r="O1142" s="517">
        <f t="shared" si="920"/>
        <v>0</v>
      </c>
      <c r="P1142" s="511">
        <f t="shared" si="905"/>
        <v>0</v>
      </c>
      <c r="Q1142" s="530">
        <v>29061</v>
      </c>
      <c r="R1142" s="480"/>
      <c r="U1142" s="513"/>
    </row>
    <row r="1143" spans="1:21" s="479" customFormat="1" ht="18" x14ac:dyDescent="0.15">
      <c r="A1143" s="579"/>
      <c r="B1143" s="528" t="s">
        <v>408</v>
      </c>
      <c r="C1143" s="519">
        <f>'FOND GASO Y D'!H89</f>
        <v>941245.67497043405</v>
      </c>
      <c r="D1143" s="517">
        <f t="shared" ref="D1143:O1143" si="921">$C1143*D$30%</f>
        <v>73220.25651855371</v>
      </c>
      <c r="E1143" s="517">
        <f t="shared" si="921"/>
        <v>80504.00562533128</v>
      </c>
      <c r="F1143" s="517">
        <f t="shared" si="921"/>
        <v>78378.955729925903</v>
      </c>
      <c r="G1143" s="517">
        <f t="shared" si="921"/>
        <v>73032.857277576855</v>
      </c>
      <c r="H1143" s="517">
        <f t="shared" si="921"/>
        <v>80471.769776626446</v>
      </c>
      <c r="I1143" s="517">
        <f t="shared" si="921"/>
        <v>77664.819799617311</v>
      </c>
      <c r="J1143" s="517">
        <f t="shared" si="921"/>
        <v>79284.023447056767</v>
      </c>
      <c r="K1143" s="517">
        <f t="shared" si="921"/>
        <v>79236.910484758613</v>
      </c>
      <c r="L1143" s="517">
        <f t="shared" si="921"/>
        <v>82455.479944604987</v>
      </c>
      <c r="M1143" s="517">
        <f t="shared" si="921"/>
        <v>81731.425939195033</v>
      </c>
      <c r="N1143" s="517">
        <f t="shared" si="921"/>
        <v>76385.327486845985</v>
      </c>
      <c r="O1143" s="517">
        <f t="shared" si="921"/>
        <v>78879.84294128239</v>
      </c>
      <c r="P1143" s="511">
        <f t="shared" si="905"/>
        <v>-9.4120332505553961E-7</v>
      </c>
      <c r="Q1143" s="530">
        <v>57523</v>
      </c>
      <c r="R1143" s="480"/>
      <c r="U1143" s="513"/>
    </row>
    <row r="1144" spans="1:21" s="479" customFormat="1" x14ac:dyDescent="0.15">
      <c r="A1144" s="579"/>
      <c r="B1144" s="534"/>
      <c r="C1144" s="521"/>
      <c r="D1144" s="522"/>
      <c r="E1144" s="522"/>
      <c r="F1144" s="522"/>
      <c r="G1144" s="522"/>
      <c r="H1144" s="522"/>
      <c r="I1144" s="522"/>
      <c r="J1144" s="522"/>
      <c r="K1144" s="522"/>
      <c r="L1144" s="522"/>
      <c r="M1144" s="522"/>
      <c r="N1144" s="522"/>
      <c r="O1144" s="522"/>
      <c r="P1144" s="511">
        <f t="shared" si="905"/>
        <v>0</v>
      </c>
      <c r="Q1144" s="530">
        <v>0</v>
      </c>
      <c r="R1144" s="480"/>
      <c r="U1144" s="513"/>
    </row>
    <row r="1145" spans="1:21" s="479" customFormat="1" x14ac:dyDescent="0.15">
      <c r="A1145" s="591"/>
      <c r="B1145" s="532"/>
      <c r="C1145" s="521"/>
      <c r="D1145" s="521"/>
      <c r="E1145" s="521"/>
      <c r="F1145" s="521"/>
      <c r="G1145" s="521"/>
      <c r="H1145" s="521"/>
      <c r="I1145" s="521"/>
      <c r="J1145" s="521"/>
      <c r="K1145" s="521"/>
      <c r="L1145" s="521"/>
      <c r="M1145" s="521"/>
      <c r="N1145" s="521"/>
      <c r="O1145" s="521"/>
      <c r="P1145" s="511">
        <f t="shared" si="905"/>
        <v>0</v>
      </c>
      <c r="Q1145" s="530">
        <v>0</v>
      </c>
      <c r="R1145" s="480"/>
      <c r="U1145" s="513"/>
    </row>
    <row r="1146" spans="1:21" s="479" customFormat="1" x14ac:dyDescent="0.15">
      <c r="A1146" s="584">
        <v>75</v>
      </c>
      <c r="B1146" s="533" t="s">
        <v>146</v>
      </c>
      <c r="C1146" s="524">
        <f t="shared" ref="C1146:O1146" si="922">SUM(C1147:C1158)</f>
        <v>122829159.12210998</v>
      </c>
      <c r="D1146" s="524">
        <f t="shared" si="922"/>
        <v>9587019.9312253557</v>
      </c>
      <c r="E1146" s="524">
        <f t="shared" si="922"/>
        <v>12840613.753601208</v>
      </c>
      <c r="F1146" s="524">
        <f t="shared" si="922"/>
        <v>8571853.5682011861</v>
      </c>
      <c r="G1146" s="524">
        <f t="shared" si="922"/>
        <v>10778728.874876488</v>
      </c>
      <c r="H1146" s="524">
        <f t="shared" si="922"/>
        <v>12387825.408046659</v>
      </c>
      <c r="I1146" s="524">
        <f t="shared" si="922"/>
        <v>12148472.195181742</v>
      </c>
      <c r="J1146" s="524">
        <f t="shared" si="922"/>
        <v>10526040.939100772</v>
      </c>
      <c r="K1146" s="524">
        <f t="shared" si="922"/>
        <v>10235802.48165944</v>
      </c>
      <c r="L1146" s="524">
        <f t="shared" si="922"/>
        <v>9687077.9980460517</v>
      </c>
      <c r="M1146" s="524">
        <f t="shared" si="922"/>
        <v>7186528.6463209372</v>
      </c>
      <c r="N1146" s="524">
        <f t="shared" si="922"/>
        <v>9384188.2346954327</v>
      </c>
      <c r="O1146" s="524">
        <f t="shared" si="922"/>
        <v>9495007.0907935705</v>
      </c>
      <c r="P1146" s="511">
        <f t="shared" si="905"/>
        <v>3.6113336682319641E-4</v>
      </c>
      <c r="Q1146" s="530">
        <v>7401672</v>
      </c>
      <c r="R1146" s="480"/>
      <c r="T1146" s="512"/>
      <c r="U1146" s="513"/>
    </row>
    <row r="1147" spans="1:21" s="479" customFormat="1" x14ac:dyDescent="0.15">
      <c r="A1147" s="579"/>
      <c r="B1147" s="527" t="s">
        <v>294</v>
      </c>
      <c r="C1147" s="515">
        <f>'FG1'!I90</f>
        <v>85385878.031554997</v>
      </c>
      <c r="D1147" s="515">
        <f t="shared" ref="D1147:O1147" si="923">$C1147*D$19%</f>
        <v>6458135.1485030074</v>
      </c>
      <c r="E1147" s="515">
        <f t="shared" si="923"/>
        <v>9252891.2483111899</v>
      </c>
      <c r="F1147" s="515">
        <f t="shared" si="923"/>
        <v>5981029.6466602143</v>
      </c>
      <c r="G1147" s="515">
        <f t="shared" si="923"/>
        <v>7347088.9233955946</v>
      </c>
      <c r="H1147" s="515">
        <f t="shared" si="923"/>
        <v>8972400.9350891765</v>
      </c>
      <c r="I1147" s="515">
        <f t="shared" si="923"/>
        <v>8796119.5962444395</v>
      </c>
      <c r="J1147" s="515">
        <f t="shared" si="923"/>
        <v>6818783.5265300851</v>
      </c>
      <c r="K1147" s="515">
        <f t="shared" si="923"/>
        <v>7239739.280614797</v>
      </c>
      <c r="L1147" s="515">
        <f t="shared" si="923"/>
        <v>6803559.2314787023</v>
      </c>
      <c r="M1147" s="515">
        <f t="shared" si="923"/>
        <v>4510236.9063878097</v>
      </c>
      <c r="N1147" s="515">
        <f t="shared" si="923"/>
        <v>6582460.8753898367</v>
      </c>
      <c r="O1147" s="515">
        <f t="shared" si="923"/>
        <v>6623432.7128647594</v>
      </c>
      <c r="P1147" s="511">
        <f t="shared" si="905"/>
        <v>8.5377134382724762E-5</v>
      </c>
      <c r="Q1147" s="530">
        <v>5099249</v>
      </c>
      <c r="R1147" s="480"/>
      <c r="U1147" s="513"/>
    </row>
    <row r="1148" spans="1:21" s="479" customFormat="1" x14ac:dyDescent="0.15">
      <c r="A1148" s="579"/>
      <c r="B1148" s="528" t="s">
        <v>296</v>
      </c>
      <c r="C1148" s="517">
        <f>FFM!J90</f>
        <v>22951373.55733313</v>
      </c>
      <c r="D1148" s="517">
        <f t="shared" ref="D1148:O1148" si="924">$C1148*D$20%</f>
        <v>1735654.934341419</v>
      </c>
      <c r="E1148" s="517">
        <f t="shared" si="924"/>
        <v>2488343.3586532562</v>
      </c>
      <c r="F1148" s="517">
        <f t="shared" si="924"/>
        <v>1607160.0840457065</v>
      </c>
      <c r="G1148" s="517">
        <f t="shared" si="924"/>
        <v>1975069.4696801316</v>
      </c>
      <c r="H1148" s="517">
        <f t="shared" si="924"/>
        <v>2412801.24098319</v>
      </c>
      <c r="I1148" s="517">
        <f t="shared" si="924"/>
        <v>2365324.8466425356</v>
      </c>
      <c r="J1148" s="517">
        <f t="shared" si="924"/>
        <v>1832624.6767404696</v>
      </c>
      <c r="K1148" s="517">
        <f t="shared" si="924"/>
        <v>1945997.1907283789</v>
      </c>
      <c r="L1148" s="517">
        <f t="shared" si="924"/>
        <v>1828524.4341434662</v>
      </c>
      <c r="M1148" s="517">
        <f t="shared" si="924"/>
        <v>1210882.9977319604</v>
      </c>
      <c r="N1148" s="517">
        <f t="shared" si="924"/>
        <v>1768977.8575493244</v>
      </c>
      <c r="O1148" s="517">
        <f t="shared" si="924"/>
        <v>1780012.4658178755</v>
      </c>
      <c r="P1148" s="511">
        <f t="shared" si="905"/>
        <v>2.7541536837816238E-4</v>
      </c>
      <c r="Q1148" s="530">
        <v>1561225</v>
      </c>
      <c r="R1148" s="480"/>
      <c r="U1148" s="513"/>
    </row>
    <row r="1149" spans="1:21" s="479" customFormat="1" ht="18" x14ac:dyDescent="0.15">
      <c r="A1149" s="579"/>
      <c r="B1149" s="528" t="s">
        <v>297</v>
      </c>
      <c r="C1149" s="517">
        <f>IEPS!I89</f>
        <v>2064972.126622383</v>
      </c>
      <c r="D1149" s="517">
        <f t="shared" ref="D1149:O1149" si="925">$C1149*D$21%</f>
        <v>145043.27239113758</v>
      </c>
      <c r="E1149" s="517">
        <f t="shared" si="925"/>
        <v>331526.37630529114</v>
      </c>
      <c r="F1149" s="517">
        <f t="shared" si="925"/>
        <v>137702.73404858864</v>
      </c>
      <c r="G1149" s="517">
        <f t="shared" si="925"/>
        <v>133827.77474447462</v>
      </c>
      <c r="H1149" s="517">
        <f t="shared" si="925"/>
        <v>147753.22553566628</v>
      </c>
      <c r="I1149" s="517">
        <f t="shared" si="925"/>
        <v>153223.03854602351</v>
      </c>
      <c r="J1149" s="517">
        <f t="shared" si="925"/>
        <v>157791.40505388816</v>
      </c>
      <c r="K1149" s="517">
        <f t="shared" si="925"/>
        <v>174786.6816043061</v>
      </c>
      <c r="L1149" s="517">
        <f t="shared" si="925"/>
        <v>175152.93918922314</v>
      </c>
      <c r="M1149" s="517">
        <f t="shared" si="925"/>
        <v>173206.24498003846</v>
      </c>
      <c r="N1149" s="517">
        <f t="shared" si="925"/>
        <v>167606.33542587855</v>
      </c>
      <c r="O1149" s="517">
        <f t="shared" si="925"/>
        <v>167352.09879580184</v>
      </c>
      <c r="P1149" s="511">
        <f t="shared" si="905"/>
        <v>2.0648585632443428E-6</v>
      </c>
      <c r="Q1149" s="530">
        <v>131693</v>
      </c>
      <c r="R1149" s="480"/>
      <c r="U1149" s="513"/>
    </row>
    <row r="1150" spans="1:21" s="479" customFormat="1" x14ac:dyDescent="0.15">
      <c r="A1150" s="579"/>
      <c r="B1150" s="528" t="s">
        <v>236</v>
      </c>
      <c r="C1150" s="517">
        <f>ISR!C80</f>
        <v>3322243.37</v>
      </c>
      <c r="D1150" s="517">
        <f>ISR!D80</f>
        <v>274221.15948631731</v>
      </c>
      <c r="E1150" s="517">
        <f>ISR!E80</f>
        <v>175968.37995442864</v>
      </c>
      <c r="F1150" s="517">
        <f>ISR!F80</f>
        <v>291437.02030713263</v>
      </c>
      <c r="G1150" s="517">
        <f>ISR!G80</f>
        <v>148610.87030369986</v>
      </c>
      <c r="H1150" s="517">
        <f>ISR!H80</f>
        <v>293461.77732191578</v>
      </c>
      <c r="I1150" s="517">
        <f>ISR!I80</f>
        <v>295101.72559420048</v>
      </c>
      <c r="J1150" s="517">
        <f>ISR!J80</f>
        <v>320284.66719298996</v>
      </c>
      <c r="K1150" s="517">
        <f>ISR!K80</f>
        <v>320681.64545951551</v>
      </c>
      <c r="L1150" s="517">
        <f>ISR!L80</f>
        <v>317170.94759719889</v>
      </c>
      <c r="M1150" s="517">
        <f>ISR!M80</f>
        <v>295101.72559420048</v>
      </c>
      <c r="N1150" s="517">
        <f>ISR!N80</f>
        <v>295101.72559420048</v>
      </c>
      <c r="O1150" s="517">
        <f>ISR!O80</f>
        <v>295101.72559420048</v>
      </c>
      <c r="P1150" s="511">
        <f t="shared" si="905"/>
        <v>5.8207660913467407E-10</v>
      </c>
      <c r="Q1150" s="530">
        <v>0</v>
      </c>
      <c r="R1150" s="480"/>
      <c r="U1150" s="513"/>
    </row>
    <row r="1151" spans="1:21" s="479" customFormat="1" ht="18" x14ac:dyDescent="0.15">
      <c r="A1151" s="579"/>
      <c r="B1151" s="528" t="s">
        <v>298</v>
      </c>
      <c r="C1151" s="517">
        <f>FOFIR!I89</f>
        <v>3993645.9297753163</v>
      </c>
      <c r="D1151" s="517">
        <f t="shared" ref="D1151:O1151" si="926">$C1151*D$23%</f>
        <v>545993.28248823772</v>
      </c>
      <c r="E1151" s="517">
        <f t="shared" si="926"/>
        <v>138912.05472358479</v>
      </c>
      <c r="F1151" s="517">
        <f t="shared" si="926"/>
        <v>138912.05472358479</v>
      </c>
      <c r="G1151" s="517">
        <f t="shared" si="926"/>
        <v>783927.17827875994</v>
      </c>
      <c r="H1151" s="517">
        <f t="shared" si="926"/>
        <v>138912.05472358479</v>
      </c>
      <c r="I1151" s="517">
        <f t="shared" si="926"/>
        <v>138912.05472358479</v>
      </c>
      <c r="J1151" s="517">
        <f t="shared" si="926"/>
        <v>975079.09421050968</v>
      </c>
      <c r="K1151" s="517">
        <f t="shared" si="926"/>
        <v>138912.05472358479</v>
      </c>
      <c r="L1151" s="517">
        <f t="shared" si="926"/>
        <v>138912.05472358479</v>
      </c>
      <c r="M1151" s="517">
        <f t="shared" si="926"/>
        <v>577349.93702510512</v>
      </c>
      <c r="N1151" s="517">
        <f t="shared" si="926"/>
        <v>138912.05472358479</v>
      </c>
      <c r="O1151" s="517">
        <f t="shared" si="926"/>
        <v>138912.05472358479</v>
      </c>
      <c r="P1151" s="511">
        <f t="shared" si="905"/>
        <v>-1.5974976122379303E-5</v>
      </c>
      <c r="Q1151" s="530">
        <v>155118</v>
      </c>
      <c r="R1151" s="480"/>
      <c r="U1151" s="513"/>
    </row>
    <row r="1152" spans="1:21" s="479" customFormat="1" ht="27" x14ac:dyDescent="0.15">
      <c r="A1152" s="579"/>
      <c r="B1152" s="528" t="s">
        <v>407</v>
      </c>
      <c r="C1152" s="517">
        <f>FCISAN!I89</f>
        <v>253521.63087160158</v>
      </c>
      <c r="D1152" s="517">
        <f t="shared" ref="D1152:O1152" si="927">$C1152*D$24%</f>
        <v>21126.802572548961</v>
      </c>
      <c r="E1152" s="517">
        <f t="shared" si="927"/>
        <v>21126.802572548961</v>
      </c>
      <c r="F1152" s="517">
        <f t="shared" si="927"/>
        <v>21126.802572548961</v>
      </c>
      <c r="G1152" s="517">
        <f t="shared" si="927"/>
        <v>21126.802572548961</v>
      </c>
      <c r="H1152" s="517">
        <f t="shared" si="927"/>
        <v>21126.802572548961</v>
      </c>
      <c r="I1152" s="517">
        <f t="shared" si="927"/>
        <v>21126.802572548961</v>
      </c>
      <c r="J1152" s="517">
        <f t="shared" si="927"/>
        <v>21126.802572548961</v>
      </c>
      <c r="K1152" s="517">
        <f t="shared" si="927"/>
        <v>21126.802572548961</v>
      </c>
      <c r="L1152" s="517">
        <f t="shared" si="927"/>
        <v>21126.802572548961</v>
      </c>
      <c r="M1152" s="517">
        <f t="shared" si="927"/>
        <v>21126.802572548961</v>
      </c>
      <c r="N1152" s="517">
        <f t="shared" si="927"/>
        <v>21126.802572548961</v>
      </c>
      <c r="O1152" s="517">
        <f t="shared" si="927"/>
        <v>21126.802572548961</v>
      </c>
      <c r="P1152" s="511">
        <f t="shared" si="905"/>
        <v>1.0140138329006732E-6</v>
      </c>
      <c r="Q1152" s="530">
        <v>18456</v>
      </c>
      <c r="R1152" s="480"/>
      <c r="U1152" s="513"/>
    </row>
    <row r="1153" spans="1:21" s="479" customFormat="1" ht="27" x14ac:dyDescent="0.15">
      <c r="A1153" s="579"/>
      <c r="B1153" s="528" t="s">
        <v>242</v>
      </c>
      <c r="C1153" s="517">
        <f>ISAN!I89</f>
        <v>1266370.2780642004</v>
      </c>
      <c r="D1153" s="517">
        <f t="shared" ref="D1153:O1153" si="928">$C1153*D$25%</f>
        <v>121867.38032055538</v>
      </c>
      <c r="E1153" s="517">
        <f t="shared" si="928"/>
        <v>136113.13777006636</v>
      </c>
      <c r="F1153" s="517">
        <f t="shared" si="928"/>
        <v>105635.81265305245</v>
      </c>
      <c r="G1153" s="517">
        <f t="shared" si="928"/>
        <v>98040.930552522186</v>
      </c>
      <c r="H1153" s="517">
        <f t="shared" si="928"/>
        <v>104827.4303731028</v>
      </c>
      <c r="I1153" s="517">
        <f t="shared" si="928"/>
        <v>91045.81292445623</v>
      </c>
      <c r="J1153" s="517">
        <f t="shared" si="928"/>
        <v>98634.178816677435</v>
      </c>
      <c r="K1153" s="517">
        <f t="shared" si="928"/>
        <v>101717.76547980649</v>
      </c>
      <c r="L1153" s="517">
        <f t="shared" si="928"/>
        <v>99951.058461971392</v>
      </c>
      <c r="M1153" s="517">
        <f t="shared" si="928"/>
        <v>102402.28353198759</v>
      </c>
      <c r="N1153" s="517">
        <f t="shared" si="928"/>
        <v>99149.19506997033</v>
      </c>
      <c r="O1153" s="517">
        <f t="shared" si="928"/>
        <v>106985.29209483537</v>
      </c>
      <c r="P1153" s="511">
        <f t="shared" si="905"/>
        <v>1.519650686532259E-5</v>
      </c>
      <c r="Q1153" s="530">
        <v>79269</v>
      </c>
      <c r="R1153" s="480"/>
      <c r="U1153" s="513"/>
    </row>
    <row r="1154" spans="1:21" s="479" customFormat="1" ht="18" x14ac:dyDescent="0.15">
      <c r="A1154" s="579"/>
      <c r="B1154" s="528" t="s">
        <v>403</v>
      </c>
      <c r="C1154" s="517">
        <f>LOT!I89</f>
        <v>61301.17974749612</v>
      </c>
      <c r="D1154" s="517">
        <f t="shared" ref="D1154:O1154" si="929">$C1154*D$26%</f>
        <v>4635.0060433729359</v>
      </c>
      <c r="E1154" s="517">
        <f t="shared" si="929"/>
        <v>4569.3079177063646</v>
      </c>
      <c r="F1154" s="517">
        <f t="shared" si="929"/>
        <v>4491.0688129318623</v>
      </c>
      <c r="G1154" s="517">
        <f t="shared" si="929"/>
        <v>4941.178535598875</v>
      </c>
      <c r="H1154" s="517">
        <f t="shared" si="929"/>
        <v>4042.7834312740811</v>
      </c>
      <c r="I1154" s="517">
        <f t="shared" si="929"/>
        <v>5486.263234045743</v>
      </c>
      <c r="J1154" s="517">
        <f t="shared" si="929"/>
        <v>12590.968223189579</v>
      </c>
      <c r="K1154" s="517">
        <f t="shared" si="929"/>
        <v>4583.5639958722522</v>
      </c>
      <c r="L1154" s="517">
        <f t="shared" si="929"/>
        <v>5561.5855779917829</v>
      </c>
      <c r="M1154" s="517">
        <f t="shared" si="929"/>
        <v>3443.3836212663159</v>
      </c>
      <c r="N1154" s="517">
        <f t="shared" si="929"/>
        <v>3478.035176755358</v>
      </c>
      <c r="O1154" s="517">
        <f t="shared" si="929"/>
        <v>3478.035176755358</v>
      </c>
      <c r="P1154" s="511">
        <f t="shared" si="905"/>
        <v>7.356147762038745E-7</v>
      </c>
      <c r="Q1154" s="530">
        <v>3873</v>
      </c>
      <c r="R1154" s="480"/>
      <c r="U1154" s="513"/>
    </row>
    <row r="1155" spans="1:21" s="479" customFormat="1" ht="45" x14ac:dyDescent="0.15">
      <c r="A1155" s="579"/>
      <c r="B1155" s="518" t="s">
        <v>301</v>
      </c>
      <c r="C1155" s="517">
        <f>'ENAJENAC DE INMUE'!I89</f>
        <v>241043.51515310319</v>
      </c>
      <c r="D1155" s="517">
        <f t="shared" ref="D1155:O1155" si="930">$C1155*D$27%</f>
        <v>10409.637186042279</v>
      </c>
      <c r="E1155" s="517">
        <f t="shared" si="930"/>
        <v>10562.960712336257</v>
      </c>
      <c r="F1155" s="517">
        <f t="shared" si="930"/>
        <v>10420.557875096672</v>
      </c>
      <c r="G1155" s="517">
        <f t="shared" si="930"/>
        <v>10359.517149670082</v>
      </c>
      <c r="H1155" s="517">
        <f t="shared" si="930"/>
        <v>14370.628703803766</v>
      </c>
      <c r="I1155" s="517">
        <f t="shared" si="930"/>
        <v>10343.656486373009</v>
      </c>
      <c r="J1155" s="517">
        <f t="shared" si="930"/>
        <v>11887.747214884494</v>
      </c>
      <c r="K1155" s="517">
        <f t="shared" si="930"/>
        <v>11875.510711704537</v>
      </c>
      <c r="L1155" s="517">
        <f t="shared" si="930"/>
        <v>11860.46676048203</v>
      </c>
      <c r="M1155" s="517">
        <f t="shared" si="930"/>
        <v>10357.821337674188</v>
      </c>
      <c r="N1155" s="517">
        <f t="shared" si="930"/>
        <v>43064.012033424937</v>
      </c>
      <c r="O1155" s="517">
        <f t="shared" si="930"/>
        <v>85530.99898112884</v>
      </c>
      <c r="P1155" s="511">
        <f t="shared" si="905"/>
        <v>4.821049515157938E-7</v>
      </c>
      <c r="Q1155" s="530">
        <v>56499</v>
      </c>
      <c r="R1155" s="480"/>
      <c r="U1155" s="513"/>
    </row>
    <row r="1156" spans="1:21" s="479" customFormat="1" ht="27" x14ac:dyDescent="0.15">
      <c r="A1156" s="579"/>
      <c r="B1156" s="518" t="s">
        <v>248</v>
      </c>
      <c r="C1156" s="517">
        <f>'IMP BEBIDAS AL'!I89</f>
        <v>94212.543532477925</v>
      </c>
      <c r="D1156" s="517">
        <f t="shared" ref="D1156:O1156" si="931">$C1156*D$28%</f>
        <v>21423.046369281354</v>
      </c>
      <c r="E1156" s="517">
        <f t="shared" si="931"/>
        <v>7368.7499706402932</v>
      </c>
      <c r="F1156" s="517">
        <f t="shared" si="931"/>
        <v>7918.8497694026846</v>
      </c>
      <c r="G1156" s="517">
        <f t="shared" si="931"/>
        <v>7862.0029833960998</v>
      </c>
      <c r="H1156" s="517">
        <f t="shared" si="931"/>
        <v>5006.5613857215576</v>
      </c>
      <c r="I1156" s="517">
        <f t="shared" si="931"/>
        <v>8193.2457616606407</v>
      </c>
      <c r="J1156" s="517">
        <f t="shared" si="931"/>
        <v>8147.1271933118487</v>
      </c>
      <c r="K1156" s="517">
        <f t="shared" si="931"/>
        <v>7451.1422681684717</v>
      </c>
      <c r="L1156" s="517">
        <f t="shared" si="931"/>
        <v>5403.7780441402729</v>
      </c>
      <c r="M1156" s="517">
        <f t="shared" si="931"/>
        <v>5023.2903658453843</v>
      </c>
      <c r="N1156" s="517">
        <f t="shared" si="931"/>
        <v>5058.7980402418725</v>
      </c>
      <c r="O1156" s="517">
        <f t="shared" si="931"/>
        <v>5355.9513806674522</v>
      </c>
      <c r="P1156" s="511">
        <f t="shared" si="905"/>
        <v>0</v>
      </c>
      <c r="Q1156" s="530">
        <v>2419</v>
      </c>
      <c r="R1156" s="480"/>
      <c r="U1156" s="513"/>
    </row>
    <row r="1157" spans="1:21" s="479" customFormat="1" ht="18" x14ac:dyDescent="0.15">
      <c r="A1157" s="579"/>
      <c r="B1157" s="518" t="s">
        <v>253</v>
      </c>
      <c r="C1157" s="517">
        <f>'FOND GASO Y D'!Q90</f>
        <v>0</v>
      </c>
      <c r="D1157" s="517">
        <f t="shared" ref="D1157:O1157" si="932">$C1157*D$29%</f>
        <v>0</v>
      </c>
      <c r="E1157" s="517">
        <f t="shared" si="932"/>
        <v>0</v>
      </c>
      <c r="F1157" s="517">
        <f t="shared" si="932"/>
        <v>0</v>
      </c>
      <c r="G1157" s="517">
        <f t="shared" si="932"/>
        <v>0</v>
      </c>
      <c r="H1157" s="517">
        <f t="shared" si="932"/>
        <v>0</v>
      </c>
      <c r="I1157" s="517">
        <f t="shared" si="932"/>
        <v>0</v>
      </c>
      <c r="J1157" s="517">
        <f t="shared" si="932"/>
        <v>0</v>
      </c>
      <c r="K1157" s="517">
        <f t="shared" si="932"/>
        <v>0</v>
      </c>
      <c r="L1157" s="517">
        <f t="shared" si="932"/>
        <v>0</v>
      </c>
      <c r="M1157" s="517">
        <f t="shared" si="932"/>
        <v>0</v>
      </c>
      <c r="N1157" s="517">
        <f t="shared" si="932"/>
        <v>0</v>
      </c>
      <c r="O1157" s="517">
        <f t="shared" si="932"/>
        <v>0</v>
      </c>
      <c r="P1157" s="511">
        <f t="shared" si="905"/>
        <v>0</v>
      </c>
      <c r="Q1157" s="530">
        <v>98634</v>
      </c>
      <c r="R1157" s="480"/>
      <c r="U1157" s="513"/>
    </row>
    <row r="1158" spans="1:21" s="479" customFormat="1" ht="18" x14ac:dyDescent="0.15">
      <c r="A1158" s="579"/>
      <c r="B1158" s="528" t="s">
        <v>408</v>
      </c>
      <c r="C1158" s="519">
        <f>'FOND GASO Y D'!H90</f>
        <v>3194596.9594552629</v>
      </c>
      <c r="D1158" s="517">
        <f t="shared" ref="D1158:O1158" si="933">$C1158*D$30%</f>
        <v>248510.26152343649</v>
      </c>
      <c r="E1158" s="517">
        <f t="shared" si="933"/>
        <v>273231.37671015703</v>
      </c>
      <c r="F1158" s="517">
        <f t="shared" si="933"/>
        <v>266018.93673292582</v>
      </c>
      <c r="G1158" s="517">
        <f t="shared" si="933"/>
        <v>247874.22668009158</v>
      </c>
      <c r="H1158" s="517">
        <f t="shared" si="933"/>
        <v>273121.96792667318</v>
      </c>
      <c r="I1158" s="517">
        <f t="shared" si="933"/>
        <v>263595.15245187376</v>
      </c>
      <c r="J1158" s="517">
        <f t="shared" si="933"/>
        <v>269090.74535221979</v>
      </c>
      <c r="K1158" s="517">
        <f t="shared" si="933"/>
        <v>268930.84350075753</v>
      </c>
      <c r="L1158" s="517">
        <f t="shared" si="933"/>
        <v>279854.69949674263</v>
      </c>
      <c r="M1158" s="517">
        <f t="shared" si="933"/>
        <v>277397.2531725014</v>
      </c>
      <c r="N1158" s="517">
        <f t="shared" si="933"/>
        <v>259252.54311966721</v>
      </c>
      <c r="O1158" s="517">
        <f t="shared" si="933"/>
        <v>267718.95279141096</v>
      </c>
      <c r="P1158" s="511">
        <f t="shared" si="905"/>
        <v>-3.1943200156092644E-6</v>
      </c>
      <c r="Q1158" s="530">
        <v>195237</v>
      </c>
      <c r="R1158" s="480"/>
      <c r="U1158" s="513"/>
    </row>
    <row r="1159" spans="1:21" s="479" customFormat="1" x14ac:dyDescent="0.15">
      <c r="A1159" s="579"/>
      <c r="B1159" s="534"/>
      <c r="C1159" s="521"/>
      <c r="D1159" s="522"/>
      <c r="E1159" s="522"/>
      <c r="F1159" s="522"/>
      <c r="G1159" s="522"/>
      <c r="H1159" s="522"/>
      <c r="I1159" s="522"/>
      <c r="J1159" s="522"/>
      <c r="K1159" s="522"/>
      <c r="L1159" s="522"/>
      <c r="M1159" s="522"/>
      <c r="N1159" s="522"/>
      <c r="O1159" s="522"/>
      <c r="P1159" s="511">
        <f t="shared" si="905"/>
        <v>0</v>
      </c>
      <c r="Q1159" s="530">
        <v>0</v>
      </c>
      <c r="R1159" s="480"/>
      <c r="U1159" s="513"/>
    </row>
    <row r="1160" spans="1:21" s="479" customFormat="1" x14ac:dyDescent="0.15">
      <c r="A1160" s="591"/>
      <c r="B1160" s="532"/>
      <c r="C1160" s="521"/>
      <c r="D1160" s="522"/>
      <c r="E1160" s="522"/>
      <c r="F1160" s="522"/>
      <c r="G1160" s="522"/>
      <c r="H1160" s="522"/>
      <c r="I1160" s="522"/>
      <c r="J1160" s="522"/>
      <c r="K1160" s="522"/>
      <c r="L1160" s="522"/>
      <c r="M1160" s="522"/>
      <c r="N1160" s="522"/>
      <c r="O1160" s="522"/>
      <c r="P1160" s="511">
        <f t="shared" si="905"/>
        <v>0</v>
      </c>
      <c r="Q1160" s="530">
        <v>0</v>
      </c>
      <c r="R1160" s="480"/>
      <c r="U1160" s="513"/>
    </row>
    <row r="1161" spans="1:21" s="479" customFormat="1" x14ac:dyDescent="0.15">
      <c r="A1161" s="584">
        <v>76</v>
      </c>
      <c r="B1161" s="533" t="s">
        <v>148</v>
      </c>
      <c r="C1161" s="524">
        <f t="shared" ref="C1161:O1161" si="934">SUM(C1162:C1173)</f>
        <v>156816840.35544276</v>
      </c>
      <c r="D1161" s="524">
        <f t="shared" si="934"/>
        <v>12257980.436151395</v>
      </c>
      <c r="E1161" s="524">
        <f t="shared" si="934"/>
        <v>16202977.450292142</v>
      </c>
      <c r="F1161" s="524">
        <f t="shared" si="934"/>
        <v>11004463.852356806</v>
      </c>
      <c r="G1161" s="524">
        <f t="shared" si="934"/>
        <v>13597530.391238227</v>
      </c>
      <c r="H1161" s="524">
        <f t="shared" si="934"/>
        <v>15778086.200547284</v>
      </c>
      <c r="I1161" s="524">
        <f t="shared" si="934"/>
        <v>15483112.585981894</v>
      </c>
      <c r="J1161" s="524">
        <f t="shared" si="934"/>
        <v>13482691.378300512</v>
      </c>
      <c r="K1161" s="524">
        <f t="shared" si="934"/>
        <v>13120181.142929688</v>
      </c>
      <c r="L1161" s="524">
        <f t="shared" si="934"/>
        <v>12426821.994023724</v>
      </c>
      <c r="M1161" s="524">
        <f t="shared" si="934"/>
        <v>9273209.5862673838</v>
      </c>
      <c r="N1161" s="524">
        <f t="shared" si="934"/>
        <v>12026668.476627406</v>
      </c>
      <c r="O1161" s="524">
        <f t="shared" si="934"/>
        <v>12163116.860273791</v>
      </c>
      <c r="P1161" s="511">
        <f t="shared" si="905"/>
        <v>4.5253150165081024E-4</v>
      </c>
      <c r="Q1161" s="530">
        <v>9149067</v>
      </c>
      <c r="R1161" s="480"/>
      <c r="T1161" s="512"/>
      <c r="U1161" s="513"/>
    </row>
    <row r="1162" spans="1:21" s="479" customFormat="1" x14ac:dyDescent="0.15">
      <c r="A1162" s="579"/>
      <c r="B1162" s="527" t="s">
        <v>294</v>
      </c>
      <c r="C1162" s="515">
        <f>'FG1'!I91</f>
        <v>106800265.61614913</v>
      </c>
      <c r="D1162" s="515">
        <f t="shared" ref="D1162:O1162" si="935">$C1162*D$19%</f>
        <v>8077805.8988889791</v>
      </c>
      <c r="E1162" s="515">
        <f t="shared" si="935"/>
        <v>11573474.04300013</v>
      </c>
      <c r="F1162" s="515">
        <f t="shared" si="935"/>
        <v>7481044.5198597023</v>
      </c>
      <c r="G1162" s="515">
        <f t="shared" si="935"/>
        <v>9189705.2137138601</v>
      </c>
      <c r="H1162" s="515">
        <f t="shared" si="935"/>
        <v>11222638.042417021</v>
      </c>
      <c r="I1162" s="515">
        <f t="shared" si="935"/>
        <v>11002146.150246857</v>
      </c>
      <c r="J1162" s="515">
        <f t="shared" si="935"/>
        <v>8528903.2402208913</v>
      </c>
      <c r="K1162" s="515">
        <f t="shared" si="935"/>
        <v>9055432.7716298066</v>
      </c>
      <c r="L1162" s="515">
        <f t="shared" si="935"/>
        <v>8509860.7616191544</v>
      </c>
      <c r="M1162" s="515">
        <f t="shared" si="935"/>
        <v>5641383.6889510341</v>
      </c>
      <c r="N1162" s="515">
        <f t="shared" si="935"/>
        <v>8233311.9493101882</v>
      </c>
      <c r="O1162" s="515">
        <f t="shared" si="935"/>
        <v>8284559.3361847056</v>
      </c>
      <c r="P1162" s="511">
        <f t="shared" si="905"/>
        <v>1.0680779814720154E-4</v>
      </c>
      <c r="Q1162" s="530">
        <v>6353859</v>
      </c>
      <c r="R1162" s="480"/>
      <c r="U1162" s="513"/>
    </row>
    <row r="1163" spans="1:21" s="479" customFormat="1" x14ac:dyDescent="0.15">
      <c r="A1163" s="579"/>
      <c r="B1163" s="528" t="s">
        <v>296</v>
      </c>
      <c r="C1163" s="517">
        <f>FFM!J91</f>
        <v>28707473.046922069</v>
      </c>
      <c r="D1163" s="517">
        <f t="shared" ref="D1163:O1163" si="936">$C1163*D$20%</f>
        <v>2170949.2515511657</v>
      </c>
      <c r="E1163" s="517">
        <f t="shared" si="936"/>
        <v>3112408.4892602079</v>
      </c>
      <c r="F1163" s="517">
        <f t="shared" si="936"/>
        <v>2010228.4806431492</v>
      </c>
      <c r="G1163" s="517">
        <f t="shared" si="936"/>
        <v>2470407.8570724679</v>
      </c>
      <c r="H1163" s="517">
        <f t="shared" si="936"/>
        <v>3017920.7540706969</v>
      </c>
      <c r="I1163" s="517">
        <f t="shared" si="936"/>
        <v>2958537.4972257521</v>
      </c>
      <c r="J1163" s="517">
        <f t="shared" si="936"/>
        <v>2292238.5617239899</v>
      </c>
      <c r="K1163" s="517">
        <f t="shared" si="936"/>
        <v>2434044.3835602961</v>
      </c>
      <c r="L1163" s="517">
        <f t="shared" si="936"/>
        <v>2287109.997041563</v>
      </c>
      <c r="M1163" s="517">
        <f t="shared" si="936"/>
        <v>1514566.9139814917</v>
      </c>
      <c r="N1163" s="517">
        <f t="shared" si="936"/>
        <v>2212629.4114529663</v>
      </c>
      <c r="O1163" s="517">
        <f t="shared" si="936"/>
        <v>2226431.4489938333</v>
      </c>
      <c r="P1163" s="511">
        <f t="shared" si="905"/>
        <v>3.4448690712451935E-4</v>
      </c>
      <c r="Q1163" s="530">
        <v>1945346</v>
      </c>
      <c r="R1163" s="480"/>
      <c r="U1163" s="513"/>
    </row>
    <row r="1164" spans="1:21" s="479" customFormat="1" ht="18" x14ac:dyDescent="0.15">
      <c r="A1164" s="579"/>
      <c r="B1164" s="528" t="s">
        <v>297</v>
      </c>
      <c r="C1164" s="517">
        <f>IEPS!I90</f>
        <v>2582857.6890866286</v>
      </c>
      <c r="D1164" s="517">
        <f t="shared" ref="D1164:O1164" si="937">$C1164*D$21%</f>
        <v>181419.46155878695</v>
      </c>
      <c r="E1164" s="517">
        <f t="shared" si="937"/>
        <v>414671.67480645387</v>
      </c>
      <c r="F1164" s="517">
        <f t="shared" si="937"/>
        <v>172237.94978162833</v>
      </c>
      <c r="G1164" s="517">
        <f t="shared" si="937"/>
        <v>167391.16841131551</v>
      </c>
      <c r="H1164" s="517">
        <f t="shared" si="937"/>
        <v>184809.0585543935</v>
      </c>
      <c r="I1164" s="517">
        <f t="shared" si="937"/>
        <v>191650.67564429369</v>
      </c>
      <c r="J1164" s="517">
        <f t="shared" si="937"/>
        <v>197364.76757283905</v>
      </c>
      <c r="K1164" s="517">
        <f t="shared" si="937"/>
        <v>218622.38173163193</v>
      </c>
      <c r="L1164" s="517">
        <f t="shared" si="937"/>
        <v>219080.49504328062</v>
      </c>
      <c r="M1164" s="517">
        <f t="shared" si="937"/>
        <v>216645.57883222392</v>
      </c>
      <c r="N1164" s="517">
        <f t="shared" si="937"/>
        <v>209641.2375805047</v>
      </c>
      <c r="O1164" s="517">
        <f t="shared" si="937"/>
        <v>209323.23956669364</v>
      </c>
      <c r="P1164" s="511">
        <f t="shared" si="905"/>
        <v>2.5829649530351162E-6</v>
      </c>
      <c r="Q1164" s="530">
        <v>164094</v>
      </c>
      <c r="R1164" s="480"/>
      <c r="U1164" s="513"/>
    </row>
    <row r="1165" spans="1:21" s="479" customFormat="1" x14ac:dyDescent="0.15">
      <c r="A1165" s="579"/>
      <c r="B1165" s="528" t="s">
        <v>236</v>
      </c>
      <c r="C1165" s="517">
        <f>ISR!C81</f>
        <v>8154419.3600000003</v>
      </c>
      <c r="D1165" s="517">
        <f>ISR!D81</f>
        <v>673073.60804120544</v>
      </c>
      <c r="E1165" s="517">
        <f>ISR!E81</f>
        <v>431912.95893781225</v>
      </c>
      <c r="F1165" s="517">
        <f>ISR!F81</f>
        <v>715329.79855512385</v>
      </c>
      <c r="G1165" s="517">
        <f>ISR!G81</f>
        <v>364764.17376699863</v>
      </c>
      <c r="H1165" s="517">
        <f>ISR!H81</f>
        <v>720299.54819771054</v>
      </c>
      <c r="I1165" s="517">
        <f>ISR!I81</f>
        <v>724324.78790822474</v>
      </c>
      <c r="J1165" s="517">
        <f>ISR!J81</f>
        <v>786136.11346289597</v>
      </c>
      <c r="K1165" s="517">
        <f>ISR!K81</f>
        <v>787110.4933928214</v>
      </c>
      <c r="L1165" s="517">
        <f>ISR!L81</f>
        <v>778493.51401253429</v>
      </c>
      <c r="M1165" s="517">
        <f>ISR!M81</f>
        <v>724324.78790822474</v>
      </c>
      <c r="N1165" s="517">
        <f>ISR!N81</f>
        <v>724324.78790822474</v>
      </c>
      <c r="O1165" s="517">
        <f>ISR!O81</f>
        <v>724324.78790822474</v>
      </c>
      <c r="P1165" s="511">
        <f t="shared" si="905"/>
        <v>-1.1641532182693481E-9</v>
      </c>
      <c r="Q1165" s="530">
        <v>0</v>
      </c>
      <c r="R1165" s="480"/>
      <c r="U1165" s="513"/>
    </row>
    <row r="1166" spans="1:21" s="479" customFormat="1" ht="18" x14ac:dyDescent="0.15">
      <c r="A1166" s="579"/>
      <c r="B1166" s="528" t="s">
        <v>298</v>
      </c>
      <c r="C1166" s="517">
        <f>FOFIR!I90</f>
        <v>4995234.058719079</v>
      </c>
      <c r="D1166" s="517">
        <f t="shared" ref="D1166:O1166" si="938">$C1166*D$23%</f>
        <v>682925.89991084032</v>
      </c>
      <c r="E1166" s="517">
        <f t="shared" si="938"/>
        <v>173750.56254947922</v>
      </c>
      <c r="F1166" s="517">
        <f t="shared" si="938"/>
        <v>173750.56254947922</v>
      </c>
      <c r="G1166" s="517">
        <f t="shared" si="938"/>
        <v>980532.52825893729</v>
      </c>
      <c r="H1166" s="517">
        <f t="shared" si="938"/>
        <v>173750.56254947922</v>
      </c>
      <c r="I1166" s="517">
        <f t="shared" si="938"/>
        <v>173750.56254947922</v>
      </c>
      <c r="J1166" s="517">
        <f t="shared" si="938"/>
        <v>1219624.4702192007</v>
      </c>
      <c r="K1166" s="517">
        <f t="shared" si="938"/>
        <v>173750.56254947922</v>
      </c>
      <c r="L1166" s="517">
        <f t="shared" si="938"/>
        <v>173750.56254947922</v>
      </c>
      <c r="M1166" s="517">
        <f t="shared" si="938"/>
        <v>722146.65995424765</v>
      </c>
      <c r="N1166" s="517">
        <f t="shared" si="938"/>
        <v>173750.56254947922</v>
      </c>
      <c r="O1166" s="517">
        <f t="shared" si="938"/>
        <v>173750.56254947922</v>
      </c>
      <c r="P1166" s="511">
        <f t="shared" si="905"/>
        <v>-1.9981234800070524E-5</v>
      </c>
      <c r="Q1166" s="530">
        <v>193288</v>
      </c>
      <c r="R1166" s="480"/>
      <c r="U1166" s="513"/>
    </row>
    <row r="1167" spans="1:21" s="479" customFormat="1" ht="27" x14ac:dyDescent="0.15">
      <c r="A1167" s="579"/>
      <c r="B1167" s="528" t="s">
        <v>407</v>
      </c>
      <c r="C1167" s="517">
        <f>FCISAN!I90</f>
        <v>317103.69607630151</v>
      </c>
      <c r="D1167" s="517">
        <f t="shared" ref="D1167:O1167" si="939">$C1167*D$24%</f>
        <v>26425.308006252762</v>
      </c>
      <c r="E1167" s="517">
        <f t="shared" si="939"/>
        <v>26425.308006252762</v>
      </c>
      <c r="F1167" s="517">
        <f t="shared" si="939"/>
        <v>26425.308006252762</v>
      </c>
      <c r="G1167" s="517">
        <f t="shared" si="939"/>
        <v>26425.308006252762</v>
      </c>
      <c r="H1167" s="517">
        <f t="shared" si="939"/>
        <v>26425.308006252762</v>
      </c>
      <c r="I1167" s="517">
        <f t="shared" si="939"/>
        <v>26425.308006252762</v>
      </c>
      <c r="J1167" s="517">
        <f t="shared" si="939"/>
        <v>26425.308006252762</v>
      </c>
      <c r="K1167" s="517">
        <f t="shared" si="939"/>
        <v>26425.308006252762</v>
      </c>
      <c r="L1167" s="517">
        <f t="shared" si="939"/>
        <v>26425.308006252762</v>
      </c>
      <c r="M1167" s="517">
        <f t="shared" si="939"/>
        <v>26425.308006252762</v>
      </c>
      <c r="N1167" s="517">
        <f t="shared" si="939"/>
        <v>26425.308006252762</v>
      </c>
      <c r="O1167" s="517">
        <f t="shared" si="939"/>
        <v>26425.308006252762</v>
      </c>
      <c r="P1167" s="511">
        <f t="shared" si="905"/>
        <v>1.268352207262069E-6</v>
      </c>
      <c r="Q1167" s="530">
        <v>22990</v>
      </c>
      <c r="R1167" s="480"/>
      <c r="U1167" s="513"/>
    </row>
    <row r="1168" spans="1:21" s="479" customFormat="1" ht="27" x14ac:dyDescent="0.15">
      <c r="A1168" s="579"/>
      <c r="B1168" s="528" t="s">
        <v>242</v>
      </c>
      <c r="C1168" s="517">
        <f>ISAN!I90</f>
        <v>1583970.1503762847</v>
      </c>
      <c r="D1168" s="517">
        <f t="shared" ref="D1168:O1168" si="940">$C1168*D$25%</f>
        <v>152431.16178262662</v>
      </c>
      <c r="E1168" s="517">
        <f t="shared" si="940"/>
        <v>170249.6900285825</v>
      </c>
      <c r="F1168" s="517">
        <f t="shared" si="940"/>
        <v>132128.7912007469</v>
      </c>
      <c r="G1168" s="517">
        <f t="shared" si="940"/>
        <v>122629.14741468419</v>
      </c>
      <c r="H1168" s="517">
        <f t="shared" si="940"/>
        <v>131117.6703431959</v>
      </c>
      <c r="I1168" s="517">
        <f t="shared" si="940"/>
        <v>113879.68628696045</v>
      </c>
      <c r="J1168" s="517">
        <f t="shared" si="940"/>
        <v>123371.17962948073</v>
      </c>
      <c r="K1168" s="517">
        <f t="shared" si="940"/>
        <v>127228.11572084342</v>
      </c>
      <c r="L1168" s="517">
        <f t="shared" si="940"/>
        <v>125018.32666531632</v>
      </c>
      <c r="M1168" s="517">
        <f t="shared" si="940"/>
        <v>128084.30776895906</v>
      </c>
      <c r="N1168" s="517">
        <f t="shared" si="940"/>
        <v>124015.35960298861</v>
      </c>
      <c r="O1168" s="517">
        <f t="shared" si="940"/>
        <v>133816.71391289242</v>
      </c>
      <c r="P1168" s="511">
        <f t="shared" si="905"/>
        <v>1.9007857190445065E-5</v>
      </c>
      <c r="Q1168" s="530">
        <v>98772</v>
      </c>
      <c r="R1168" s="480"/>
      <c r="U1168" s="513"/>
    </row>
    <row r="1169" spans="1:21" s="479" customFormat="1" ht="18" x14ac:dyDescent="0.15">
      <c r="A1169" s="579"/>
      <c r="B1169" s="528" t="s">
        <v>403</v>
      </c>
      <c r="C1169" s="517">
        <f>LOT!I90</f>
        <v>76675.235185804398</v>
      </c>
      <c r="D1169" s="517">
        <f t="shared" ref="D1169:O1169" si="941">$C1169*D$26%</f>
        <v>5797.4443546946695</v>
      </c>
      <c r="E1169" s="517">
        <f t="shared" si="941"/>
        <v>5715.2694396685583</v>
      </c>
      <c r="F1169" s="517">
        <f t="shared" si="941"/>
        <v>5617.4083253470708</v>
      </c>
      <c r="G1169" s="517">
        <f t="shared" si="941"/>
        <v>6180.4035072843326</v>
      </c>
      <c r="H1169" s="517">
        <f t="shared" si="941"/>
        <v>5056.6950207981081</v>
      </c>
      <c r="I1169" s="517">
        <f t="shared" si="941"/>
        <v>6862.1929544328432</v>
      </c>
      <c r="J1169" s="517">
        <f t="shared" si="941"/>
        <v>15748.725452049453</v>
      </c>
      <c r="K1169" s="517">
        <f t="shared" si="941"/>
        <v>5733.1008770193421</v>
      </c>
      <c r="L1169" s="517">
        <f t="shared" si="941"/>
        <v>6956.4057976537688</v>
      </c>
      <c r="M1169" s="517">
        <f t="shared" si="941"/>
        <v>4306.9684805915294</v>
      </c>
      <c r="N1169" s="517">
        <f t="shared" si="941"/>
        <v>4350.310487672311</v>
      </c>
      <c r="O1169" s="517">
        <f t="shared" si="941"/>
        <v>4350.310487672311</v>
      </c>
      <c r="P1169" s="511">
        <f t="shared" si="905"/>
        <v>9.2009577201679349E-7</v>
      </c>
      <c r="Q1169" s="530">
        <v>4824</v>
      </c>
      <c r="R1169" s="480"/>
      <c r="U1169" s="513"/>
    </row>
    <row r="1170" spans="1:21" s="479" customFormat="1" ht="45" x14ac:dyDescent="0.15">
      <c r="A1170" s="579"/>
      <c r="B1170" s="518" t="s">
        <v>301</v>
      </c>
      <c r="C1170" s="517">
        <f>'ENAJENAC DE INMUE'!I90</f>
        <v>301496.12602083897</v>
      </c>
      <c r="D1170" s="517">
        <f t="shared" ref="D1170:O1170" si="942">$C1170*D$27%</f>
        <v>13020.326570000279</v>
      </c>
      <c r="E1170" s="517">
        <f t="shared" si="942"/>
        <v>13212.102935260002</v>
      </c>
      <c r="F1170" s="517">
        <f t="shared" si="942"/>
        <v>13033.98611790924</v>
      </c>
      <c r="G1170" s="517">
        <f t="shared" si="942"/>
        <v>12957.636657796491</v>
      </c>
      <c r="H1170" s="517">
        <f t="shared" si="942"/>
        <v>17974.716639560786</v>
      </c>
      <c r="I1170" s="517">
        <f t="shared" si="942"/>
        <v>12937.79821270432</v>
      </c>
      <c r="J1170" s="517">
        <f t="shared" si="942"/>
        <v>14869.139831976729</v>
      </c>
      <c r="K1170" s="517">
        <f t="shared" si="942"/>
        <v>14853.834469779138</v>
      </c>
      <c r="L1170" s="517">
        <f t="shared" si="942"/>
        <v>14835.017564413518</v>
      </c>
      <c r="M1170" s="517">
        <f t="shared" si="942"/>
        <v>12955.515543910073</v>
      </c>
      <c r="N1170" s="517">
        <f t="shared" si="942"/>
        <v>53864.269240952694</v>
      </c>
      <c r="O1170" s="517">
        <f t="shared" si="942"/>
        <v>106981.7822359727</v>
      </c>
      <c r="P1170" s="511">
        <f t="shared" si="905"/>
        <v>6.0304591897875071E-7</v>
      </c>
      <c r="Q1170" s="530">
        <v>70397</v>
      </c>
      <c r="R1170" s="480"/>
      <c r="U1170" s="513"/>
    </row>
    <row r="1171" spans="1:21" s="479" customFormat="1" ht="27" x14ac:dyDescent="0.15">
      <c r="A1171" s="579"/>
      <c r="B1171" s="518" t="s">
        <v>248</v>
      </c>
      <c r="C1171" s="517">
        <f>'IMP BEBIDAS AL'!I90</f>
        <v>117840.61844422559</v>
      </c>
      <c r="D1171" s="517">
        <f t="shared" ref="D1171:O1171" si="943">$C1171*D$28%</f>
        <v>26795.84839194117</v>
      </c>
      <c r="E1171" s="517">
        <f t="shared" si="943"/>
        <v>9216.7987525119606</v>
      </c>
      <c r="F1171" s="517">
        <f t="shared" si="943"/>
        <v>9904.8610641919058</v>
      </c>
      <c r="G1171" s="517">
        <f t="shared" si="943"/>
        <v>9833.7573643191463</v>
      </c>
      <c r="H1171" s="517">
        <f t="shared" si="943"/>
        <v>6262.184077102479</v>
      </c>
      <c r="I1171" s="517">
        <f t="shared" si="943"/>
        <v>10248.074315993643</v>
      </c>
      <c r="J1171" s="517">
        <f t="shared" si="943"/>
        <v>10190.3894216875</v>
      </c>
      <c r="K1171" s="517">
        <f t="shared" si="943"/>
        <v>9319.8546613296039</v>
      </c>
      <c r="L1171" s="517">
        <f t="shared" si="943"/>
        <v>6759.0208562546513</v>
      </c>
      <c r="M1171" s="517">
        <f t="shared" si="943"/>
        <v>6283.1086089091514</v>
      </c>
      <c r="N1171" s="517">
        <f t="shared" si="943"/>
        <v>6327.5214456027707</v>
      </c>
      <c r="O1171" s="517">
        <f t="shared" si="943"/>
        <v>6699.1994843816137</v>
      </c>
      <c r="P1171" s="511">
        <f t="shared" si="905"/>
        <v>0</v>
      </c>
      <c r="Q1171" s="530">
        <v>3014</v>
      </c>
      <c r="R1171" s="480"/>
      <c r="U1171" s="513"/>
    </row>
    <row r="1172" spans="1:21" s="479" customFormat="1" ht="18" x14ac:dyDescent="0.15">
      <c r="A1172" s="579"/>
      <c r="B1172" s="518" t="s">
        <v>253</v>
      </c>
      <c r="C1172" s="517">
        <f>'FOND GASO Y D'!Q91</f>
        <v>0</v>
      </c>
      <c r="D1172" s="517">
        <f t="shared" ref="D1172:O1172" si="944">$C1172*D$29%</f>
        <v>0</v>
      </c>
      <c r="E1172" s="517">
        <f t="shared" si="944"/>
        <v>0</v>
      </c>
      <c r="F1172" s="517">
        <f t="shared" si="944"/>
        <v>0</v>
      </c>
      <c r="G1172" s="517">
        <f t="shared" si="944"/>
        <v>0</v>
      </c>
      <c r="H1172" s="517">
        <f t="shared" si="944"/>
        <v>0</v>
      </c>
      <c r="I1172" s="517">
        <f t="shared" si="944"/>
        <v>0</v>
      </c>
      <c r="J1172" s="517">
        <f t="shared" si="944"/>
        <v>0</v>
      </c>
      <c r="K1172" s="517">
        <f t="shared" si="944"/>
        <v>0</v>
      </c>
      <c r="L1172" s="517">
        <f t="shared" si="944"/>
        <v>0</v>
      </c>
      <c r="M1172" s="517">
        <f t="shared" si="944"/>
        <v>0</v>
      </c>
      <c r="N1172" s="517">
        <f t="shared" si="944"/>
        <v>0</v>
      </c>
      <c r="O1172" s="517">
        <f t="shared" si="944"/>
        <v>0</v>
      </c>
      <c r="P1172" s="511">
        <f t="shared" si="905"/>
        <v>0</v>
      </c>
      <c r="Q1172" s="530">
        <v>98169</v>
      </c>
      <c r="R1172" s="480"/>
      <c r="U1172" s="513"/>
    </row>
    <row r="1173" spans="1:21" s="479" customFormat="1" ht="18" x14ac:dyDescent="0.15">
      <c r="A1173" s="579"/>
      <c r="B1173" s="528" t="s">
        <v>408</v>
      </c>
      <c r="C1173" s="519">
        <f>'FOND GASO Y D'!H91</f>
        <v>3179504.7584623978</v>
      </c>
      <c r="D1173" s="517">
        <f t="shared" ref="D1173:O1173" si="945">$C1173*D$30%</f>
        <v>247336.22709489916</v>
      </c>
      <c r="E1173" s="517">
        <f t="shared" si="945"/>
        <v>271940.55257578171</v>
      </c>
      <c r="F1173" s="517">
        <f t="shared" si="945"/>
        <v>264762.18625327654</v>
      </c>
      <c r="G1173" s="517">
        <f t="shared" si="945"/>
        <v>246703.19706431031</v>
      </c>
      <c r="H1173" s="517">
        <f t="shared" si="945"/>
        <v>271831.660671069</v>
      </c>
      <c r="I1173" s="517">
        <f t="shared" si="945"/>
        <v>262349.85263094516</v>
      </c>
      <c r="J1173" s="517">
        <f t="shared" si="945"/>
        <v>267819.48275924847</v>
      </c>
      <c r="K1173" s="517">
        <f t="shared" si="945"/>
        <v>267660.33633043012</v>
      </c>
      <c r="L1173" s="517">
        <f t="shared" si="945"/>
        <v>278532.58486782154</v>
      </c>
      <c r="M1173" s="517">
        <f t="shared" si="945"/>
        <v>276086.7482315395</v>
      </c>
      <c r="N1173" s="517">
        <f t="shared" si="945"/>
        <v>258027.75904257331</v>
      </c>
      <c r="O1173" s="517">
        <f t="shared" si="945"/>
        <v>266454.17094368261</v>
      </c>
      <c r="P1173" s="511">
        <f t="shared" si="905"/>
        <v>-3.1801755540072918E-6</v>
      </c>
      <c r="Q1173" s="530">
        <v>194314</v>
      </c>
      <c r="R1173" s="480"/>
      <c r="U1173" s="513"/>
    </row>
    <row r="1174" spans="1:21" s="479" customFormat="1" x14ac:dyDescent="0.15">
      <c r="A1174" s="579"/>
      <c r="B1174" s="534"/>
      <c r="C1174" s="521"/>
      <c r="D1174" s="522"/>
      <c r="E1174" s="522"/>
      <c r="F1174" s="522"/>
      <c r="G1174" s="522"/>
      <c r="H1174" s="522"/>
      <c r="I1174" s="522"/>
      <c r="J1174" s="522"/>
      <c r="K1174" s="522"/>
      <c r="L1174" s="522"/>
      <c r="M1174" s="522"/>
      <c r="N1174" s="522"/>
      <c r="O1174" s="522"/>
      <c r="P1174" s="511">
        <f t="shared" si="905"/>
        <v>0</v>
      </c>
      <c r="Q1174" s="530">
        <v>0</v>
      </c>
      <c r="R1174" s="480"/>
      <c r="U1174" s="513"/>
    </row>
    <row r="1175" spans="1:21" s="479" customFormat="1" x14ac:dyDescent="0.15">
      <c r="A1175" s="591"/>
      <c r="B1175" s="532"/>
      <c r="C1175" s="521"/>
      <c r="D1175" s="521"/>
      <c r="E1175" s="521"/>
      <c r="F1175" s="521"/>
      <c r="G1175" s="521"/>
      <c r="H1175" s="521"/>
      <c r="I1175" s="521"/>
      <c r="J1175" s="521"/>
      <c r="K1175" s="521"/>
      <c r="L1175" s="521"/>
      <c r="M1175" s="521"/>
      <c r="N1175" s="521"/>
      <c r="O1175" s="521"/>
      <c r="P1175" s="511">
        <f t="shared" si="905"/>
        <v>0</v>
      </c>
      <c r="Q1175" s="530">
        <v>0</v>
      </c>
      <c r="R1175" s="480"/>
      <c r="U1175" s="513"/>
    </row>
    <row r="1176" spans="1:21" s="479" customFormat="1" x14ac:dyDescent="0.15">
      <c r="A1176" s="576">
        <v>77</v>
      </c>
      <c r="B1176" s="533" t="s">
        <v>45</v>
      </c>
      <c r="C1176" s="524">
        <f t="shared" ref="C1176:O1176" si="946">SUM(C1177:C1188)</f>
        <v>47075046.876469232</v>
      </c>
      <c r="D1176" s="524">
        <f t="shared" si="946"/>
        <v>3668880.2316264855</v>
      </c>
      <c r="E1176" s="524">
        <f t="shared" si="946"/>
        <v>4988502.0377250146</v>
      </c>
      <c r="F1176" s="524">
        <f t="shared" si="946"/>
        <v>3261784.0236440408</v>
      </c>
      <c r="G1176" s="524">
        <f t="shared" si="946"/>
        <v>4187775.4876596192</v>
      </c>
      <c r="H1176" s="524">
        <f t="shared" si="946"/>
        <v>4763876.5841576224</v>
      </c>
      <c r="I1176" s="524">
        <f t="shared" si="946"/>
        <v>4669197.2844532244</v>
      </c>
      <c r="J1176" s="524">
        <f t="shared" si="946"/>
        <v>4020076.920984704</v>
      </c>
      <c r="K1176" s="524">
        <f t="shared" si="946"/>
        <v>3905602.6511374316</v>
      </c>
      <c r="L1176" s="524">
        <f t="shared" si="946"/>
        <v>3690566.900239585</v>
      </c>
      <c r="M1176" s="524">
        <f t="shared" si="946"/>
        <v>2714381.6997933201</v>
      </c>
      <c r="N1176" s="524">
        <f t="shared" si="946"/>
        <v>3580485.3930518548</v>
      </c>
      <c r="O1176" s="524">
        <f t="shared" si="946"/>
        <v>3623917.6618540119</v>
      </c>
      <c r="P1176" s="511">
        <f t="shared" si="905"/>
        <v>1.4231586828827858E-4</v>
      </c>
      <c r="Q1176" s="530">
        <v>2935996</v>
      </c>
      <c r="R1176" s="480"/>
      <c r="T1176" s="512"/>
      <c r="U1176" s="513"/>
    </row>
    <row r="1177" spans="1:21" s="479" customFormat="1" x14ac:dyDescent="0.15">
      <c r="A1177" s="579"/>
      <c r="B1177" s="528" t="s">
        <v>294</v>
      </c>
      <c r="C1177" s="517">
        <f>'FG1'!I92</f>
        <v>33632643.077038147</v>
      </c>
      <c r="D1177" s="517">
        <f t="shared" ref="D1177:O1177" si="947">$C1177*D$19%</f>
        <v>2543794.8218159326</v>
      </c>
      <c r="E1177" s="517">
        <f t="shared" si="947"/>
        <v>3644621.2881958559</v>
      </c>
      <c r="F1177" s="517">
        <f t="shared" si="947"/>
        <v>2355867.7380464152</v>
      </c>
      <c r="G1177" s="517">
        <f t="shared" si="947"/>
        <v>2893944.8198273033</v>
      </c>
      <c r="H1177" s="517">
        <f t="shared" si="947"/>
        <v>3534138.96010319</v>
      </c>
      <c r="I1177" s="517">
        <f t="shared" si="947"/>
        <v>3464703.5044144117</v>
      </c>
      <c r="J1177" s="517">
        <f t="shared" si="947"/>
        <v>2685850.6096596187</v>
      </c>
      <c r="K1177" s="517">
        <f t="shared" si="947"/>
        <v>2851660.8695614305</v>
      </c>
      <c r="L1177" s="517">
        <f t="shared" si="947"/>
        <v>2679853.9121568599</v>
      </c>
      <c r="M1177" s="517">
        <f t="shared" si="947"/>
        <v>1776537.1928290916</v>
      </c>
      <c r="N1177" s="517">
        <f t="shared" si="947"/>
        <v>2592765.4817666658</v>
      </c>
      <c r="O1177" s="517">
        <f t="shared" si="947"/>
        <v>2608903.8786277398</v>
      </c>
      <c r="P1177" s="511">
        <f t="shared" si="905"/>
        <v>3.3631455153226852E-5</v>
      </c>
      <c r="Q1177" s="530">
        <v>2028721</v>
      </c>
      <c r="R1177" s="480"/>
      <c r="U1177" s="513"/>
    </row>
    <row r="1178" spans="1:21" s="479" customFormat="1" x14ac:dyDescent="0.15">
      <c r="A1178" s="579"/>
      <c r="B1178" s="528" t="s">
        <v>296</v>
      </c>
      <c r="C1178" s="517">
        <f>FFM!J92</f>
        <v>9040316.417385662</v>
      </c>
      <c r="D1178" s="517">
        <f t="shared" ref="D1178:O1178" si="948">$C1178*D$20%</f>
        <v>683657.11353383539</v>
      </c>
      <c r="E1178" s="517">
        <f t="shared" si="948"/>
        <v>980133.55327651673</v>
      </c>
      <c r="F1178" s="517">
        <f t="shared" si="948"/>
        <v>633044.27758412424</v>
      </c>
      <c r="G1178" s="517">
        <f t="shared" si="948"/>
        <v>777960.10367848352</v>
      </c>
      <c r="H1178" s="517">
        <f t="shared" si="948"/>
        <v>950378.2689197521</v>
      </c>
      <c r="I1178" s="517">
        <f t="shared" si="948"/>
        <v>931677.79218689178</v>
      </c>
      <c r="J1178" s="517">
        <f t="shared" si="948"/>
        <v>721852.52488949709</v>
      </c>
      <c r="K1178" s="517">
        <f t="shared" si="948"/>
        <v>766508.82386545581</v>
      </c>
      <c r="L1178" s="517">
        <f t="shared" si="948"/>
        <v>720237.48035317089</v>
      </c>
      <c r="M1178" s="517">
        <f t="shared" si="948"/>
        <v>476954.69800899283</v>
      </c>
      <c r="N1178" s="517">
        <f t="shared" si="948"/>
        <v>696782.6795919704</v>
      </c>
      <c r="O1178" s="517">
        <f t="shared" si="948"/>
        <v>701129.10138848762</v>
      </c>
      <c r="P1178" s="511">
        <f t="shared" si="905"/>
        <v>1.0848371312022209E-4</v>
      </c>
      <c r="Q1178" s="530">
        <v>621128</v>
      </c>
      <c r="R1178" s="480"/>
      <c r="U1178" s="513"/>
    </row>
    <row r="1179" spans="1:21" s="479" customFormat="1" ht="18" x14ac:dyDescent="0.15">
      <c r="A1179" s="579"/>
      <c r="B1179" s="528" t="s">
        <v>297</v>
      </c>
      <c r="C1179" s="517">
        <f>IEPS!I91</f>
        <v>813371.86077839579</v>
      </c>
      <c r="D1179" s="517">
        <f t="shared" ref="D1179:O1179" si="949">$C1179*D$21%</f>
        <v>57131.093847321914</v>
      </c>
      <c r="E1179" s="517">
        <f t="shared" si="949"/>
        <v>130584.92272901483</v>
      </c>
      <c r="F1179" s="517">
        <f t="shared" si="949"/>
        <v>54239.72923575202</v>
      </c>
      <c r="G1179" s="517">
        <f t="shared" si="949"/>
        <v>52713.421534551693</v>
      </c>
      <c r="H1179" s="517">
        <f t="shared" si="949"/>
        <v>58198.517278064755</v>
      </c>
      <c r="I1179" s="517">
        <f t="shared" si="949"/>
        <v>60353.021897757229</v>
      </c>
      <c r="J1179" s="517">
        <f t="shared" si="949"/>
        <v>62152.455759025557</v>
      </c>
      <c r="K1179" s="517">
        <f t="shared" si="949"/>
        <v>68846.725155711101</v>
      </c>
      <c r="L1179" s="517">
        <f t="shared" si="949"/>
        <v>68990.990354029025</v>
      </c>
      <c r="M1179" s="517">
        <f t="shared" si="949"/>
        <v>68224.206981567244</v>
      </c>
      <c r="N1179" s="517">
        <f t="shared" si="949"/>
        <v>66018.45863487749</v>
      </c>
      <c r="O1179" s="517">
        <f t="shared" si="949"/>
        <v>65918.317369909535</v>
      </c>
      <c r="P1179" s="511">
        <f t="shared" si="905"/>
        <v>8.1343750935047865E-7</v>
      </c>
      <c r="Q1179" s="530">
        <v>52392</v>
      </c>
      <c r="R1179" s="480"/>
      <c r="U1179" s="513"/>
    </row>
    <row r="1180" spans="1:21" s="479" customFormat="1" x14ac:dyDescent="0.15">
      <c r="A1180" s="579"/>
      <c r="B1180" s="528" t="s">
        <v>236</v>
      </c>
      <c r="C1180" s="517">
        <f>ISR!C82</f>
        <v>84789.6</v>
      </c>
      <c r="D1180" s="517">
        <f>ISR!D82</f>
        <v>7065.7999999999975</v>
      </c>
      <c r="E1180" s="517">
        <f>ISR!E82</f>
        <v>7065.7999999999975</v>
      </c>
      <c r="F1180" s="517">
        <f>ISR!F82</f>
        <v>7065.7999999999975</v>
      </c>
      <c r="G1180" s="517">
        <f>ISR!G82</f>
        <v>7065.7999999999975</v>
      </c>
      <c r="H1180" s="517">
        <f>ISR!H82</f>
        <v>7065.7999999999975</v>
      </c>
      <c r="I1180" s="517">
        <f>ISR!I82</f>
        <v>7065.7999999999975</v>
      </c>
      <c r="J1180" s="517">
        <f>ISR!J82</f>
        <v>7065.7999999999975</v>
      </c>
      <c r="K1180" s="517">
        <f>ISR!K82</f>
        <v>7065.7999999999975</v>
      </c>
      <c r="L1180" s="517">
        <f>ISR!L82</f>
        <v>7065.7999999999975</v>
      </c>
      <c r="M1180" s="517">
        <f>ISR!M82</f>
        <v>7065.7999999999975</v>
      </c>
      <c r="N1180" s="517">
        <f>ISR!N82</f>
        <v>7065.7999999999975</v>
      </c>
      <c r="O1180" s="517">
        <f>ISR!O82</f>
        <v>7065.7999999999975</v>
      </c>
      <c r="P1180" s="511">
        <f t="shared" si="905"/>
        <v>3.8198777474462986E-11</v>
      </c>
      <c r="Q1180" s="530">
        <v>0</v>
      </c>
      <c r="R1180" s="480"/>
      <c r="U1180" s="513"/>
    </row>
    <row r="1181" spans="1:21" s="479" customFormat="1" ht="18" x14ac:dyDescent="0.15">
      <c r="A1181" s="579"/>
      <c r="B1181" s="528" t="s">
        <v>298</v>
      </c>
      <c r="C1181" s="517">
        <f>FOFIR!I91</f>
        <v>1573057.175597135</v>
      </c>
      <c r="D1181" s="517">
        <f t="shared" ref="D1181:O1181" si="950">$C1181*D$23%</f>
        <v>215061.29134844878</v>
      </c>
      <c r="E1181" s="517">
        <f t="shared" si="950"/>
        <v>54716.068550466298</v>
      </c>
      <c r="F1181" s="517">
        <f t="shared" si="950"/>
        <v>54716.068550466298</v>
      </c>
      <c r="G1181" s="517">
        <f t="shared" si="950"/>
        <v>308781.07238875731</v>
      </c>
      <c r="H1181" s="517">
        <f t="shared" si="950"/>
        <v>54716.068550466298</v>
      </c>
      <c r="I1181" s="517">
        <f t="shared" si="950"/>
        <v>54716.068550466298</v>
      </c>
      <c r="J1181" s="517">
        <f t="shared" si="950"/>
        <v>384073.89961305162</v>
      </c>
      <c r="K1181" s="517">
        <f t="shared" si="950"/>
        <v>54716.068550466298</v>
      </c>
      <c r="L1181" s="517">
        <f t="shared" si="950"/>
        <v>54716.068550466298</v>
      </c>
      <c r="M1181" s="517">
        <f t="shared" si="950"/>
        <v>227412.36384943908</v>
      </c>
      <c r="N1181" s="517">
        <f t="shared" si="950"/>
        <v>54716.068550466298</v>
      </c>
      <c r="O1181" s="517">
        <f t="shared" si="950"/>
        <v>54716.068550466298</v>
      </c>
      <c r="P1181" s="511">
        <f t="shared" si="905"/>
        <v>-6.2921899370849133E-6</v>
      </c>
      <c r="Q1181" s="530">
        <v>61716</v>
      </c>
      <c r="R1181" s="480"/>
      <c r="U1181" s="513"/>
    </row>
    <row r="1182" spans="1:21" s="479" customFormat="1" ht="27" x14ac:dyDescent="0.15">
      <c r="A1182" s="579"/>
      <c r="B1182" s="528" t="s">
        <v>407</v>
      </c>
      <c r="C1182" s="517">
        <f>FCISAN!I91</f>
        <v>99859.633934573125</v>
      </c>
      <c r="D1182" s="517">
        <f t="shared" ref="D1182:O1182" si="951">$C1182*D$24%</f>
        <v>8321.6361611811426</v>
      </c>
      <c r="E1182" s="517">
        <f t="shared" si="951"/>
        <v>8321.6361611811426</v>
      </c>
      <c r="F1182" s="517">
        <f t="shared" si="951"/>
        <v>8321.6361611811426</v>
      </c>
      <c r="G1182" s="517">
        <f t="shared" si="951"/>
        <v>8321.6361611811426</v>
      </c>
      <c r="H1182" s="517">
        <f t="shared" si="951"/>
        <v>8321.6361611811426</v>
      </c>
      <c r="I1182" s="517">
        <f t="shared" si="951"/>
        <v>8321.6361611811426</v>
      </c>
      <c r="J1182" s="517">
        <f t="shared" si="951"/>
        <v>8321.6361611811426</v>
      </c>
      <c r="K1182" s="517">
        <f t="shared" si="951"/>
        <v>8321.6361611811426</v>
      </c>
      <c r="L1182" s="517">
        <f t="shared" si="951"/>
        <v>8321.6361611811426</v>
      </c>
      <c r="M1182" s="517">
        <f t="shared" si="951"/>
        <v>8321.6361611811426</v>
      </c>
      <c r="N1182" s="517">
        <f t="shared" si="951"/>
        <v>8321.6361611811426</v>
      </c>
      <c r="O1182" s="517">
        <f t="shared" si="951"/>
        <v>8321.6361611811426</v>
      </c>
      <c r="P1182" s="511">
        <f t="shared" si="905"/>
        <v>3.9939550333656371E-7</v>
      </c>
      <c r="Q1182" s="530">
        <v>7345</v>
      </c>
      <c r="R1182" s="480"/>
      <c r="U1182" s="513"/>
    </row>
    <row r="1183" spans="1:21" s="479" customFormat="1" ht="27" x14ac:dyDescent="0.15">
      <c r="A1183" s="579"/>
      <c r="B1183" s="528" t="s">
        <v>242</v>
      </c>
      <c r="C1183" s="517">
        <f>ISAN!I91</f>
        <v>498810.58258559846</v>
      </c>
      <c r="D1183" s="517">
        <f t="shared" ref="D1183:O1183" si="952">$C1183*D$25%</f>
        <v>48002.341833859085</v>
      </c>
      <c r="E1183" s="517">
        <f t="shared" si="952"/>
        <v>53613.603165438952</v>
      </c>
      <c r="F1183" s="517">
        <f t="shared" si="952"/>
        <v>41608.889725301116</v>
      </c>
      <c r="G1183" s="517">
        <f t="shared" si="952"/>
        <v>38617.341652153445</v>
      </c>
      <c r="H1183" s="517">
        <f t="shared" si="952"/>
        <v>41290.476033035739</v>
      </c>
      <c r="I1183" s="517">
        <f t="shared" si="952"/>
        <v>35862.034804108895</v>
      </c>
      <c r="J1183" s="517">
        <f t="shared" si="952"/>
        <v>38851.016207997825</v>
      </c>
      <c r="K1183" s="517">
        <f t="shared" si="952"/>
        <v>40065.610143540755</v>
      </c>
      <c r="L1183" s="517">
        <f t="shared" si="952"/>
        <v>39369.721924992627</v>
      </c>
      <c r="M1183" s="517">
        <f t="shared" si="952"/>
        <v>40335.234955740823</v>
      </c>
      <c r="N1183" s="517">
        <f t="shared" si="952"/>
        <v>39053.875957469187</v>
      </c>
      <c r="O1183" s="517">
        <f t="shared" si="952"/>
        <v>42140.43617597429</v>
      </c>
      <c r="P1183" s="511">
        <f t="shared" si="905"/>
        <v>5.9856465668417513E-6</v>
      </c>
      <c r="Q1183" s="530">
        <v>31535</v>
      </c>
      <c r="R1183" s="480"/>
      <c r="U1183" s="513"/>
    </row>
    <row r="1184" spans="1:21" s="479" customFormat="1" ht="18" x14ac:dyDescent="0.15">
      <c r="A1184" s="579"/>
      <c r="B1184" s="528" t="s">
        <v>403</v>
      </c>
      <c r="C1184" s="517">
        <f>LOT!I91</f>
        <v>24145.921388627892</v>
      </c>
      <c r="D1184" s="517">
        <f t="shared" ref="D1184:O1184" si="953">$C1184*D$26%</f>
        <v>1825.6825075812576</v>
      </c>
      <c r="E1184" s="517">
        <f t="shared" si="953"/>
        <v>1799.8046731862348</v>
      </c>
      <c r="F1184" s="517">
        <f t="shared" si="953"/>
        <v>1768.9870725921955</v>
      </c>
      <c r="G1184" s="517">
        <f t="shared" si="953"/>
        <v>1946.280789035209</v>
      </c>
      <c r="H1184" s="517">
        <f t="shared" si="953"/>
        <v>1592.4119458203168</v>
      </c>
      <c r="I1184" s="517">
        <f t="shared" si="953"/>
        <v>2160.9841982200805</v>
      </c>
      <c r="J1184" s="517">
        <f t="shared" si="953"/>
        <v>4959.4564113795095</v>
      </c>
      <c r="K1184" s="517">
        <f t="shared" si="953"/>
        <v>1805.4199997447374</v>
      </c>
      <c r="L1184" s="517">
        <f t="shared" si="953"/>
        <v>2190.6529159057714</v>
      </c>
      <c r="M1184" s="517">
        <f t="shared" si="953"/>
        <v>1356.3143576104071</v>
      </c>
      <c r="N1184" s="517">
        <f t="shared" si="953"/>
        <v>1369.9632586312111</v>
      </c>
      <c r="O1184" s="517">
        <f t="shared" si="953"/>
        <v>1369.9632586312111</v>
      </c>
      <c r="P1184" s="511">
        <f t="shared" si="905"/>
        <v>2.8975318855373189E-7</v>
      </c>
      <c r="Q1184" s="530">
        <v>1539</v>
      </c>
      <c r="R1184" s="480"/>
      <c r="U1184" s="513"/>
    </row>
    <row r="1185" spans="1:21" s="479" customFormat="1" ht="45" x14ac:dyDescent="0.15">
      <c r="A1185" s="579"/>
      <c r="B1185" s="518" t="s">
        <v>301</v>
      </c>
      <c r="C1185" s="517">
        <f>'ENAJENAC DE INMUE'!I91</f>
        <v>94944.628995710256</v>
      </c>
      <c r="D1185" s="517">
        <f t="shared" ref="D1185:O1185" si="954">$C1185*D$27%</f>
        <v>4100.2519399079119</v>
      </c>
      <c r="E1185" s="517">
        <f t="shared" si="954"/>
        <v>4160.6445429242158</v>
      </c>
      <c r="F1185" s="517">
        <f t="shared" si="954"/>
        <v>4104.5534900657258</v>
      </c>
      <c r="G1185" s="517">
        <f t="shared" si="954"/>
        <v>4080.5101590282761</v>
      </c>
      <c r="H1185" s="517">
        <f t="shared" si="954"/>
        <v>5660.4468693178515</v>
      </c>
      <c r="I1185" s="517">
        <f t="shared" si="954"/>
        <v>4074.2628024403589</v>
      </c>
      <c r="J1185" s="517">
        <f t="shared" si="954"/>
        <v>4682.4646918839353</v>
      </c>
      <c r="K1185" s="517">
        <f t="shared" si="954"/>
        <v>4677.6448557066888</v>
      </c>
      <c r="L1185" s="517">
        <f t="shared" si="954"/>
        <v>4671.7191938337965</v>
      </c>
      <c r="M1185" s="517">
        <f t="shared" si="954"/>
        <v>4079.8421956495704</v>
      </c>
      <c r="N1185" s="517">
        <f t="shared" si="954"/>
        <v>16962.483487611447</v>
      </c>
      <c r="O1185" s="517">
        <f t="shared" si="954"/>
        <v>33689.804767150585</v>
      </c>
      <c r="P1185" s="511">
        <f t="shared" si="905"/>
        <v>1.8989521777257323E-7</v>
      </c>
      <c r="Q1185" s="530">
        <v>22477</v>
      </c>
      <c r="R1185" s="480"/>
      <c r="U1185" s="513"/>
    </row>
    <row r="1186" spans="1:21" s="479" customFormat="1" ht="27" x14ac:dyDescent="0.15">
      <c r="A1186" s="579"/>
      <c r="B1186" s="518" t="s">
        <v>248</v>
      </c>
      <c r="C1186" s="517">
        <f>'IMP BEBIDAS AL'!I91</f>
        <v>37109.378307695828</v>
      </c>
      <c r="D1186" s="517">
        <f t="shared" ref="D1186:O1186" si="955">$C1186*D$28%</f>
        <v>8438.3236288160715</v>
      </c>
      <c r="E1186" s="517">
        <f t="shared" si="955"/>
        <v>2902.4768896197643</v>
      </c>
      <c r="F1186" s="517">
        <f t="shared" si="955"/>
        <v>3119.1556966432013</v>
      </c>
      <c r="G1186" s="517">
        <f t="shared" si="955"/>
        <v>3096.7643163832281</v>
      </c>
      <c r="H1186" s="517">
        <f t="shared" si="955"/>
        <v>1972.0344395478032</v>
      </c>
      <c r="I1186" s="517">
        <f t="shared" si="955"/>
        <v>3227.2375326813694</v>
      </c>
      <c r="J1186" s="517">
        <f t="shared" si="955"/>
        <v>3209.0718900217521</v>
      </c>
      <c r="K1186" s="517">
        <f t="shared" si="955"/>
        <v>2934.930391287081</v>
      </c>
      <c r="L1186" s="517">
        <f t="shared" si="955"/>
        <v>2128.4941071747307</v>
      </c>
      <c r="M1186" s="517">
        <f t="shared" si="955"/>
        <v>1978.6238174463313</v>
      </c>
      <c r="N1186" s="517">
        <f t="shared" si="955"/>
        <v>1992.60993513937</v>
      </c>
      <c r="O1186" s="517">
        <f t="shared" si="955"/>
        <v>2109.6556629351271</v>
      </c>
      <c r="P1186" s="511">
        <f t="shared" si="905"/>
        <v>0</v>
      </c>
      <c r="Q1186" s="530">
        <v>964</v>
      </c>
      <c r="R1186" s="480"/>
      <c r="U1186" s="513"/>
    </row>
    <row r="1187" spans="1:21" s="479" customFormat="1" ht="18" x14ac:dyDescent="0.15">
      <c r="A1187" s="579"/>
      <c r="B1187" s="518" t="s">
        <v>253</v>
      </c>
      <c r="C1187" s="517">
        <f>'FOND GASO Y D'!Q92</f>
        <v>0</v>
      </c>
      <c r="D1187" s="517">
        <f t="shared" ref="D1187:O1187" si="956">$C1187*D$29%</f>
        <v>0</v>
      </c>
      <c r="E1187" s="517">
        <f t="shared" si="956"/>
        <v>0</v>
      </c>
      <c r="F1187" s="517">
        <f t="shared" si="956"/>
        <v>0</v>
      </c>
      <c r="G1187" s="517">
        <f t="shared" si="956"/>
        <v>0</v>
      </c>
      <c r="H1187" s="517">
        <f t="shared" si="956"/>
        <v>0</v>
      </c>
      <c r="I1187" s="517">
        <f t="shared" si="956"/>
        <v>0</v>
      </c>
      <c r="J1187" s="517">
        <f t="shared" si="956"/>
        <v>0</v>
      </c>
      <c r="K1187" s="517">
        <f t="shared" si="956"/>
        <v>0</v>
      </c>
      <c r="L1187" s="517">
        <f t="shared" si="956"/>
        <v>0</v>
      </c>
      <c r="M1187" s="517">
        <f t="shared" si="956"/>
        <v>0</v>
      </c>
      <c r="N1187" s="517">
        <f t="shared" si="956"/>
        <v>0</v>
      </c>
      <c r="O1187" s="517">
        <f t="shared" si="956"/>
        <v>0</v>
      </c>
      <c r="P1187" s="511">
        <f t="shared" si="905"/>
        <v>0</v>
      </c>
      <c r="Q1187" s="530">
        <v>36309</v>
      </c>
      <c r="R1187" s="480"/>
      <c r="U1187" s="513"/>
    </row>
    <row r="1188" spans="1:21" s="479" customFormat="1" ht="18" x14ac:dyDescent="0.15">
      <c r="A1188" s="579"/>
      <c r="B1188" s="528" t="s">
        <v>408</v>
      </c>
      <c r="C1188" s="519">
        <f>'FOND GASO Y D'!H92</f>
        <v>1175998.6004576958</v>
      </c>
      <c r="D1188" s="517">
        <f t="shared" ref="D1188:O1188" si="957">$C1188*D$30%</f>
        <v>91481.875009600859</v>
      </c>
      <c r="E1188" s="517">
        <f t="shared" si="957"/>
        <v>100582.23954081049</v>
      </c>
      <c r="F1188" s="517">
        <f t="shared" si="957"/>
        <v>97927.18808150047</v>
      </c>
      <c r="G1188" s="517">
        <f t="shared" si="957"/>
        <v>91247.737152741596</v>
      </c>
      <c r="H1188" s="517">
        <f t="shared" si="957"/>
        <v>100541.96385724611</v>
      </c>
      <c r="I1188" s="517">
        <f t="shared" si="957"/>
        <v>97034.941905064305</v>
      </c>
      <c r="J1188" s="517">
        <f t="shared" si="957"/>
        <v>99057.985701047335</v>
      </c>
      <c r="K1188" s="517">
        <f t="shared" si="957"/>
        <v>98999.122452907788</v>
      </c>
      <c r="L1188" s="517">
        <f t="shared" si="957"/>
        <v>103020.42452197081</v>
      </c>
      <c r="M1188" s="517">
        <f t="shared" si="957"/>
        <v>102115.78663660189</v>
      </c>
      <c r="N1188" s="517">
        <f t="shared" si="957"/>
        <v>95436.335707843027</v>
      </c>
      <c r="O1188" s="517">
        <f t="shared" si="957"/>
        <v>98552.999891537096</v>
      </c>
      <c r="P1188" s="511">
        <f t="shared" ref="P1188:P1251" si="958">C1188-D1188-E1188-F1188-G1188-H1188-I1188-J1188-K1188-L1188-M1188-N1188-O1188</f>
        <v>-1.1758966138586402E-6</v>
      </c>
      <c r="Q1188" s="530">
        <v>71870</v>
      </c>
      <c r="R1188" s="480"/>
      <c r="U1188" s="513"/>
    </row>
    <row r="1189" spans="1:21" s="479" customFormat="1" x14ac:dyDescent="0.15">
      <c r="A1189" s="579"/>
      <c r="B1189" s="534"/>
      <c r="C1189" s="521"/>
      <c r="D1189" s="522"/>
      <c r="E1189" s="522"/>
      <c r="F1189" s="522"/>
      <c r="G1189" s="522"/>
      <c r="H1189" s="522"/>
      <c r="I1189" s="522"/>
      <c r="J1189" s="522"/>
      <c r="K1189" s="522"/>
      <c r="L1189" s="522"/>
      <c r="M1189" s="522"/>
      <c r="N1189" s="522"/>
      <c r="O1189" s="522"/>
      <c r="P1189" s="511">
        <f t="shared" si="958"/>
        <v>0</v>
      </c>
      <c r="Q1189" s="530">
        <v>0</v>
      </c>
      <c r="R1189" s="480"/>
      <c r="U1189" s="513"/>
    </row>
    <row r="1190" spans="1:21" s="479" customFormat="1" x14ac:dyDescent="0.15">
      <c r="A1190" s="591"/>
      <c r="B1190" s="532"/>
      <c r="C1190" s="521"/>
      <c r="D1190" s="521"/>
      <c r="E1190" s="521"/>
      <c r="F1190" s="521"/>
      <c r="G1190" s="521"/>
      <c r="H1190" s="521"/>
      <c r="I1190" s="521"/>
      <c r="J1190" s="521"/>
      <c r="K1190" s="521"/>
      <c r="L1190" s="521"/>
      <c r="M1190" s="521"/>
      <c r="N1190" s="521"/>
      <c r="O1190" s="521"/>
      <c r="P1190" s="511">
        <f t="shared" si="958"/>
        <v>0</v>
      </c>
      <c r="Q1190" s="530">
        <v>0</v>
      </c>
      <c r="R1190" s="480"/>
      <c r="U1190" s="513"/>
    </row>
    <row r="1191" spans="1:21" s="479" customFormat="1" x14ac:dyDescent="0.15">
      <c r="A1191" s="576">
        <v>78</v>
      </c>
      <c r="B1191" s="533" t="s">
        <v>141</v>
      </c>
      <c r="C1191" s="524">
        <f t="shared" ref="C1191:O1191" si="959">SUM(C1192:C1203)</f>
        <v>37196955.944227181</v>
      </c>
      <c r="D1191" s="524">
        <f t="shared" si="959"/>
        <v>2911657.3244517436</v>
      </c>
      <c r="E1191" s="524">
        <f t="shared" si="959"/>
        <v>3885559.7925517717</v>
      </c>
      <c r="F1191" s="524">
        <f t="shared" si="959"/>
        <v>2612384.4621824888</v>
      </c>
      <c r="G1191" s="524">
        <f t="shared" si="959"/>
        <v>3294128.0869535259</v>
      </c>
      <c r="H1191" s="524">
        <f t="shared" si="959"/>
        <v>3719973.4495507521</v>
      </c>
      <c r="I1191" s="524">
        <f t="shared" si="959"/>
        <v>3649737.4350419552</v>
      </c>
      <c r="J1191" s="524">
        <f t="shared" si="959"/>
        <v>3171498.4094040487</v>
      </c>
      <c r="K1191" s="524">
        <f t="shared" si="959"/>
        <v>3087106.969842901</v>
      </c>
      <c r="L1191" s="524">
        <f t="shared" si="959"/>
        <v>2929103.548441533</v>
      </c>
      <c r="M1191" s="524">
        <f t="shared" si="959"/>
        <v>2209400.2713688905</v>
      </c>
      <c r="N1191" s="524">
        <f t="shared" si="959"/>
        <v>2846998.00088519</v>
      </c>
      <c r="O1191" s="524">
        <f t="shared" si="959"/>
        <v>2879408.1934476155</v>
      </c>
      <c r="P1191" s="511">
        <f t="shared" si="958"/>
        <v>1.0476540774106979E-4</v>
      </c>
      <c r="Q1191" s="530">
        <v>2159373</v>
      </c>
      <c r="R1191" s="480"/>
      <c r="T1191" s="512"/>
      <c r="U1191" s="513"/>
    </row>
    <row r="1192" spans="1:21" s="479" customFormat="1" x14ac:dyDescent="0.15">
      <c r="A1192" s="579"/>
      <c r="B1192" s="528" t="s">
        <v>294</v>
      </c>
      <c r="C1192" s="517">
        <f>'FG1'!I93</f>
        <v>24792092.269427471</v>
      </c>
      <c r="D1192" s="517">
        <f t="shared" ref="D1192:O1192" si="960">$C1192*D$19%</f>
        <v>1875142.4261392397</v>
      </c>
      <c r="E1192" s="517">
        <f t="shared" si="960"/>
        <v>2686609.7635294329</v>
      </c>
      <c r="F1192" s="517">
        <f t="shared" si="960"/>
        <v>1736613.1529546652</v>
      </c>
      <c r="G1192" s="517">
        <f t="shared" si="960"/>
        <v>2133253.3048755126</v>
      </c>
      <c r="H1192" s="517">
        <f t="shared" si="960"/>
        <v>2605168.4071085164</v>
      </c>
      <c r="I1192" s="517">
        <f t="shared" si="960"/>
        <v>2553984.4956846409</v>
      </c>
      <c r="J1192" s="517">
        <f t="shared" si="960"/>
        <v>1979857.9607334074</v>
      </c>
      <c r="K1192" s="517">
        <f t="shared" si="960"/>
        <v>2102083.9556778846</v>
      </c>
      <c r="L1192" s="517">
        <f t="shared" si="960"/>
        <v>1975437.5327147203</v>
      </c>
      <c r="M1192" s="517">
        <f t="shared" si="960"/>
        <v>1309563.2687506056</v>
      </c>
      <c r="N1192" s="517">
        <f t="shared" si="960"/>
        <v>1911240.8415154079</v>
      </c>
      <c r="O1192" s="517">
        <f t="shared" si="960"/>
        <v>1923137.1597186462</v>
      </c>
      <c r="P1192" s="511">
        <f t="shared" si="958"/>
        <v>2.4796463549137115E-5</v>
      </c>
      <c r="Q1192" s="530">
        <v>1482139</v>
      </c>
      <c r="R1192" s="480"/>
      <c r="U1192" s="513"/>
    </row>
    <row r="1193" spans="1:21" s="479" customFormat="1" x14ac:dyDescent="0.15">
      <c r="A1193" s="579"/>
      <c r="B1193" s="528" t="s">
        <v>296</v>
      </c>
      <c r="C1193" s="517">
        <f>FFM!J93</f>
        <v>6664012.6454308741</v>
      </c>
      <c r="D1193" s="517">
        <f t="shared" ref="D1193:O1193" si="961">$C1193*D$20%</f>
        <v>503953.56084734859</v>
      </c>
      <c r="E1193" s="517">
        <f t="shared" si="961"/>
        <v>722499.31215733488</v>
      </c>
      <c r="F1193" s="517">
        <f t="shared" si="961"/>
        <v>466644.62571523828</v>
      </c>
      <c r="G1193" s="517">
        <f t="shared" si="961"/>
        <v>573468.41959911934</v>
      </c>
      <c r="H1193" s="517">
        <f t="shared" si="961"/>
        <v>700565.39059231803</v>
      </c>
      <c r="I1193" s="517">
        <f t="shared" si="961"/>
        <v>686780.45125283801</v>
      </c>
      <c r="J1193" s="517">
        <f t="shared" si="961"/>
        <v>532109.06918575824</v>
      </c>
      <c r="K1193" s="517">
        <f t="shared" si="961"/>
        <v>565027.18038169248</v>
      </c>
      <c r="L1193" s="517">
        <f t="shared" si="961"/>
        <v>530918.54921763926</v>
      </c>
      <c r="M1193" s="517">
        <f t="shared" si="961"/>
        <v>351584.16941215337</v>
      </c>
      <c r="N1193" s="517">
        <f t="shared" si="961"/>
        <v>513628.98968760873</v>
      </c>
      <c r="O1193" s="517">
        <f t="shared" si="961"/>
        <v>516832.92730185681</v>
      </c>
      <c r="P1193" s="511">
        <f t="shared" si="958"/>
        <v>7.9967954661697149E-5</v>
      </c>
      <c r="Q1193" s="530">
        <v>453784</v>
      </c>
      <c r="R1193" s="480"/>
      <c r="U1193" s="513"/>
    </row>
    <row r="1194" spans="1:21" s="479" customFormat="1" ht="18" x14ac:dyDescent="0.15">
      <c r="A1194" s="579"/>
      <c r="B1194" s="528" t="s">
        <v>297</v>
      </c>
      <c r="C1194" s="517">
        <f>IEPS!I92</f>
        <v>599571.9746314314</v>
      </c>
      <c r="D1194" s="517">
        <f t="shared" ref="D1194:O1194" si="962">$C1194*D$21%</f>
        <v>42113.828130359951</v>
      </c>
      <c r="E1194" s="517">
        <f t="shared" si="962"/>
        <v>96259.85819425821</v>
      </c>
      <c r="F1194" s="517">
        <f t="shared" si="962"/>
        <v>39982.476809846637</v>
      </c>
      <c r="G1194" s="517">
        <f t="shared" si="962"/>
        <v>38857.368644157134</v>
      </c>
      <c r="H1194" s="517">
        <f t="shared" si="962"/>
        <v>42900.6726291675</v>
      </c>
      <c r="I1194" s="517">
        <f t="shared" si="962"/>
        <v>44488.852220167028</v>
      </c>
      <c r="J1194" s="517">
        <f t="shared" si="962"/>
        <v>45815.293624701008</v>
      </c>
      <c r="K1194" s="517">
        <f t="shared" si="962"/>
        <v>50749.93239748128</v>
      </c>
      <c r="L1194" s="517">
        <f t="shared" si="962"/>
        <v>50856.276585173357</v>
      </c>
      <c r="M1194" s="517">
        <f t="shared" si="962"/>
        <v>50291.047023012849</v>
      </c>
      <c r="N1194" s="517">
        <f t="shared" si="962"/>
        <v>48665.093439495518</v>
      </c>
      <c r="O1194" s="517">
        <f t="shared" si="962"/>
        <v>48591.274933011329</v>
      </c>
      <c r="P1194" s="511">
        <f t="shared" si="958"/>
        <v>5.9958983911201358E-7</v>
      </c>
      <c r="Q1194" s="530">
        <v>38278</v>
      </c>
      <c r="R1194" s="480"/>
      <c r="U1194" s="513"/>
    </row>
    <row r="1195" spans="1:21" s="479" customFormat="1" x14ac:dyDescent="0.15">
      <c r="A1195" s="579"/>
      <c r="B1195" s="528" t="s">
        <v>236</v>
      </c>
      <c r="C1195" s="517">
        <f>ISR!C83</f>
        <v>2409576.85</v>
      </c>
      <c r="D1195" s="517">
        <f>ISR!D83</f>
        <v>200798.07083333327</v>
      </c>
      <c r="E1195" s="517">
        <f>ISR!E83</f>
        <v>200798.07083333327</v>
      </c>
      <c r="F1195" s="517">
        <f>ISR!F83</f>
        <v>200798.07083333327</v>
      </c>
      <c r="G1195" s="517">
        <f>ISR!G83</f>
        <v>200798.07083333327</v>
      </c>
      <c r="H1195" s="517">
        <f>ISR!H83</f>
        <v>200798.07083333327</v>
      </c>
      <c r="I1195" s="517">
        <f>ISR!I83</f>
        <v>200798.07083333327</v>
      </c>
      <c r="J1195" s="517">
        <f>ISR!J83</f>
        <v>200798.07083333327</v>
      </c>
      <c r="K1195" s="517">
        <f>ISR!K83</f>
        <v>200798.07083333327</v>
      </c>
      <c r="L1195" s="517">
        <f>ISR!L83</f>
        <v>200798.07083333327</v>
      </c>
      <c r="M1195" s="517">
        <f>ISR!M83</f>
        <v>200798.07083333327</v>
      </c>
      <c r="N1195" s="517">
        <f>ISR!N83</f>
        <v>200798.07083333327</v>
      </c>
      <c r="O1195" s="517">
        <f>ISR!O83</f>
        <v>200798.07083333327</v>
      </c>
      <c r="P1195" s="511">
        <f t="shared" si="958"/>
        <v>5.2386894822120667E-10</v>
      </c>
      <c r="Q1195" s="530">
        <v>0</v>
      </c>
      <c r="R1195" s="480"/>
      <c r="U1195" s="513"/>
    </row>
    <row r="1196" spans="1:21" s="479" customFormat="1" ht="18" x14ac:dyDescent="0.15">
      <c r="A1196" s="579"/>
      <c r="B1196" s="528" t="s">
        <v>298</v>
      </c>
      <c r="C1196" s="517">
        <f>FOFIR!I92</f>
        <v>1159569.2480414957</v>
      </c>
      <c r="D1196" s="517">
        <f t="shared" ref="D1196:O1196" si="963">$C1196*D$23%</f>
        <v>158531.08441343802</v>
      </c>
      <c r="E1196" s="517">
        <f t="shared" si="963"/>
        <v>40333.607353316023</v>
      </c>
      <c r="F1196" s="517">
        <f t="shared" si="963"/>
        <v>40333.607353316023</v>
      </c>
      <c r="G1196" s="517">
        <f t="shared" si="963"/>
        <v>227616.03422543142</v>
      </c>
      <c r="H1196" s="517">
        <f t="shared" si="963"/>
        <v>40333.607353316023</v>
      </c>
      <c r="I1196" s="517">
        <f t="shared" si="963"/>
        <v>40333.607353316023</v>
      </c>
      <c r="J1196" s="517">
        <f t="shared" si="963"/>
        <v>283117.67040356412</v>
      </c>
      <c r="K1196" s="517">
        <f t="shared" si="963"/>
        <v>40333.607353316023</v>
      </c>
      <c r="L1196" s="517">
        <f t="shared" si="963"/>
        <v>40333.607353316023</v>
      </c>
      <c r="M1196" s="517">
        <f t="shared" si="963"/>
        <v>167635.60017717219</v>
      </c>
      <c r="N1196" s="517">
        <f t="shared" si="963"/>
        <v>40333.607353316023</v>
      </c>
      <c r="O1196" s="517">
        <f t="shared" si="963"/>
        <v>40333.607353316023</v>
      </c>
      <c r="P1196" s="511">
        <f t="shared" si="958"/>
        <v>-4.6382774598896503E-6</v>
      </c>
      <c r="Q1196" s="530">
        <v>45088</v>
      </c>
      <c r="R1196" s="480"/>
      <c r="U1196" s="513"/>
    </row>
    <row r="1197" spans="1:21" s="479" customFormat="1" ht="27" x14ac:dyDescent="0.15">
      <c r="A1197" s="579"/>
      <c r="B1197" s="528" t="s">
        <v>407</v>
      </c>
      <c r="C1197" s="517">
        <f>FCISAN!I92</f>
        <v>73610.903931229535</v>
      </c>
      <c r="D1197" s="517">
        <f t="shared" ref="D1197:O1197" si="964">$C1197*D$24%</f>
        <v>6134.2419942445922</v>
      </c>
      <c r="E1197" s="517">
        <f t="shared" si="964"/>
        <v>6134.2419942445922</v>
      </c>
      <c r="F1197" s="517">
        <f t="shared" si="964"/>
        <v>6134.2419942445922</v>
      </c>
      <c r="G1197" s="517">
        <f t="shared" si="964"/>
        <v>6134.2419942445922</v>
      </c>
      <c r="H1197" s="517">
        <f t="shared" si="964"/>
        <v>6134.2419942445922</v>
      </c>
      <c r="I1197" s="517">
        <f t="shared" si="964"/>
        <v>6134.2419942445922</v>
      </c>
      <c r="J1197" s="517">
        <f t="shared" si="964"/>
        <v>6134.2419942445922</v>
      </c>
      <c r="K1197" s="517">
        <f t="shared" si="964"/>
        <v>6134.2419942445922</v>
      </c>
      <c r="L1197" s="517">
        <f t="shared" si="964"/>
        <v>6134.2419942445922</v>
      </c>
      <c r="M1197" s="517">
        <f t="shared" si="964"/>
        <v>6134.2419942445922</v>
      </c>
      <c r="N1197" s="517">
        <f t="shared" si="964"/>
        <v>6134.2419942445922</v>
      </c>
      <c r="O1197" s="517">
        <f t="shared" si="964"/>
        <v>6134.2419942445922</v>
      </c>
      <c r="P1197" s="511">
        <f t="shared" si="958"/>
        <v>2.944361767731607E-7</v>
      </c>
      <c r="Q1197" s="530">
        <v>5361</v>
      </c>
      <c r="R1197" s="480"/>
      <c r="U1197" s="513"/>
    </row>
    <row r="1198" spans="1:21" s="479" customFormat="1" ht="27" x14ac:dyDescent="0.15">
      <c r="A1198" s="579"/>
      <c r="B1198" s="528" t="s">
        <v>242</v>
      </c>
      <c r="C1198" s="517">
        <f>ISAN!I92</f>
        <v>367695.09788756358</v>
      </c>
      <c r="D1198" s="517">
        <f t="shared" ref="D1198:O1198" si="965">$C1198*D$25%</f>
        <v>35384.625738978248</v>
      </c>
      <c r="E1198" s="517">
        <f t="shared" si="965"/>
        <v>39520.931897306196</v>
      </c>
      <c r="F1198" s="517">
        <f t="shared" si="965"/>
        <v>30671.732546716725</v>
      </c>
      <c r="G1198" s="517">
        <f t="shared" si="965"/>
        <v>28466.531614752494</v>
      </c>
      <c r="H1198" s="517">
        <f t="shared" si="965"/>
        <v>30437.015887059315</v>
      </c>
      <c r="I1198" s="517">
        <f t="shared" si="965"/>
        <v>26435.474422760864</v>
      </c>
      <c r="J1198" s="517">
        <f t="shared" si="965"/>
        <v>28638.783350550999</v>
      </c>
      <c r="K1198" s="517">
        <f t="shared" si="965"/>
        <v>29534.113665533754</v>
      </c>
      <c r="L1198" s="517">
        <f t="shared" si="965"/>
        <v>29021.144022204375</v>
      </c>
      <c r="M1198" s="517">
        <f t="shared" si="965"/>
        <v>29732.86590771941</v>
      </c>
      <c r="N1198" s="517">
        <f t="shared" si="965"/>
        <v>28788.320144763897</v>
      </c>
      <c r="O1198" s="517">
        <f t="shared" si="965"/>
        <v>31063.558684804968</v>
      </c>
      <c r="P1198" s="511">
        <f t="shared" si="958"/>
        <v>4.412358975969255E-6</v>
      </c>
      <c r="Q1198" s="530">
        <v>23040</v>
      </c>
      <c r="R1198" s="480"/>
      <c r="U1198" s="513"/>
    </row>
    <row r="1199" spans="1:21" s="479" customFormat="1" ht="18" x14ac:dyDescent="0.15">
      <c r="A1199" s="579"/>
      <c r="B1199" s="528" t="s">
        <v>403</v>
      </c>
      <c r="C1199" s="517">
        <f>LOT!I92</f>
        <v>17799.014773415278</v>
      </c>
      <c r="D1199" s="517">
        <f t="shared" ref="D1199:O1199" si="966">$C1199*D$26%</f>
        <v>1345.7904298201322</v>
      </c>
      <c r="E1199" s="517">
        <f t="shared" si="966"/>
        <v>1326.7147462176031</v>
      </c>
      <c r="F1199" s="517">
        <f t="shared" si="966"/>
        <v>1303.9977448894674</v>
      </c>
      <c r="G1199" s="517">
        <f t="shared" si="966"/>
        <v>1434.6886979250858</v>
      </c>
      <c r="H1199" s="517">
        <f t="shared" si="966"/>
        <v>1173.8364957308188</v>
      </c>
      <c r="I1199" s="517">
        <f t="shared" si="966"/>
        <v>1592.9559717423517</v>
      </c>
      <c r="J1199" s="517">
        <f t="shared" si="966"/>
        <v>3655.8322423689956</v>
      </c>
      <c r="K1199" s="517">
        <f t="shared" si="966"/>
        <v>1330.8540490325047</v>
      </c>
      <c r="L1199" s="517">
        <f t="shared" si="966"/>
        <v>1614.8260812277829</v>
      </c>
      <c r="M1199" s="517">
        <f t="shared" si="966"/>
        <v>999.79863679473044</v>
      </c>
      <c r="N1199" s="517">
        <f t="shared" si="966"/>
        <v>1009.8598387261087</v>
      </c>
      <c r="O1199" s="517">
        <f t="shared" si="966"/>
        <v>1009.8598387261087</v>
      </c>
      <c r="P1199" s="511">
        <f t="shared" si="958"/>
        <v>2.1358914636948612E-7</v>
      </c>
      <c r="Q1199" s="530">
        <v>1124</v>
      </c>
      <c r="R1199" s="480"/>
      <c r="U1199" s="513"/>
    </row>
    <row r="1200" spans="1:21" s="479" customFormat="1" ht="45" x14ac:dyDescent="0.15">
      <c r="A1200" s="579"/>
      <c r="B1200" s="518" t="s">
        <v>301</v>
      </c>
      <c r="C1200" s="517">
        <f>'ENAJENAC DE INMUE'!I92</f>
        <v>69987.83881351442</v>
      </c>
      <c r="D1200" s="517">
        <f t="shared" ref="D1200:O1200" si="967">$C1200*D$27%</f>
        <v>3022.4750457241807</v>
      </c>
      <c r="E1200" s="517">
        <f t="shared" si="967"/>
        <v>3066.9930749180662</v>
      </c>
      <c r="F1200" s="517">
        <f t="shared" si="967"/>
        <v>3025.6459064909018</v>
      </c>
      <c r="G1200" s="517">
        <f t="shared" si="967"/>
        <v>3007.9225155525364</v>
      </c>
      <c r="H1200" s="517">
        <f t="shared" si="967"/>
        <v>4172.5629695196276</v>
      </c>
      <c r="I1200" s="517">
        <f t="shared" si="967"/>
        <v>3003.3173157586075</v>
      </c>
      <c r="J1200" s="517">
        <f t="shared" si="967"/>
        <v>3451.6495305948483</v>
      </c>
      <c r="K1200" s="517">
        <f t="shared" si="967"/>
        <v>3448.0966185339043</v>
      </c>
      <c r="L1200" s="517">
        <f t="shared" si="967"/>
        <v>3443.7285539850177</v>
      </c>
      <c r="M1200" s="517">
        <f t="shared" si="967"/>
        <v>3007.4301305300587</v>
      </c>
      <c r="N1200" s="517">
        <f t="shared" si="967"/>
        <v>12503.788500363597</v>
      </c>
      <c r="O1200" s="517">
        <f t="shared" si="967"/>
        <v>24834.228651403097</v>
      </c>
      <c r="P1200" s="511">
        <f t="shared" si="958"/>
        <v>1.3998578651808202E-7</v>
      </c>
      <c r="Q1200" s="530">
        <v>16421</v>
      </c>
      <c r="R1200" s="480"/>
      <c r="U1200" s="513"/>
    </row>
    <row r="1201" spans="1:21" s="479" customFormat="1" ht="27" x14ac:dyDescent="0.15">
      <c r="A1201" s="579"/>
      <c r="B1201" s="518" t="s">
        <v>248</v>
      </c>
      <c r="C1201" s="517">
        <f>'IMP BEBIDAS AL'!I92</f>
        <v>27354.945876781399</v>
      </c>
      <c r="D1201" s="517">
        <f t="shared" ref="D1201:O1201" si="968">$C1201*D$28%</f>
        <v>6220.2574304285563</v>
      </c>
      <c r="E1201" s="517">
        <f t="shared" si="968"/>
        <v>2139.5426667035249</v>
      </c>
      <c r="F1201" s="517">
        <f t="shared" si="968"/>
        <v>2299.2660926694748</v>
      </c>
      <c r="G1201" s="517">
        <f t="shared" si="968"/>
        <v>2282.7604269038216</v>
      </c>
      <c r="H1201" s="517">
        <f t="shared" si="968"/>
        <v>1453.6728401562007</v>
      </c>
      <c r="I1201" s="517">
        <f t="shared" si="968"/>
        <v>2378.9379414019586</v>
      </c>
      <c r="J1201" s="517">
        <f t="shared" si="968"/>
        <v>2365.5472516509599</v>
      </c>
      <c r="K1201" s="517">
        <f t="shared" si="968"/>
        <v>2163.4655622654095</v>
      </c>
      <c r="L1201" s="517">
        <f t="shared" si="968"/>
        <v>1569.0061045495365</v>
      </c>
      <c r="M1201" s="517">
        <f t="shared" si="968"/>
        <v>1458.5301588178424</v>
      </c>
      <c r="N1201" s="517">
        <f t="shared" si="968"/>
        <v>1468.8399379078367</v>
      </c>
      <c r="O1201" s="517">
        <f t="shared" si="968"/>
        <v>1555.1194633262789</v>
      </c>
      <c r="P1201" s="511">
        <f t="shared" si="958"/>
        <v>0</v>
      </c>
      <c r="Q1201" s="530">
        <v>704</v>
      </c>
      <c r="R1201" s="480"/>
      <c r="U1201" s="513"/>
    </row>
    <row r="1202" spans="1:21" s="479" customFormat="1" ht="18" x14ac:dyDescent="0.15">
      <c r="A1202" s="579"/>
      <c r="B1202" s="518" t="s">
        <v>253</v>
      </c>
      <c r="C1202" s="517">
        <f>'FOND GASO Y D'!Q93</f>
        <v>0</v>
      </c>
      <c r="D1202" s="517">
        <f t="shared" ref="D1202:O1202" si="969">$C1202*D$29%</f>
        <v>0</v>
      </c>
      <c r="E1202" s="517">
        <f t="shared" si="969"/>
        <v>0</v>
      </c>
      <c r="F1202" s="517">
        <f t="shared" si="969"/>
        <v>0</v>
      </c>
      <c r="G1202" s="517">
        <f t="shared" si="969"/>
        <v>0</v>
      </c>
      <c r="H1202" s="517">
        <f t="shared" si="969"/>
        <v>0</v>
      </c>
      <c r="I1202" s="517">
        <f t="shared" si="969"/>
        <v>0</v>
      </c>
      <c r="J1202" s="517">
        <f t="shared" si="969"/>
        <v>0</v>
      </c>
      <c r="K1202" s="517">
        <f t="shared" si="969"/>
        <v>0</v>
      </c>
      <c r="L1202" s="517">
        <f t="shared" si="969"/>
        <v>0</v>
      </c>
      <c r="M1202" s="517">
        <f t="shared" si="969"/>
        <v>0</v>
      </c>
      <c r="N1202" s="517">
        <f t="shared" si="969"/>
        <v>0</v>
      </c>
      <c r="O1202" s="517">
        <f t="shared" si="969"/>
        <v>0</v>
      </c>
      <c r="P1202" s="511">
        <f t="shared" si="958"/>
        <v>0</v>
      </c>
      <c r="Q1202" s="530">
        <v>31360</v>
      </c>
      <c r="R1202" s="480"/>
      <c r="U1202" s="513"/>
    </row>
    <row r="1203" spans="1:21" s="479" customFormat="1" ht="18" x14ac:dyDescent="0.15">
      <c r="A1203" s="579"/>
      <c r="B1203" s="528" t="s">
        <v>408</v>
      </c>
      <c r="C1203" s="519">
        <f>'FOND GASO Y D'!H93</f>
        <v>1015685.1554134049</v>
      </c>
      <c r="D1203" s="517">
        <f t="shared" ref="D1203:O1203" si="970">$C1203*D$30%</f>
        <v>79010.963448828203</v>
      </c>
      <c r="E1203" s="517">
        <f t="shared" si="970"/>
        <v>86870.756104706292</v>
      </c>
      <c r="F1203" s="517">
        <f t="shared" si="970"/>
        <v>84577.644231077924</v>
      </c>
      <c r="G1203" s="517">
        <f t="shared" si="970"/>
        <v>78808.743526593855</v>
      </c>
      <c r="H1203" s="517">
        <f t="shared" si="970"/>
        <v>86835.970847390039</v>
      </c>
      <c r="I1203" s="517">
        <f t="shared" si="970"/>
        <v>83807.030051751615</v>
      </c>
      <c r="J1203" s="517">
        <f t="shared" si="970"/>
        <v>85554.290253873827</v>
      </c>
      <c r="K1203" s="517">
        <f t="shared" si="970"/>
        <v>85503.451309583004</v>
      </c>
      <c r="L1203" s="517">
        <f t="shared" si="970"/>
        <v>88976.564981139163</v>
      </c>
      <c r="M1203" s="517">
        <f t="shared" si="970"/>
        <v>88195.248344506952</v>
      </c>
      <c r="N1203" s="517">
        <f t="shared" si="970"/>
        <v>82426.347640022897</v>
      </c>
      <c r="O1203" s="517">
        <f t="shared" si="970"/>
        <v>85118.144674946816</v>
      </c>
      <c r="P1203" s="511">
        <f t="shared" si="958"/>
        <v>-1.0157818906009197E-6</v>
      </c>
      <c r="Q1203" s="530">
        <v>62074</v>
      </c>
      <c r="R1203" s="480"/>
      <c r="U1203" s="513"/>
    </row>
    <row r="1204" spans="1:21" s="479" customFormat="1" x14ac:dyDescent="0.15">
      <c r="A1204" s="579"/>
      <c r="C1204" s="521"/>
      <c r="D1204" s="522"/>
      <c r="E1204" s="522"/>
      <c r="F1204" s="522"/>
      <c r="G1204" s="522"/>
      <c r="H1204" s="522"/>
      <c r="I1204" s="522"/>
      <c r="J1204" s="522"/>
      <c r="K1204" s="522"/>
      <c r="L1204" s="522"/>
      <c r="M1204" s="522"/>
      <c r="N1204" s="522"/>
      <c r="O1204" s="522"/>
      <c r="P1204" s="511">
        <f t="shared" si="958"/>
        <v>0</v>
      </c>
      <c r="Q1204" s="530">
        <v>0</v>
      </c>
      <c r="R1204" s="480"/>
      <c r="U1204" s="513"/>
    </row>
    <row r="1205" spans="1:21" s="479" customFormat="1" x14ac:dyDescent="0.15">
      <c r="A1205" s="591"/>
      <c r="B1205" s="532"/>
      <c r="C1205" s="521"/>
      <c r="D1205" s="522"/>
      <c r="E1205" s="522"/>
      <c r="F1205" s="522"/>
      <c r="G1205" s="522"/>
      <c r="H1205" s="522"/>
      <c r="I1205" s="522"/>
      <c r="J1205" s="522"/>
      <c r="K1205" s="522"/>
      <c r="L1205" s="522"/>
      <c r="M1205" s="522"/>
      <c r="N1205" s="522"/>
      <c r="O1205" s="522"/>
      <c r="P1205" s="511">
        <f t="shared" si="958"/>
        <v>0</v>
      </c>
      <c r="Q1205" s="530">
        <v>0</v>
      </c>
      <c r="R1205" s="480"/>
      <c r="U1205" s="513"/>
    </row>
    <row r="1206" spans="1:21" s="479" customFormat="1" x14ac:dyDescent="0.15">
      <c r="A1206" s="576">
        <v>79</v>
      </c>
      <c r="B1206" s="533" t="s">
        <v>138</v>
      </c>
      <c r="C1206" s="524">
        <f t="shared" ref="C1206:O1206" si="971">SUM(C1207:C1218)</f>
        <v>89375228.866934627</v>
      </c>
      <c r="D1206" s="524">
        <f t="shared" si="971"/>
        <v>7001495.7496775668</v>
      </c>
      <c r="E1206" s="524">
        <f t="shared" si="971"/>
        <v>9393857.808943538</v>
      </c>
      <c r="F1206" s="524">
        <f t="shared" si="971"/>
        <v>6229826.3482842175</v>
      </c>
      <c r="G1206" s="524">
        <f t="shared" si="971"/>
        <v>7916237.7986206161</v>
      </c>
      <c r="H1206" s="524">
        <f t="shared" si="971"/>
        <v>8988857.4326311443</v>
      </c>
      <c r="I1206" s="524">
        <f t="shared" si="971"/>
        <v>8853077.6421087459</v>
      </c>
      <c r="J1206" s="524">
        <f t="shared" si="971"/>
        <v>7659852.6134490212</v>
      </c>
      <c r="K1206" s="524">
        <f t="shared" si="971"/>
        <v>7405405.2182840016</v>
      </c>
      <c r="L1206" s="524">
        <f t="shared" si="971"/>
        <v>7010951.2810159791</v>
      </c>
      <c r="M1206" s="524">
        <f t="shared" si="971"/>
        <v>5218984.6714270068</v>
      </c>
      <c r="N1206" s="524">
        <f t="shared" si="971"/>
        <v>6808373.8734890819</v>
      </c>
      <c r="O1206" s="524">
        <f t="shared" si="971"/>
        <v>6888308.4287425578</v>
      </c>
      <c r="P1206" s="511">
        <f t="shared" si="958"/>
        <v>2.6114657521247864E-4</v>
      </c>
      <c r="Q1206" s="530">
        <v>5346881</v>
      </c>
      <c r="R1206" s="480"/>
      <c r="T1206" s="512"/>
      <c r="U1206" s="513"/>
    </row>
    <row r="1207" spans="1:21" s="479" customFormat="1" x14ac:dyDescent="0.15">
      <c r="A1207" s="579"/>
      <c r="B1207" s="528" t="s">
        <v>294</v>
      </c>
      <c r="C1207" s="517">
        <f>'FG1'!I94</f>
        <v>61736778.385493293</v>
      </c>
      <c r="D1207" s="517">
        <f t="shared" ref="D1207:O1207" si="972">$C1207*D$19%</f>
        <v>4669442.6249192022</v>
      </c>
      <c r="E1207" s="517">
        <f t="shared" si="972"/>
        <v>6690142.5574256079</v>
      </c>
      <c r="F1207" s="517">
        <f t="shared" si="972"/>
        <v>4324479.7655704608</v>
      </c>
      <c r="G1207" s="517">
        <f t="shared" si="972"/>
        <v>5312185.23600074</v>
      </c>
      <c r="H1207" s="517">
        <f t="shared" si="972"/>
        <v>6487338.9005929688</v>
      </c>
      <c r="I1207" s="517">
        <f t="shared" si="972"/>
        <v>6359881.7355365446</v>
      </c>
      <c r="J1207" s="517">
        <f t="shared" si="972"/>
        <v>4930203.1804424124</v>
      </c>
      <c r="K1207" s="517">
        <f t="shared" si="972"/>
        <v>5234567.9383994807</v>
      </c>
      <c r="L1207" s="517">
        <f t="shared" si="972"/>
        <v>4919195.5179186948</v>
      </c>
      <c r="M1207" s="517">
        <f t="shared" si="972"/>
        <v>3261048.5805724771</v>
      </c>
      <c r="N1207" s="517">
        <f t="shared" si="972"/>
        <v>4759334.1857413677</v>
      </c>
      <c r="O1207" s="517">
        <f t="shared" si="972"/>
        <v>4788958.1623116024</v>
      </c>
      <c r="P1207" s="511">
        <f t="shared" si="958"/>
        <v>6.1727128922939301E-5</v>
      </c>
      <c r="Q1207" s="530">
        <v>3688267</v>
      </c>
      <c r="R1207" s="480"/>
      <c r="U1207" s="513"/>
    </row>
    <row r="1208" spans="1:21" s="479" customFormat="1" x14ac:dyDescent="0.15">
      <c r="A1208" s="579"/>
      <c r="B1208" s="528" t="s">
        <v>296</v>
      </c>
      <c r="C1208" s="517">
        <f>FFM!J94</f>
        <v>16594592.63776738</v>
      </c>
      <c r="D1208" s="517">
        <f t="shared" ref="D1208:O1208" si="973">$C1208*D$20%</f>
        <v>1254935.2012931763</v>
      </c>
      <c r="E1208" s="517">
        <f t="shared" si="973"/>
        <v>1799153.5136924845</v>
      </c>
      <c r="F1208" s="517">
        <f t="shared" si="973"/>
        <v>1162029.2280893654</v>
      </c>
      <c r="G1208" s="517">
        <f t="shared" si="973"/>
        <v>1428039.7292457921</v>
      </c>
      <c r="H1208" s="517">
        <f t="shared" si="973"/>
        <v>1744534.0955301018</v>
      </c>
      <c r="I1208" s="517">
        <f t="shared" si="973"/>
        <v>1710207.1119173304</v>
      </c>
      <c r="J1208" s="517">
        <f t="shared" si="973"/>
        <v>1325047.491927187</v>
      </c>
      <c r="K1208" s="517">
        <f t="shared" si="973"/>
        <v>1407019.522108702</v>
      </c>
      <c r="L1208" s="517">
        <f t="shared" si="973"/>
        <v>1322082.8826220697</v>
      </c>
      <c r="M1208" s="517">
        <f t="shared" si="973"/>
        <v>875507.9528972361</v>
      </c>
      <c r="N1208" s="517">
        <f t="shared" si="973"/>
        <v>1279028.7630468307</v>
      </c>
      <c r="O1208" s="517">
        <f t="shared" si="973"/>
        <v>1287007.1451979694</v>
      </c>
      <c r="P1208" s="511">
        <f t="shared" si="958"/>
        <v>1.9913469441235065E-4</v>
      </c>
      <c r="Q1208" s="530">
        <v>1129229</v>
      </c>
      <c r="R1208" s="480"/>
      <c r="U1208" s="513"/>
    </row>
    <row r="1209" spans="1:21" s="479" customFormat="1" ht="18" x14ac:dyDescent="0.15">
      <c r="A1209" s="579"/>
      <c r="B1209" s="528" t="s">
        <v>297</v>
      </c>
      <c r="C1209" s="517">
        <f>IEPS!I93</f>
        <v>1493042.2862946249</v>
      </c>
      <c r="D1209" s="517">
        <f t="shared" ref="D1209:O1209" si="974">$C1209*D$21%</f>
        <v>104871.02282428007</v>
      </c>
      <c r="E1209" s="517">
        <f t="shared" si="974"/>
        <v>239704.39719951749</v>
      </c>
      <c r="F1209" s="517">
        <f t="shared" si="974"/>
        <v>99563.57387216315</v>
      </c>
      <c r="G1209" s="517">
        <f t="shared" si="974"/>
        <v>96761.851745203428</v>
      </c>
      <c r="H1209" s="517">
        <f t="shared" si="974"/>
        <v>106830.40745058809</v>
      </c>
      <c r="I1209" s="517">
        <f t="shared" si="974"/>
        <v>110785.260892579</v>
      </c>
      <c r="J1209" s="517">
        <f t="shared" si="974"/>
        <v>114088.33907344073</v>
      </c>
      <c r="K1209" s="517">
        <f t="shared" si="974"/>
        <v>126376.47905843415</v>
      </c>
      <c r="L1209" s="517">
        <f t="shared" si="974"/>
        <v>126641.29525372668</v>
      </c>
      <c r="M1209" s="517">
        <f t="shared" si="974"/>
        <v>125233.77176451056</v>
      </c>
      <c r="N1209" s="517">
        <f t="shared" si="974"/>
        <v>121184.85427260151</v>
      </c>
      <c r="O1209" s="517">
        <f t="shared" si="974"/>
        <v>121001.03288608696</v>
      </c>
      <c r="P1209" s="511">
        <f t="shared" si="958"/>
        <v>1.4931720215827227E-6</v>
      </c>
      <c r="Q1209" s="530">
        <v>95252</v>
      </c>
      <c r="R1209" s="480"/>
      <c r="U1209" s="513"/>
    </row>
    <row r="1210" spans="1:21" s="479" customFormat="1" x14ac:dyDescent="0.15">
      <c r="A1210" s="579"/>
      <c r="B1210" s="528" t="s">
        <v>236</v>
      </c>
      <c r="C1210" s="517">
        <f>ISR!C84</f>
        <v>3039931.7</v>
      </c>
      <c r="D1210" s="517">
        <f>ISR!D84</f>
        <v>273647.26671923127</v>
      </c>
      <c r="E1210" s="517">
        <f>ISR!E84</f>
        <v>243072.75155497674</v>
      </c>
      <c r="F1210" s="517">
        <f>ISR!F84</f>
        <v>248819.12064611595</v>
      </c>
      <c r="G1210" s="517">
        <f>ISR!G84</f>
        <v>235910.13268783528</v>
      </c>
      <c r="H1210" s="517">
        <f>ISR!H84</f>
        <v>250402.23039572712</v>
      </c>
      <c r="I1210" s="517">
        <f>ISR!I84</f>
        <v>288653.33434583223</v>
      </c>
      <c r="J1210" s="517">
        <f>ISR!J84</f>
        <v>286831.22112935578</v>
      </c>
      <c r="K1210" s="517">
        <f>ISR!K84</f>
        <v>242519.12850418492</v>
      </c>
      <c r="L1210" s="517">
        <f>ISR!L84</f>
        <v>242519.12850418492</v>
      </c>
      <c r="M1210" s="517">
        <f>ISR!M84</f>
        <v>242519.12850418492</v>
      </c>
      <c r="N1210" s="517">
        <f>ISR!N84</f>
        <v>242519.12850418492</v>
      </c>
      <c r="O1210" s="517">
        <f>ISR!O84</f>
        <v>242519.12850418492</v>
      </c>
      <c r="P1210" s="511">
        <f t="shared" si="958"/>
        <v>1.4551915228366852E-9</v>
      </c>
      <c r="Q1210" s="530">
        <v>0</v>
      </c>
      <c r="R1210" s="480"/>
      <c r="U1210" s="513"/>
    </row>
    <row r="1211" spans="1:21" s="479" customFormat="1" ht="18" x14ac:dyDescent="0.15">
      <c r="A1211" s="579"/>
      <c r="B1211" s="528" t="s">
        <v>298</v>
      </c>
      <c r="C1211" s="517">
        <f>FOFIR!I93</f>
        <v>2887536.4334316473</v>
      </c>
      <c r="D1211" s="517">
        <f t="shared" ref="D1211:O1211" si="975">$C1211*D$23%</f>
        <v>394770.97452212608</v>
      </c>
      <c r="E1211" s="517">
        <f t="shared" si="975"/>
        <v>100437.95221469935</v>
      </c>
      <c r="F1211" s="517">
        <f t="shared" si="975"/>
        <v>100437.95221469935</v>
      </c>
      <c r="G1211" s="517">
        <f t="shared" si="975"/>
        <v>566804.95172603789</v>
      </c>
      <c r="H1211" s="517">
        <f t="shared" si="975"/>
        <v>100437.95221469935</v>
      </c>
      <c r="I1211" s="517">
        <f t="shared" si="975"/>
        <v>100437.95221469935</v>
      </c>
      <c r="J1211" s="517">
        <f t="shared" si="975"/>
        <v>705014.02966606547</v>
      </c>
      <c r="K1211" s="517">
        <f t="shared" si="975"/>
        <v>100437.95221469935</v>
      </c>
      <c r="L1211" s="517">
        <f t="shared" si="975"/>
        <v>100437.95221469935</v>
      </c>
      <c r="M1211" s="517">
        <f t="shared" si="975"/>
        <v>417442.85981137311</v>
      </c>
      <c r="N1211" s="517">
        <f t="shared" si="975"/>
        <v>100437.95221469935</v>
      </c>
      <c r="O1211" s="517">
        <f t="shared" si="975"/>
        <v>100437.95221469935</v>
      </c>
      <c r="P1211" s="511">
        <f t="shared" si="958"/>
        <v>-1.1549622286111116E-5</v>
      </c>
      <c r="Q1211" s="530">
        <v>112201</v>
      </c>
      <c r="R1211" s="480"/>
      <c r="U1211" s="513"/>
    </row>
    <row r="1212" spans="1:21" s="479" customFormat="1" ht="27" x14ac:dyDescent="0.15">
      <c r="A1212" s="579"/>
      <c r="B1212" s="528" t="s">
        <v>407</v>
      </c>
      <c r="C1212" s="517">
        <f>FCISAN!I93</f>
        <v>183304.41873847958</v>
      </c>
      <c r="D1212" s="517">
        <f t="shared" ref="D1212:O1212" si="976">$C1212*D$24%</f>
        <v>15275.368228145533</v>
      </c>
      <c r="E1212" s="517">
        <f t="shared" si="976"/>
        <v>15275.368228145533</v>
      </c>
      <c r="F1212" s="517">
        <f t="shared" si="976"/>
        <v>15275.368228145533</v>
      </c>
      <c r="G1212" s="517">
        <f t="shared" si="976"/>
        <v>15275.368228145533</v>
      </c>
      <c r="H1212" s="517">
        <f t="shared" si="976"/>
        <v>15275.368228145533</v>
      </c>
      <c r="I1212" s="517">
        <f t="shared" si="976"/>
        <v>15275.368228145533</v>
      </c>
      <c r="J1212" s="517">
        <f t="shared" si="976"/>
        <v>15275.368228145533</v>
      </c>
      <c r="K1212" s="517">
        <f t="shared" si="976"/>
        <v>15275.368228145533</v>
      </c>
      <c r="L1212" s="517">
        <f t="shared" si="976"/>
        <v>15275.368228145533</v>
      </c>
      <c r="M1212" s="517">
        <f t="shared" si="976"/>
        <v>15275.368228145533</v>
      </c>
      <c r="N1212" s="517">
        <f t="shared" si="976"/>
        <v>15275.368228145533</v>
      </c>
      <c r="O1212" s="517">
        <f t="shared" si="976"/>
        <v>15275.368228145533</v>
      </c>
      <c r="P1212" s="511">
        <f t="shared" si="958"/>
        <v>7.3323462856933475E-7</v>
      </c>
      <c r="Q1212" s="530">
        <v>13347</v>
      </c>
      <c r="R1212" s="480"/>
      <c r="U1212" s="513"/>
    </row>
    <row r="1213" spans="1:21" s="479" customFormat="1" ht="27" x14ac:dyDescent="0.15">
      <c r="A1213" s="579"/>
      <c r="B1213" s="528" t="s">
        <v>242</v>
      </c>
      <c r="C1213" s="517">
        <f>ISAN!I93</f>
        <v>915627.06870487926</v>
      </c>
      <c r="D1213" s="517">
        <f t="shared" ref="D1213:O1213" si="977">$C1213*D$25%</f>
        <v>88114.095969011556</v>
      </c>
      <c r="E1213" s="517">
        <f t="shared" si="977"/>
        <v>98414.243849073493</v>
      </c>
      <c r="F1213" s="517">
        <f t="shared" si="977"/>
        <v>76378.142447898397</v>
      </c>
      <c r="G1213" s="517">
        <f t="shared" si="977"/>
        <v>70886.794652293291</v>
      </c>
      <c r="H1213" s="517">
        <f t="shared" si="977"/>
        <v>75793.655658999094</v>
      </c>
      <c r="I1213" s="517">
        <f t="shared" si="977"/>
        <v>65829.096157645617</v>
      </c>
      <c r="J1213" s="517">
        <f t="shared" si="977"/>
        <v>71315.732521834158</v>
      </c>
      <c r="K1213" s="517">
        <f t="shared" si="977"/>
        <v>73545.266384374147</v>
      </c>
      <c r="L1213" s="517">
        <f t="shared" si="977"/>
        <v>72267.879512602754</v>
      </c>
      <c r="M1213" s="517">
        <f t="shared" si="977"/>
        <v>74040.195291385622</v>
      </c>
      <c r="N1213" s="517">
        <f t="shared" si="977"/>
        <v>71688.106092586924</v>
      </c>
      <c r="O1213" s="517">
        <f t="shared" si="977"/>
        <v>77353.860156186682</v>
      </c>
      <c r="P1213" s="511">
        <f t="shared" si="958"/>
        <v>1.0987467248924077E-5</v>
      </c>
      <c r="Q1213" s="530">
        <v>57333</v>
      </c>
      <c r="R1213" s="480"/>
      <c r="U1213" s="513"/>
    </row>
    <row r="1214" spans="1:21" s="479" customFormat="1" ht="18" x14ac:dyDescent="0.15">
      <c r="A1214" s="579"/>
      <c r="B1214" s="528" t="s">
        <v>403</v>
      </c>
      <c r="C1214" s="517">
        <f>LOT!I93</f>
        <v>44322.754957697485</v>
      </c>
      <c r="D1214" s="517">
        <f t="shared" ref="D1214:O1214" si="978">$C1214*D$26%</f>
        <v>3351.2607413767882</v>
      </c>
      <c r="E1214" s="517">
        <f t="shared" si="978"/>
        <v>3303.758850922251</v>
      </c>
      <c r="F1214" s="517">
        <f t="shared" si="978"/>
        <v>3247.1894230039975</v>
      </c>
      <c r="G1214" s="517">
        <f t="shared" si="978"/>
        <v>3572.6334523688979</v>
      </c>
      <c r="H1214" s="517">
        <f t="shared" si="978"/>
        <v>2923.0644517688834</v>
      </c>
      <c r="I1214" s="517">
        <f t="shared" si="978"/>
        <v>3966.7474909561861</v>
      </c>
      <c r="J1214" s="517">
        <f t="shared" si="978"/>
        <v>9103.6812266142697</v>
      </c>
      <c r="K1214" s="517">
        <f t="shared" si="978"/>
        <v>3314.0664610173117</v>
      </c>
      <c r="L1214" s="517">
        <f t="shared" si="978"/>
        <v>4021.2080055386332</v>
      </c>
      <c r="M1214" s="517">
        <f t="shared" si="978"/>
        <v>2489.6788136768246</v>
      </c>
      <c r="N1214" s="517">
        <f t="shared" si="978"/>
        <v>2514.7330199607845</v>
      </c>
      <c r="O1214" s="517">
        <f t="shared" si="978"/>
        <v>2514.7330199607845</v>
      </c>
      <c r="P1214" s="511">
        <f t="shared" si="958"/>
        <v>5.3187613957561553E-7</v>
      </c>
      <c r="Q1214" s="530">
        <v>2800</v>
      </c>
      <c r="R1214" s="480"/>
      <c r="U1214" s="513"/>
    </row>
    <row r="1215" spans="1:21" s="479" customFormat="1" ht="45" x14ac:dyDescent="0.15">
      <c r="A1215" s="579"/>
      <c r="B1215" s="518" t="s">
        <v>301</v>
      </c>
      <c r="C1215" s="517">
        <f>'ENAJENAC DE INMUE'!I93</f>
        <v>174282.33355834259</v>
      </c>
      <c r="D1215" s="517">
        <f t="shared" ref="D1215:O1215" si="979">$C1215*D$27%</f>
        <v>7526.5076479108548</v>
      </c>
      <c r="E1215" s="517">
        <f t="shared" si="979"/>
        <v>7637.3655647269779</v>
      </c>
      <c r="F1215" s="517">
        <f t="shared" si="979"/>
        <v>7534.4036627497353</v>
      </c>
      <c r="G1215" s="517">
        <f t="shared" si="979"/>
        <v>7490.2692247720825</v>
      </c>
      <c r="H1215" s="517">
        <f t="shared" si="979"/>
        <v>10390.433875014691</v>
      </c>
      <c r="I1215" s="517">
        <f t="shared" si="979"/>
        <v>7478.8014472239438</v>
      </c>
      <c r="J1215" s="517">
        <f t="shared" si="979"/>
        <v>8595.2294715159642</v>
      </c>
      <c r="K1215" s="517">
        <f t="shared" si="979"/>
        <v>8586.3820800918784</v>
      </c>
      <c r="L1215" s="517">
        <f t="shared" si="979"/>
        <v>8575.5048120461852</v>
      </c>
      <c r="M1215" s="517">
        <f t="shared" si="979"/>
        <v>7489.043097316493</v>
      </c>
      <c r="N1215" s="517">
        <f t="shared" si="979"/>
        <v>31136.687103167733</v>
      </c>
      <c r="O1215" s="517">
        <f t="shared" si="979"/>
        <v>61841.705571457489</v>
      </c>
      <c r="P1215" s="511">
        <f t="shared" si="958"/>
        <v>3.4855474950745702E-7</v>
      </c>
      <c r="Q1215" s="530">
        <v>40863</v>
      </c>
      <c r="R1215" s="480"/>
      <c r="U1215" s="513"/>
    </row>
    <row r="1216" spans="1:21" s="479" customFormat="1" ht="27" x14ac:dyDescent="0.15">
      <c r="A1216" s="579"/>
      <c r="B1216" s="518" t="s">
        <v>248</v>
      </c>
      <c r="C1216" s="517">
        <f>'IMP BEBIDAS AL'!I93</f>
        <v>68118.74580769366</v>
      </c>
      <c r="D1216" s="517">
        <f t="shared" ref="D1216:O1216" si="980">$C1216*D$28%</f>
        <v>15489.562168040206</v>
      </c>
      <c r="E1216" s="517">
        <f t="shared" si="980"/>
        <v>5327.8468805744405</v>
      </c>
      <c r="F1216" s="517">
        <f t="shared" si="980"/>
        <v>5725.5870004751532</v>
      </c>
      <c r="G1216" s="517">
        <f t="shared" si="980"/>
        <v>5684.484917665638</v>
      </c>
      <c r="H1216" s="517">
        <f t="shared" si="980"/>
        <v>3619.9073883087999</v>
      </c>
      <c r="I1216" s="517">
        <f t="shared" si="980"/>
        <v>5923.9842642198264</v>
      </c>
      <c r="J1216" s="517">
        <f t="shared" si="980"/>
        <v>5890.639033143636</v>
      </c>
      <c r="K1216" s="517">
        <f t="shared" si="980"/>
        <v>5387.4192024903559</v>
      </c>
      <c r="L1216" s="517">
        <f t="shared" si="980"/>
        <v>3907.1080048177714</v>
      </c>
      <c r="M1216" s="517">
        <f t="shared" si="980"/>
        <v>3632.0029872805449</v>
      </c>
      <c r="N1216" s="517">
        <f t="shared" si="980"/>
        <v>3657.6761954940876</v>
      </c>
      <c r="O1216" s="517">
        <f t="shared" si="980"/>
        <v>3872.5277651832039</v>
      </c>
      <c r="P1216" s="511">
        <f t="shared" si="958"/>
        <v>0</v>
      </c>
      <c r="Q1216" s="530">
        <v>1747</v>
      </c>
      <c r="R1216" s="480"/>
      <c r="U1216" s="513"/>
    </row>
    <row r="1217" spans="1:21" s="479" customFormat="1" ht="18" x14ac:dyDescent="0.15">
      <c r="A1217" s="579"/>
      <c r="B1217" s="518" t="s">
        <v>253</v>
      </c>
      <c r="C1217" s="517">
        <f>'FOND GASO Y D'!Q94</f>
        <v>0</v>
      </c>
      <c r="D1217" s="517">
        <f t="shared" ref="D1217:O1217" si="981">$C1217*D$29%</f>
        <v>0</v>
      </c>
      <c r="E1217" s="517">
        <f t="shared" si="981"/>
        <v>0</v>
      </c>
      <c r="F1217" s="517">
        <f t="shared" si="981"/>
        <v>0</v>
      </c>
      <c r="G1217" s="517">
        <f t="shared" si="981"/>
        <v>0</v>
      </c>
      <c r="H1217" s="517">
        <f t="shared" si="981"/>
        <v>0</v>
      </c>
      <c r="I1217" s="517">
        <f t="shared" si="981"/>
        <v>0</v>
      </c>
      <c r="J1217" s="517">
        <f t="shared" si="981"/>
        <v>0</v>
      </c>
      <c r="K1217" s="517">
        <f t="shared" si="981"/>
        <v>0</v>
      </c>
      <c r="L1217" s="517">
        <f t="shared" si="981"/>
        <v>0</v>
      </c>
      <c r="M1217" s="517">
        <f t="shared" si="981"/>
        <v>0</v>
      </c>
      <c r="N1217" s="517">
        <f t="shared" si="981"/>
        <v>0</v>
      </c>
      <c r="O1217" s="517">
        <f t="shared" si="981"/>
        <v>0</v>
      </c>
      <c r="P1217" s="511">
        <f t="shared" si="958"/>
        <v>0</v>
      </c>
      <c r="Q1217" s="530">
        <v>69088</v>
      </c>
      <c r="R1217" s="480"/>
      <c r="U1217" s="513"/>
    </row>
    <row r="1218" spans="1:21" s="479" customFormat="1" ht="18" x14ac:dyDescent="0.15">
      <c r="A1218" s="579"/>
      <c r="B1218" s="528" t="s">
        <v>408</v>
      </c>
      <c r="C1218" s="519">
        <f>'FOND GASO Y D'!H94</f>
        <v>2237692.1021806155</v>
      </c>
      <c r="D1218" s="517">
        <f t="shared" ref="D1218:O1218" si="982">$C1218*D$30%</f>
        <v>174071.86464506513</v>
      </c>
      <c r="E1218" s="517">
        <f t="shared" si="982"/>
        <v>191388.0534828128</v>
      </c>
      <c r="F1218" s="517">
        <f t="shared" si="982"/>
        <v>186336.01712913954</v>
      </c>
      <c r="G1218" s="517">
        <f t="shared" si="982"/>
        <v>173626.34673976188</v>
      </c>
      <c r="H1218" s="517">
        <f t="shared" si="982"/>
        <v>191311.41684482116</v>
      </c>
      <c r="I1218" s="517">
        <f t="shared" si="982"/>
        <v>184638.24961357019</v>
      </c>
      <c r="J1218" s="517">
        <f t="shared" si="982"/>
        <v>188487.70072930693</v>
      </c>
      <c r="K1218" s="517">
        <f t="shared" si="982"/>
        <v>188375.69564237972</v>
      </c>
      <c r="L1218" s="517">
        <f t="shared" si="982"/>
        <v>196027.4359394538</v>
      </c>
      <c r="M1218" s="517">
        <f t="shared" si="982"/>
        <v>194306.08945941925</v>
      </c>
      <c r="N1218" s="517">
        <f t="shared" si="982"/>
        <v>181596.41907004165</v>
      </c>
      <c r="O1218" s="517">
        <f t="shared" si="982"/>
        <v>187526.81288708115</v>
      </c>
      <c r="P1218" s="511">
        <f t="shared" si="958"/>
        <v>-2.2373860701918602E-6</v>
      </c>
      <c r="Q1218" s="530">
        <v>136754</v>
      </c>
      <c r="R1218" s="480"/>
      <c r="U1218" s="513"/>
    </row>
    <row r="1219" spans="1:21" s="479" customFormat="1" x14ac:dyDescent="0.15">
      <c r="A1219" s="579"/>
      <c r="B1219" s="534"/>
      <c r="C1219" s="521"/>
      <c r="D1219" s="522"/>
      <c r="E1219" s="522"/>
      <c r="F1219" s="522"/>
      <c r="G1219" s="522"/>
      <c r="H1219" s="522"/>
      <c r="I1219" s="522"/>
      <c r="J1219" s="522"/>
      <c r="K1219" s="522"/>
      <c r="L1219" s="522"/>
      <c r="M1219" s="522"/>
      <c r="N1219" s="522"/>
      <c r="O1219" s="522"/>
      <c r="P1219" s="511">
        <f t="shared" si="958"/>
        <v>0</v>
      </c>
      <c r="Q1219" s="530">
        <v>0</v>
      </c>
      <c r="R1219" s="480"/>
      <c r="U1219" s="513"/>
    </row>
    <row r="1220" spans="1:21" s="479" customFormat="1" x14ac:dyDescent="0.15">
      <c r="A1220" s="591"/>
      <c r="B1220" s="532"/>
      <c r="C1220" s="521"/>
      <c r="D1220" s="521"/>
      <c r="E1220" s="521"/>
      <c r="F1220" s="521"/>
      <c r="G1220" s="521"/>
      <c r="H1220" s="521"/>
      <c r="I1220" s="521"/>
      <c r="J1220" s="521"/>
      <c r="K1220" s="521"/>
      <c r="L1220" s="521"/>
      <c r="M1220" s="521"/>
      <c r="N1220" s="521"/>
      <c r="O1220" s="521"/>
      <c r="P1220" s="511">
        <f t="shared" si="958"/>
        <v>0</v>
      </c>
      <c r="Q1220" s="530">
        <v>0</v>
      </c>
      <c r="R1220" s="480"/>
      <c r="U1220" s="513"/>
    </row>
    <row r="1221" spans="1:21" s="479" customFormat="1" x14ac:dyDescent="0.15">
      <c r="A1221" s="576">
        <v>80</v>
      </c>
      <c r="B1221" s="533" t="s">
        <v>93</v>
      </c>
      <c r="C1221" s="524">
        <f t="shared" ref="C1221:O1221" si="983">SUM(C1222:C1233)</f>
        <v>46008144.338237941</v>
      </c>
      <c r="D1221" s="524">
        <f t="shared" si="983"/>
        <v>3592934.4878123072</v>
      </c>
      <c r="E1221" s="524">
        <f t="shared" si="983"/>
        <v>4840401.5143673681</v>
      </c>
      <c r="F1221" s="524">
        <f t="shared" si="983"/>
        <v>3214358.857733795</v>
      </c>
      <c r="G1221" s="524">
        <f t="shared" si="983"/>
        <v>4086471.0879797363</v>
      </c>
      <c r="H1221" s="524">
        <f t="shared" si="983"/>
        <v>4614404.6966817211</v>
      </c>
      <c r="I1221" s="524">
        <f t="shared" si="983"/>
        <v>4535505.8946723687</v>
      </c>
      <c r="J1221" s="524">
        <f t="shared" si="983"/>
        <v>3926943.5565788387</v>
      </c>
      <c r="K1221" s="524">
        <f t="shared" si="983"/>
        <v>3813748.6984619494</v>
      </c>
      <c r="L1221" s="524">
        <f t="shared" si="983"/>
        <v>3614315.8212791211</v>
      </c>
      <c r="M1221" s="524">
        <f t="shared" si="983"/>
        <v>2700763.5398622816</v>
      </c>
      <c r="N1221" s="524">
        <f t="shared" si="983"/>
        <v>3513559.6852090899</v>
      </c>
      <c r="O1221" s="524">
        <f t="shared" si="983"/>
        <v>3554736.4974658052</v>
      </c>
      <c r="P1221" s="511">
        <f t="shared" si="958"/>
        <v>1.3355538249015808E-4</v>
      </c>
      <c r="Q1221" s="530">
        <v>2748138</v>
      </c>
      <c r="R1221" s="480"/>
      <c r="T1221" s="512"/>
      <c r="U1221" s="513"/>
    </row>
    <row r="1222" spans="1:21" s="479" customFormat="1" x14ac:dyDescent="0.15">
      <c r="A1222" s="579"/>
      <c r="B1222" s="528" t="s">
        <v>294</v>
      </c>
      <c r="C1222" s="517">
        <f>'FG1'!I95</f>
        <v>31593989.888759762</v>
      </c>
      <c r="D1222" s="517">
        <f t="shared" ref="D1222:O1222" si="984">$C1222*D$19%</f>
        <v>2389601.9023970705</v>
      </c>
      <c r="E1222" s="517">
        <f t="shared" si="984"/>
        <v>3423701.4279211671</v>
      </c>
      <c r="F1222" s="517">
        <f t="shared" si="984"/>
        <v>2213066.0776378252</v>
      </c>
      <c r="G1222" s="517">
        <f t="shared" si="984"/>
        <v>2718527.4486700967</v>
      </c>
      <c r="H1222" s="517">
        <f t="shared" si="984"/>
        <v>3319916.0207305728</v>
      </c>
      <c r="I1222" s="517">
        <f t="shared" si="984"/>
        <v>3254689.4169240338</v>
      </c>
      <c r="J1222" s="517">
        <f t="shared" si="984"/>
        <v>2523046.9341923078</v>
      </c>
      <c r="K1222" s="517">
        <f t="shared" si="984"/>
        <v>2678806.553285908</v>
      </c>
      <c r="L1222" s="517">
        <f t="shared" si="984"/>
        <v>2517413.7283858494</v>
      </c>
      <c r="M1222" s="517">
        <f t="shared" si="984"/>
        <v>1668851.834769058</v>
      </c>
      <c r="N1222" s="517">
        <f t="shared" si="984"/>
        <v>2435604.1904654037</v>
      </c>
      <c r="O1222" s="517">
        <f t="shared" si="984"/>
        <v>2450764.3533488754</v>
      </c>
      <c r="P1222" s="511">
        <f t="shared" si="958"/>
        <v>3.1593255698680878E-5</v>
      </c>
      <c r="Q1222" s="530">
        <v>1889263</v>
      </c>
      <c r="R1222" s="480"/>
      <c r="U1222" s="513"/>
    </row>
    <row r="1223" spans="1:21" s="479" customFormat="1" x14ac:dyDescent="0.15">
      <c r="A1223" s="579"/>
      <c r="B1223" s="528" t="s">
        <v>296</v>
      </c>
      <c r="C1223" s="517">
        <f>FFM!J95</f>
        <v>8492334.8078186363</v>
      </c>
      <c r="D1223" s="517">
        <f t="shared" ref="D1223:O1223" si="985">$C1223*D$20%</f>
        <v>642217.02358900174</v>
      </c>
      <c r="E1223" s="517">
        <f t="shared" si="985"/>
        <v>920722.45112944895</v>
      </c>
      <c r="F1223" s="517">
        <f t="shared" si="985"/>
        <v>594672.10053392523</v>
      </c>
      <c r="G1223" s="517">
        <f t="shared" si="985"/>
        <v>730803.80846598162</v>
      </c>
      <c r="H1223" s="517">
        <f t="shared" si="985"/>
        <v>892770.79264838784</v>
      </c>
      <c r="I1223" s="517">
        <f t="shared" si="985"/>
        <v>875203.8511665765</v>
      </c>
      <c r="J1223" s="517">
        <f t="shared" si="985"/>
        <v>678097.20812887442</v>
      </c>
      <c r="K1223" s="517">
        <f t="shared" si="985"/>
        <v>720046.65156346152</v>
      </c>
      <c r="L1223" s="517">
        <f t="shared" si="985"/>
        <v>676580.06002268149</v>
      </c>
      <c r="M1223" s="517">
        <f t="shared" si="985"/>
        <v>448043.93968609942</v>
      </c>
      <c r="N1223" s="517">
        <f t="shared" si="985"/>
        <v>654546.97935177339</v>
      </c>
      <c r="O1223" s="517">
        <f t="shared" si="985"/>
        <v>658629.94143051642</v>
      </c>
      <c r="P1223" s="511">
        <f t="shared" si="958"/>
        <v>1.0190729517489672E-4</v>
      </c>
      <c r="Q1223" s="530">
        <v>578432</v>
      </c>
      <c r="R1223" s="480"/>
      <c r="U1223" s="513"/>
    </row>
    <row r="1224" spans="1:21" s="479" customFormat="1" ht="18" x14ac:dyDescent="0.15">
      <c r="A1224" s="579"/>
      <c r="B1224" s="528" t="s">
        <v>297</v>
      </c>
      <c r="C1224" s="517">
        <f>IEPS!I94</f>
        <v>764069.07082419551</v>
      </c>
      <c r="D1224" s="517">
        <f t="shared" ref="D1224:O1224" si="986">$C1224*D$21%</f>
        <v>53668.074709786699</v>
      </c>
      <c r="E1224" s="517">
        <f t="shared" si="986"/>
        <v>122669.47676026353</v>
      </c>
      <c r="F1224" s="517">
        <f t="shared" si="986"/>
        <v>50951.971069242791</v>
      </c>
      <c r="G1224" s="517">
        <f t="shared" si="986"/>
        <v>49518.180987137064</v>
      </c>
      <c r="H1224" s="517">
        <f t="shared" si="986"/>
        <v>54670.795935135138</v>
      </c>
      <c r="I1224" s="517">
        <f t="shared" si="986"/>
        <v>56694.704582871571</v>
      </c>
      <c r="J1224" s="517">
        <f t="shared" si="986"/>
        <v>58385.065197354983</v>
      </c>
      <c r="K1224" s="517">
        <f t="shared" si="986"/>
        <v>64673.559359025916</v>
      </c>
      <c r="L1224" s="517">
        <f t="shared" si="986"/>
        <v>64809.079877187876</v>
      </c>
      <c r="M1224" s="517">
        <f t="shared" si="986"/>
        <v>64088.775318877204</v>
      </c>
      <c r="N1224" s="517">
        <f t="shared" si="986"/>
        <v>62016.729098696473</v>
      </c>
      <c r="O1224" s="517">
        <f t="shared" si="986"/>
        <v>61922.657927852175</v>
      </c>
      <c r="P1224" s="511">
        <f t="shared" si="958"/>
        <v>7.6401920523494482E-7</v>
      </c>
      <c r="Q1224" s="530">
        <v>48791</v>
      </c>
      <c r="R1224" s="480"/>
      <c r="U1224" s="513"/>
    </row>
    <row r="1225" spans="1:21" s="479" customFormat="1" x14ac:dyDescent="0.15">
      <c r="A1225" s="579"/>
      <c r="B1225" s="528" t="s">
        <v>236</v>
      </c>
      <c r="C1225" s="517">
        <f>ISR!C85</f>
        <v>1723887.31</v>
      </c>
      <c r="D1225" s="517">
        <f>ISR!D85</f>
        <v>142010.20438739593</v>
      </c>
      <c r="E1225" s="517">
        <f>ISR!E85</f>
        <v>148743.31364715777</v>
      </c>
      <c r="F1225" s="517">
        <f>ISR!F85</f>
        <v>145074.45405051217</v>
      </c>
      <c r="G1225" s="517">
        <f>ISR!G85</f>
        <v>148132.88416395316</v>
      </c>
      <c r="H1225" s="517">
        <f>ISR!H85</f>
        <v>133761.08183597316</v>
      </c>
      <c r="I1225" s="517">
        <f>ISR!I85</f>
        <v>144227.01243434282</v>
      </c>
      <c r="J1225" s="517">
        <f>ISR!J85</f>
        <v>145193.55858257363</v>
      </c>
      <c r="K1225" s="517">
        <f>ISR!K85</f>
        <v>139541.2007203968</v>
      </c>
      <c r="L1225" s="517">
        <f>ISR!L85</f>
        <v>141622.92442997347</v>
      </c>
      <c r="M1225" s="517">
        <f>ISR!M85</f>
        <v>145193.55858257363</v>
      </c>
      <c r="N1225" s="517">
        <f>ISR!N85</f>
        <v>145193.55858257363</v>
      </c>
      <c r="O1225" s="517">
        <f>ISR!O85</f>
        <v>145193.55858257363</v>
      </c>
      <c r="P1225" s="511">
        <f t="shared" si="958"/>
        <v>4.0745362639427185E-10</v>
      </c>
      <c r="Q1225" s="530">
        <v>0</v>
      </c>
      <c r="R1225" s="480"/>
      <c r="U1225" s="513"/>
    </row>
    <row r="1226" spans="1:21" s="479" customFormat="1" ht="18" x14ac:dyDescent="0.15">
      <c r="A1226" s="579"/>
      <c r="B1226" s="528" t="s">
        <v>298</v>
      </c>
      <c r="C1226" s="517">
        <f>FOFIR!I94</f>
        <v>1477705.8224777982</v>
      </c>
      <c r="D1226" s="517">
        <f t="shared" ref="D1226:O1226" si="987">$C1226*D$23%</f>
        <v>202025.28385184763</v>
      </c>
      <c r="E1226" s="517">
        <f t="shared" si="987"/>
        <v>51399.436927285235</v>
      </c>
      <c r="F1226" s="517">
        <f t="shared" si="987"/>
        <v>51399.436927285235</v>
      </c>
      <c r="G1226" s="517">
        <f t="shared" si="987"/>
        <v>290064.21102691174</v>
      </c>
      <c r="H1226" s="517">
        <f t="shared" si="987"/>
        <v>51399.436927285235</v>
      </c>
      <c r="I1226" s="517">
        <f t="shared" si="987"/>
        <v>51399.436927285235</v>
      </c>
      <c r="J1226" s="517">
        <f t="shared" si="987"/>
        <v>360793.13995978411</v>
      </c>
      <c r="K1226" s="517">
        <f t="shared" si="987"/>
        <v>51399.436927285235</v>
      </c>
      <c r="L1226" s="517">
        <f t="shared" si="987"/>
        <v>51399.436927285235</v>
      </c>
      <c r="M1226" s="517">
        <f t="shared" si="987"/>
        <v>213627.69222688369</v>
      </c>
      <c r="N1226" s="517">
        <f t="shared" si="987"/>
        <v>51399.436927285235</v>
      </c>
      <c r="O1226" s="517">
        <f t="shared" si="987"/>
        <v>51399.436927285235</v>
      </c>
      <c r="P1226" s="511">
        <f t="shared" si="958"/>
        <v>-5.9111043810844421E-6</v>
      </c>
      <c r="Q1226" s="530">
        <v>57471</v>
      </c>
      <c r="R1226" s="480"/>
      <c r="U1226" s="513"/>
    </row>
    <row r="1227" spans="1:21" s="479" customFormat="1" ht="27" x14ac:dyDescent="0.15">
      <c r="A1227" s="579"/>
      <c r="B1227" s="528" t="s">
        <v>407</v>
      </c>
      <c r="C1227" s="517">
        <f>FCISAN!I94</f>
        <v>93806.610964159641</v>
      </c>
      <c r="D1227" s="517">
        <f t="shared" ref="D1227:O1227" si="988">$C1227*D$24%</f>
        <v>7817.2175803153687</v>
      </c>
      <c r="E1227" s="517">
        <f t="shared" si="988"/>
        <v>7817.2175803153687</v>
      </c>
      <c r="F1227" s="517">
        <f t="shared" si="988"/>
        <v>7817.2175803153687</v>
      </c>
      <c r="G1227" s="517">
        <f t="shared" si="988"/>
        <v>7817.2175803153687</v>
      </c>
      <c r="H1227" s="517">
        <f t="shared" si="988"/>
        <v>7817.2175803153687</v>
      </c>
      <c r="I1227" s="517">
        <f t="shared" si="988"/>
        <v>7817.2175803153687</v>
      </c>
      <c r="J1227" s="517">
        <f t="shared" si="988"/>
        <v>7817.2175803153687</v>
      </c>
      <c r="K1227" s="517">
        <f t="shared" si="988"/>
        <v>7817.2175803153687</v>
      </c>
      <c r="L1227" s="517">
        <f t="shared" si="988"/>
        <v>7817.2175803153687</v>
      </c>
      <c r="M1227" s="517">
        <f t="shared" si="988"/>
        <v>7817.2175803153687</v>
      </c>
      <c r="N1227" s="517">
        <f t="shared" si="988"/>
        <v>7817.2175803153687</v>
      </c>
      <c r="O1227" s="517">
        <f t="shared" si="988"/>
        <v>7817.2175803153687</v>
      </c>
      <c r="P1227" s="511">
        <f t="shared" si="958"/>
        <v>3.7523386708926409E-7</v>
      </c>
      <c r="Q1227" s="530">
        <v>6835</v>
      </c>
      <c r="R1227" s="480"/>
      <c r="U1227" s="513"/>
    </row>
    <row r="1228" spans="1:21" s="479" customFormat="1" ht="27" x14ac:dyDescent="0.15">
      <c r="A1228" s="579"/>
      <c r="B1228" s="528" t="s">
        <v>242</v>
      </c>
      <c r="C1228" s="517">
        <f>ISAN!I94</f>
        <v>468575.02297745721</v>
      </c>
      <c r="D1228" s="517">
        <f t="shared" ref="D1228:O1228" si="989">$C1228*D$25%</f>
        <v>45092.664857230477</v>
      </c>
      <c r="E1228" s="517">
        <f t="shared" si="989"/>
        <v>50363.797826680559</v>
      </c>
      <c r="F1228" s="517">
        <f t="shared" si="989"/>
        <v>39086.753849601191</v>
      </c>
      <c r="G1228" s="517">
        <f t="shared" si="989"/>
        <v>36276.539399363886</v>
      </c>
      <c r="H1228" s="517">
        <f t="shared" si="989"/>
        <v>38787.640902966821</v>
      </c>
      <c r="I1228" s="517">
        <f t="shared" si="989"/>
        <v>33688.246338418525</v>
      </c>
      <c r="J1228" s="517">
        <f t="shared" si="989"/>
        <v>36496.049698857663</v>
      </c>
      <c r="K1228" s="517">
        <f t="shared" si="989"/>
        <v>37637.020642788346</v>
      </c>
      <c r="L1228" s="517">
        <f t="shared" si="989"/>
        <v>36983.313906444251</v>
      </c>
      <c r="M1228" s="517">
        <f t="shared" si="989"/>
        <v>37890.302062595154</v>
      </c>
      <c r="N1228" s="517">
        <f t="shared" si="989"/>
        <v>36686.613041112796</v>
      </c>
      <c r="O1228" s="517">
        <f t="shared" si="989"/>
        <v>39586.080445774656</v>
      </c>
      <c r="P1228" s="511">
        <f t="shared" si="958"/>
        <v>5.6229036999866366E-6</v>
      </c>
      <c r="Q1228" s="530">
        <v>29368</v>
      </c>
      <c r="R1228" s="480"/>
      <c r="U1228" s="513"/>
    </row>
    <row r="1229" spans="1:21" s="479" customFormat="1" ht="18" x14ac:dyDescent="0.15">
      <c r="A1229" s="579"/>
      <c r="B1229" s="528" t="s">
        <v>403</v>
      </c>
      <c r="C1229" s="517">
        <f>LOT!I94</f>
        <v>22682.308805159759</v>
      </c>
      <c r="D1229" s="517">
        <f t="shared" ref="D1229:O1229" si="990">$C1229*D$26%</f>
        <v>1715.0181908833629</v>
      </c>
      <c r="E1229" s="517">
        <f t="shared" si="990"/>
        <v>1690.7089495208388</v>
      </c>
      <c r="F1229" s="517">
        <f t="shared" si="990"/>
        <v>1661.7593674337666</v>
      </c>
      <c r="G1229" s="517">
        <f t="shared" si="990"/>
        <v>1828.3063697556101</v>
      </c>
      <c r="H1229" s="517">
        <f t="shared" si="990"/>
        <v>1495.8873972451991</v>
      </c>
      <c r="I1229" s="517">
        <f t="shared" si="990"/>
        <v>2029.9954645832549</v>
      </c>
      <c r="J1229" s="517">
        <f t="shared" si="990"/>
        <v>4658.8374085248315</v>
      </c>
      <c r="K1229" s="517">
        <f t="shared" si="990"/>
        <v>1695.983901302209</v>
      </c>
      <c r="L1229" s="517">
        <f t="shared" si="990"/>
        <v>2057.8658036591082</v>
      </c>
      <c r="M1229" s="517">
        <f t="shared" si="990"/>
        <v>1274.1009382512259</v>
      </c>
      <c r="N1229" s="517">
        <f t="shared" si="990"/>
        <v>1286.9225068640826</v>
      </c>
      <c r="O1229" s="517">
        <f t="shared" si="990"/>
        <v>1286.9225068640826</v>
      </c>
      <c r="P1229" s="511">
        <f t="shared" si="958"/>
        <v>2.721890268730931E-7</v>
      </c>
      <c r="Q1229" s="530">
        <v>1434</v>
      </c>
      <c r="R1229" s="480"/>
      <c r="U1229" s="513"/>
    </row>
    <row r="1230" spans="1:21" s="479" customFormat="1" ht="45" x14ac:dyDescent="0.15">
      <c r="A1230" s="579"/>
      <c r="B1230" s="518" t="s">
        <v>301</v>
      </c>
      <c r="C1230" s="517">
        <f>'ENAJENAC DE INMUE'!I94</f>
        <v>89189.530588230031</v>
      </c>
      <c r="D1230" s="517">
        <f t="shared" ref="D1230:O1230" si="991">$C1230*D$27%</f>
        <v>3851.7138850517713</v>
      </c>
      <c r="E1230" s="517">
        <f t="shared" si="991"/>
        <v>3908.4457715312988</v>
      </c>
      <c r="F1230" s="517">
        <f t="shared" si="991"/>
        <v>3855.7546954002382</v>
      </c>
      <c r="G1230" s="517">
        <f t="shared" si="991"/>
        <v>3833.1687584000056</v>
      </c>
      <c r="H1230" s="517">
        <f t="shared" si="991"/>
        <v>5317.3371104213329</v>
      </c>
      <c r="I1230" s="517">
        <f t="shared" si="991"/>
        <v>3827.3000872872999</v>
      </c>
      <c r="J1230" s="517">
        <f t="shared" si="991"/>
        <v>4398.6356288143315</v>
      </c>
      <c r="K1230" s="517">
        <f t="shared" si="991"/>
        <v>4394.1079485157406</v>
      </c>
      <c r="L1230" s="517">
        <f t="shared" si="991"/>
        <v>4388.5414724922084</v>
      </c>
      <c r="M1230" s="517">
        <f t="shared" si="991"/>
        <v>3832.5412838305951</v>
      </c>
      <c r="N1230" s="517">
        <f t="shared" si="991"/>
        <v>15934.29724117435</v>
      </c>
      <c r="O1230" s="517">
        <f t="shared" si="991"/>
        <v>31647.686705132477</v>
      </c>
      <c r="P1230" s="511">
        <f t="shared" si="958"/>
        <v>1.7839920474216342E-7</v>
      </c>
      <c r="Q1230" s="530">
        <v>20933</v>
      </c>
      <c r="R1230" s="480"/>
      <c r="U1230" s="513"/>
    </row>
    <row r="1231" spans="1:21" s="479" customFormat="1" ht="27" x14ac:dyDescent="0.15">
      <c r="A1231" s="579"/>
      <c r="B1231" s="518" t="s">
        <v>248</v>
      </c>
      <c r="C1231" s="517">
        <f>'IMP BEBIDAS AL'!I94</f>
        <v>34859.981725074496</v>
      </c>
      <c r="D1231" s="517">
        <f t="shared" ref="D1231:O1231" si="992">$C1231*D$28%</f>
        <v>7926.8320005724545</v>
      </c>
      <c r="E1231" s="517">
        <f t="shared" si="992"/>
        <v>2726.5423443812597</v>
      </c>
      <c r="F1231" s="517">
        <f t="shared" si="992"/>
        <v>2930.0870976891188</v>
      </c>
      <c r="G1231" s="517">
        <f t="shared" si="992"/>
        <v>2909.0529779528688</v>
      </c>
      <c r="H1231" s="517">
        <f t="shared" si="992"/>
        <v>1852.4989546806135</v>
      </c>
      <c r="I1231" s="517">
        <f t="shared" si="992"/>
        <v>3031.6175194025345</v>
      </c>
      <c r="J1231" s="517">
        <f t="shared" si="992"/>
        <v>3014.552992859195</v>
      </c>
      <c r="K1231" s="517">
        <f t="shared" si="992"/>
        <v>2757.0286668859599</v>
      </c>
      <c r="L1231" s="517">
        <f t="shared" si="992"/>
        <v>1999.4747705771251</v>
      </c>
      <c r="M1231" s="517">
        <f t="shared" si="992"/>
        <v>1858.688915375122</v>
      </c>
      <c r="N1231" s="517">
        <f t="shared" si="992"/>
        <v>1871.8272601660656</v>
      </c>
      <c r="O1231" s="517">
        <f t="shared" si="992"/>
        <v>1981.7782245321807</v>
      </c>
      <c r="P1231" s="511">
        <f t="shared" si="958"/>
        <v>-3.865352482534945E-12</v>
      </c>
      <c r="Q1231" s="530">
        <v>895</v>
      </c>
      <c r="R1231" s="480"/>
      <c r="U1231" s="513"/>
    </row>
    <row r="1232" spans="1:21" s="479" customFormat="1" ht="18" x14ac:dyDescent="0.15">
      <c r="A1232" s="579"/>
      <c r="B1232" s="518" t="s">
        <v>253</v>
      </c>
      <c r="C1232" s="517">
        <f>'FOND GASO Y D'!Q95</f>
        <v>0</v>
      </c>
      <c r="D1232" s="517">
        <f t="shared" ref="D1232:O1232" si="993">$C1232*D$29%</f>
        <v>0</v>
      </c>
      <c r="E1232" s="517">
        <f t="shared" si="993"/>
        <v>0</v>
      </c>
      <c r="F1232" s="517">
        <f t="shared" si="993"/>
        <v>0</v>
      </c>
      <c r="G1232" s="517">
        <f t="shared" si="993"/>
        <v>0</v>
      </c>
      <c r="H1232" s="517">
        <f t="shared" si="993"/>
        <v>0</v>
      </c>
      <c r="I1232" s="517">
        <f t="shared" si="993"/>
        <v>0</v>
      </c>
      <c r="J1232" s="517">
        <f t="shared" si="993"/>
        <v>0</v>
      </c>
      <c r="K1232" s="517">
        <f t="shared" si="993"/>
        <v>0</v>
      </c>
      <c r="L1232" s="517">
        <f t="shared" si="993"/>
        <v>0</v>
      </c>
      <c r="M1232" s="517">
        <f t="shared" si="993"/>
        <v>0</v>
      </c>
      <c r="N1232" s="517">
        <f t="shared" si="993"/>
        <v>0</v>
      </c>
      <c r="O1232" s="517">
        <f t="shared" si="993"/>
        <v>0</v>
      </c>
      <c r="P1232" s="511">
        <f t="shared" si="958"/>
        <v>0</v>
      </c>
      <c r="Q1232" s="530">
        <v>38503</v>
      </c>
      <c r="R1232" s="480"/>
      <c r="U1232" s="513"/>
    </row>
    <row r="1233" spans="1:21" s="479" customFormat="1" ht="18" x14ac:dyDescent="0.15">
      <c r="A1233" s="579"/>
      <c r="B1233" s="528" t="s">
        <v>408</v>
      </c>
      <c r="C1233" s="519">
        <f>'FOND GASO Y D'!H95</f>
        <v>1247043.9832974677</v>
      </c>
      <c r="D1233" s="517">
        <f t="shared" ref="D1233:O1233" si="994">$C1233*D$30%</f>
        <v>97008.552363151888</v>
      </c>
      <c r="E1233" s="517">
        <f t="shared" si="994"/>
        <v>106658.69550961637</v>
      </c>
      <c r="F1233" s="517">
        <f t="shared" si="994"/>
        <v>103843.24492456541</v>
      </c>
      <c r="G1233" s="517">
        <f t="shared" si="994"/>
        <v>96760.269579868924</v>
      </c>
      <c r="H1233" s="517">
        <f t="shared" si="994"/>
        <v>106615.98665873626</v>
      </c>
      <c r="I1233" s="517">
        <f t="shared" si="994"/>
        <v>102897.09564725177</v>
      </c>
      <c r="J1233" s="517">
        <f t="shared" si="994"/>
        <v>105042.35720857169</v>
      </c>
      <c r="K1233" s="517">
        <f t="shared" si="994"/>
        <v>104979.93786606466</v>
      </c>
      <c r="L1233" s="517">
        <f t="shared" si="994"/>
        <v>109244.1781026559</v>
      </c>
      <c r="M1233" s="517">
        <f t="shared" si="994"/>
        <v>108284.88849842237</v>
      </c>
      <c r="N1233" s="517">
        <f t="shared" si="994"/>
        <v>101201.91315372589</v>
      </c>
      <c r="O1233" s="517">
        <f t="shared" si="994"/>
        <v>104506.86378608356</v>
      </c>
      <c r="P1233" s="511">
        <f t="shared" si="958"/>
        <v>-1.2471427908167243E-6</v>
      </c>
      <c r="Q1233" s="530">
        <v>76213</v>
      </c>
      <c r="R1233" s="480"/>
      <c r="U1233" s="513"/>
    </row>
    <row r="1234" spans="1:21" s="479" customFormat="1" x14ac:dyDescent="0.15">
      <c r="A1234" s="579"/>
      <c r="B1234" s="534"/>
      <c r="C1234" s="521"/>
      <c r="D1234" s="522"/>
      <c r="E1234" s="522"/>
      <c r="F1234" s="522"/>
      <c r="G1234" s="522"/>
      <c r="H1234" s="522"/>
      <c r="I1234" s="522"/>
      <c r="J1234" s="522"/>
      <c r="K1234" s="522"/>
      <c r="L1234" s="522"/>
      <c r="M1234" s="522"/>
      <c r="N1234" s="522"/>
      <c r="O1234" s="522"/>
      <c r="P1234" s="511">
        <f t="shared" si="958"/>
        <v>0</v>
      </c>
      <c r="Q1234" s="530">
        <v>0</v>
      </c>
      <c r="R1234" s="480"/>
      <c r="U1234" s="513"/>
    </row>
    <row r="1235" spans="1:21" s="479" customFormat="1" x14ac:dyDescent="0.15">
      <c r="A1235" s="591"/>
      <c r="B1235" s="532"/>
      <c r="C1235" s="521"/>
      <c r="D1235" s="521"/>
      <c r="E1235" s="521"/>
      <c r="F1235" s="521"/>
      <c r="G1235" s="521"/>
      <c r="H1235" s="521"/>
      <c r="I1235" s="521"/>
      <c r="J1235" s="521"/>
      <c r="K1235" s="521"/>
      <c r="L1235" s="521"/>
      <c r="M1235" s="521"/>
      <c r="N1235" s="521"/>
      <c r="O1235" s="521"/>
      <c r="P1235" s="511">
        <f t="shared" si="958"/>
        <v>0</v>
      </c>
      <c r="Q1235" s="530">
        <v>0</v>
      </c>
      <c r="R1235" s="480"/>
      <c r="U1235" s="513"/>
    </row>
    <row r="1236" spans="1:21" s="479" customFormat="1" x14ac:dyDescent="0.15">
      <c r="A1236" s="576">
        <v>81</v>
      </c>
      <c r="B1236" s="533" t="s">
        <v>116</v>
      </c>
      <c r="C1236" s="524">
        <f t="shared" ref="C1236:O1236" si="995">SUM(C1237:C1248)</f>
        <v>32589308.853377871</v>
      </c>
      <c r="D1236" s="524">
        <f t="shared" si="995"/>
        <v>2558799.3410168109</v>
      </c>
      <c r="E1236" s="524">
        <f t="shared" si="995"/>
        <v>3432515.7209700611</v>
      </c>
      <c r="F1236" s="524">
        <f t="shared" si="995"/>
        <v>2308190.0072869025</v>
      </c>
      <c r="G1236" s="524">
        <f t="shared" si="995"/>
        <v>2908053.8478243239</v>
      </c>
      <c r="H1236" s="524">
        <f t="shared" si="995"/>
        <v>3283847.0725749745</v>
      </c>
      <c r="I1236" s="524">
        <f t="shared" si="995"/>
        <v>3216705.6936283545</v>
      </c>
      <c r="J1236" s="524">
        <f t="shared" si="995"/>
        <v>2769045.021926797</v>
      </c>
      <c r="K1236" s="524">
        <f t="shared" si="995"/>
        <v>2674907.0207680287</v>
      </c>
      <c r="L1236" s="524">
        <f t="shared" si="995"/>
        <v>2521071.1980455541</v>
      </c>
      <c r="M1236" s="524">
        <f t="shared" si="995"/>
        <v>1884525.3128528309</v>
      </c>
      <c r="N1236" s="524">
        <f t="shared" si="995"/>
        <v>2501473.4296645378</v>
      </c>
      <c r="O1236" s="524">
        <f t="shared" si="995"/>
        <v>2530175.1867258423</v>
      </c>
      <c r="P1236" s="511">
        <f t="shared" si="958"/>
        <v>9.2858448624610901E-5</v>
      </c>
      <c r="Q1236" s="530">
        <v>1921340</v>
      </c>
      <c r="R1236" s="480"/>
      <c r="T1236" s="512"/>
      <c r="U1236" s="513"/>
    </row>
    <row r="1237" spans="1:21" s="479" customFormat="1" x14ac:dyDescent="0.15">
      <c r="A1237" s="579"/>
      <c r="B1237" s="528" t="s">
        <v>294</v>
      </c>
      <c r="C1237" s="517">
        <f>'FG1'!I96</f>
        <v>21970575.256628536</v>
      </c>
      <c r="D1237" s="517">
        <f t="shared" ref="D1237:O1237" si="996">$C1237*D$19%</f>
        <v>1661737.8373180996</v>
      </c>
      <c r="E1237" s="517">
        <f t="shared" si="996"/>
        <v>2380854.4012078051</v>
      </c>
      <c r="F1237" s="517">
        <f t="shared" si="996"/>
        <v>1538974.1839454095</v>
      </c>
      <c r="G1237" s="517">
        <f t="shared" si="996"/>
        <v>1890473.8562148525</v>
      </c>
      <c r="H1237" s="517">
        <f t="shared" si="996"/>
        <v>2308681.6523005194</v>
      </c>
      <c r="I1237" s="517">
        <f t="shared" si="996"/>
        <v>2263322.8352371608</v>
      </c>
      <c r="J1237" s="517">
        <f t="shared" si="996"/>
        <v>1754535.9968415829</v>
      </c>
      <c r="K1237" s="517">
        <f t="shared" si="996"/>
        <v>1862851.8013755723</v>
      </c>
      <c r="L1237" s="517">
        <f t="shared" si="996"/>
        <v>1750618.6450749135</v>
      </c>
      <c r="M1237" s="517">
        <f t="shared" si="996"/>
        <v>1160525.6239257324</v>
      </c>
      <c r="N1237" s="517">
        <f t="shared" si="996"/>
        <v>1693727.9954317478</v>
      </c>
      <c r="O1237" s="517">
        <f t="shared" si="996"/>
        <v>1704270.4277331699</v>
      </c>
      <c r="P1237" s="511">
        <f t="shared" si="958"/>
        <v>2.1968502551317215E-5</v>
      </c>
      <c r="Q1237" s="530">
        <v>1319494</v>
      </c>
      <c r="R1237" s="480"/>
      <c r="U1237" s="513"/>
    </row>
    <row r="1238" spans="1:21" s="479" customFormat="1" x14ac:dyDescent="0.15">
      <c r="A1238" s="579"/>
      <c r="B1238" s="528" t="s">
        <v>296</v>
      </c>
      <c r="C1238" s="517">
        <f>FFM!J96</f>
        <v>5905600.4530167216</v>
      </c>
      <c r="D1238" s="517">
        <f t="shared" ref="D1238:O1238" si="997">$C1238*D$20%</f>
        <v>446600.04948821093</v>
      </c>
      <c r="E1238" s="517">
        <f t="shared" si="997"/>
        <v>640273.73479042214</v>
      </c>
      <c r="F1238" s="517">
        <f t="shared" si="997"/>
        <v>413537.13740492868</v>
      </c>
      <c r="G1238" s="517">
        <f t="shared" si="997"/>
        <v>508203.62126674363</v>
      </c>
      <c r="H1238" s="517">
        <f t="shared" si="997"/>
        <v>620836.05001657794</v>
      </c>
      <c r="I1238" s="517">
        <f t="shared" si="997"/>
        <v>608619.93514112697</v>
      </c>
      <c r="J1238" s="517">
        <f t="shared" si="997"/>
        <v>471551.26006435434</v>
      </c>
      <c r="K1238" s="517">
        <f t="shared" si="997"/>
        <v>500723.05530763819</v>
      </c>
      <c r="L1238" s="517">
        <f t="shared" si="997"/>
        <v>470496.22976397368</v>
      </c>
      <c r="M1238" s="517">
        <f t="shared" si="997"/>
        <v>311571.38208276505</v>
      </c>
      <c r="N1238" s="517">
        <f t="shared" si="997"/>
        <v>455174.34548408486</v>
      </c>
      <c r="O1238" s="517">
        <f t="shared" si="997"/>
        <v>458013.65213502798</v>
      </c>
      <c r="P1238" s="511">
        <f t="shared" si="958"/>
        <v>7.0867245085537434E-5</v>
      </c>
      <c r="Q1238" s="530">
        <v>403986</v>
      </c>
      <c r="R1238" s="480"/>
      <c r="U1238" s="513"/>
    </row>
    <row r="1239" spans="1:21" s="479" customFormat="1" ht="18" x14ac:dyDescent="0.15">
      <c r="A1239" s="579"/>
      <c r="B1239" s="528" t="s">
        <v>297</v>
      </c>
      <c r="C1239" s="517">
        <f>IEPS!I95</f>
        <v>531336.40546544502</v>
      </c>
      <c r="D1239" s="517">
        <f t="shared" ref="D1239:O1239" si="998">$C1239*D$21%</f>
        <v>37320.97397135738</v>
      </c>
      <c r="E1239" s="517">
        <f t="shared" si="998"/>
        <v>85304.799436283341</v>
      </c>
      <c r="F1239" s="517">
        <f t="shared" si="998"/>
        <v>35432.185640112046</v>
      </c>
      <c r="G1239" s="517">
        <f t="shared" si="998"/>
        <v>34435.122812275957</v>
      </c>
      <c r="H1239" s="517">
        <f t="shared" si="998"/>
        <v>38018.269951399918</v>
      </c>
      <c r="I1239" s="517">
        <f t="shared" si="998"/>
        <v>39425.703371939635</v>
      </c>
      <c r="J1239" s="517">
        <f t="shared" si="998"/>
        <v>40601.186279356829</v>
      </c>
      <c r="K1239" s="517">
        <f t="shared" si="998"/>
        <v>44974.227946975217</v>
      </c>
      <c r="L1239" s="517">
        <f t="shared" si="998"/>
        <v>45068.469407252254</v>
      </c>
      <c r="M1239" s="517">
        <f t="shared" si="998"/>
        <v>44567.567002656389</v>
      </c>
      <c r="N1239" s="517">
        <f t="shared" si="998"/>
        <v>43126.65853949677</v>
      </c>
      <c r="O1239" s="517">
        <f t="shared" si="998"/>
        <v>43061.241105807931</v>
      </c>
      <c r="P1239" s="511">
        <f t="shared" si="958"/>
        <v>5.3133408073335886E-7</v>
      </c>
      <c r="Q1239" s="530">
        <v>34077</v>
      </c>
      <c r="R1239" s="480"/>
      <c r="U1239" s="513"/>
    </row>
    <row r="1240" spans="1:21" s="479" customFormat="1" x14ac:dyDescent="0.15">
      <c r="A1240" s="579"/>
      <c r="B1240" s="528" t="s">
        <v>236</v>
      </c>
      <c r="C1240" s="517">
        <f>ISR!C86</f>
        <v>1768499.7</v>
      </c>
      <c r="D1240" s="517">
        <f>ISR!D86</f>
        <v>157040.04307487793</v>
      </c>
      <c r="E1240" s="517">
        <f>ISR!E86</f>
        <v>167749.18252530624</v>
      </c>
      <c r="F1240" s="517">
        <f>ISR!F86</f>
        <v>171685.38813268259</v>
      </c>
      <c r="G1240" s="517">
        <f>ISR!G86</f>
        <v>167350.19260135214</v>
      </c>
      <c r="H1240" s="517">
        <f>ISR!H86</f>
        <v>165821.71222346064</v>
      </c>
      <c r="I1240" s="517">
        <f>ISR!I86</f>
        <v>160900.56833580797</v>
      </c>
      <c r="J1240" s="517">
        <f>ISR!J86</f>
        <v>137064.84149577894</v>
      </c>
      <c r="K1240" s="517">
        <f>ISR!K86</f>
        <v>117713.55556892224</v>
      </c>
      <c r="L1240" s="517">
        <f>ISR!L86</f>
        <v>103924.94491659553</v>
      </c>
      <c r="M1240" s="517">
        <f>ISR!M86</f>
        <v>105169.1849754595</v>
      </c>
      <c r="N1240" s="517">
        <f>ISR!N86</f>
        <v>157040.04307487793</v>
      </c>
      <c r="O1240" s="517">
        <f>ISR!O86</f>
        <v>157040.04307487793</v>
      </c>
      <c r="P1240" s="511">
        <f t="shared" si="958"/>
        <v>2.3283064365386963E-10</v>
      </c>
      <c r="Q1240" s="530">
        <v>0</v>
      </c>
      <c r="R1240" s="480"/>
      <c r="U1240" s="513"/>
    </row>
    <row r="1241" spans="1:21" s="479" customFormat="1" ht="18" x14ac:dyDescent="0.15">
      <c r="A1241" s="579"/>
      <c r="B1241" s="528" t="s">
        <v>298</v>
      </c>
      <c r="C1241" s="517">
        <f>FOFIR!I95</f>
        <v>1027601.993107465</v>
      </c>
      <c r="D1241" s="517">
        <f t="shared" ref="D1241:O1241" si="999">$C1241*D$23%</f>
        <v>140489.11575387602</v>
      </c>
      <c r="E1241" s="517">
        <f t="shared" si="999"/>
        <v>35743.35502212133</v>
      </c>
      <c r="F1241" s="517">
        <f t="shared" si="999"/>
        <v>35743.35502212133</v>
      </c>
      <c r="G1241" s="517">
        <f t="shared" si="999"/>
        <v>201711.70529774184</v>
      </c>
      <c r="H1241" s="517">
        <f t="shared" si="999"/>
        <v>35743.35502212133</v>
      </c>
      <c r="I1241" s="517">
        <f t="shared" si="999"/>
        <v>35743.35502212133</v>
      </c>
      <c r="J1241" s="517">
        <f t="shared" si="999"/>
        <v>250896.85922770671</v>
      </c>
      <c r="K1241" s="517">
        <f t="shared" si="999"/>
        <v>35743.35502212133</v>
      </c>
      <c r="L1241" s="517">
        <f t="shared" si="999"/>
        <v>35743.35502212133</v>
      </c>
      <c r="M1241" s="517">
        <f t="shared" si="999"/>
        <v>148557.47265528014</v>
      </c>
      <c r="N1241" s="517">
        <f t="shared" si="999"/>
        <v>35743.35502212133</v>
      </c>
      <c r="O1241" s="517">
        <f t="shared" si="999"/>
        <v>35743.35502212133</v>
      </c>
      <c r="P1241" s="511">
        <f t="shared" si="958"/>
        <v>-4.1103776311501861E-6</v>
      </c>
      <c r="Q1241" s="530">
        <v>40142</v>
      </c>
      <c r="R1241" s="480"/>
      <c r="U1241" s="513"/>
    </row>
    <row r="1242" spans="1:21" s="479" customFormat="1" ht="27" x14ac:dyDescent="0.15">
      <c r="A1242" s="579"/>
      <c r="B1242" s="528" t="s">
        <v>407</v>
      </c>
      <c r="C1242" s="517">
        <f>FCISAN!I95</f>
        <v>65233.457787823907</v>
      </c>
      <c r="D1242" s="517">
        <f t="shared" ref="D1242:O1242" si="1000">$C1242*D$24%</f>
        <v>5436.121482296915</v>
      </c>
      <c r="E1242" s="517">
        <f t="shared" si="1000"/>
        <v>5436.121482296915</v>
      </c>
      <c r="F1242" s="517">
        <f t="shared" si="1000"/>
        <v>5436.121482296915</v>
      </c>
      <c r="G1242" s="517">
        <f t="shared" si="1000"/>
        <v>5436.121482296915</v>
      </c>
      <c r="H1242" s="517">
        <f t="shared" si="1000"/>
        <v>5436.121482296915</v>
      </c>
      <c r="I1242" s="517">
        <f t="shared" si="1000"/>
        <v>5436.121482296915</v>
      </c>
      <c r="J1242" s="517">
        <f t="shared" si="1000"/>
        <v>5436.121482296915</v>
      </c>
      <c r="K1242" s="517">
        <f t="shared" si="1000"/>
        <v>5436.121482296915</v>
      </c>
      <c r="L1242" s="517">
        <f t="shared" si="1000"/>
        <v>5436.121482296915</v>
      </c>
      <c r="M1242" s="517">
        <f t="shared" si="1000"/>
        <v>5436.121482296915</v>
      </c>
      <c r="N1242" s="517">
        <f t="shared" si="1000"/>
        <v>5436.121482296915</v>
      </c>
      <c r="O1242" s="517">
        <f t="shared" si="1000"/>
        <v>5436.121482296915</v>
      </c>
      <c r="P1242" s="511">
        <f t="shared" si="958"/>
        <v>2.6093584892805666E-7</v>
      </c>
      <c r="Q1242" s="530">
        <v>4777</v>
      </c>
      <c r="R1242" s="480"/>
      <c r="U1242" s="513"/>
    </row>
    <row r="1243" spans="1:21" s="479" customFormat="1" ht="27" x14ac:dyDescent="0.15">
      <c r="A1243" s="579"/>
      <c r="B1243" s="528" t="s">
        <v>242</v>
      </c>
      <c r="C1243" s="517">
        <f>ISAN!I95</f>
        <v>325848.77193257841</v>
      </c>
      <c r="D1243" s="517">
        <f t="shared" ref="D1243:O1243" si="1001">$C1243*D$25%</f>
        <v>31357.602830662989</v>
      </c>
      <c r="E1243" s="517">
        <f t="shared" si="1001"/>
        <v>35023.167832131854</v>
      </c>
      <c r="F1243" s="517">
        <f t="shared" si="1001"/>
        <v>27181.070514158127</v>
      </c>
      <c r="G1243" s="517">
        <f t="shared" si="1001"/>
        <v>25226.837184224398</v>
      </c>
      <c r="H1243" s="517">
        <f t="shared" si="1001"/>
        <v>26973.066285271532</v>
      </c>
      <c r="I1243" s="517">
        <f t="shared" si="1001"/>
        <v>23426.928793991578</v>
      </c>
      <c r="J1243" s="517">
        <f t="shared" si="1001"/>
        <v>25379.48544332727</v>
      </c>
      <c r="K1243" s="517">
        <f t="shared" si="1001"/>
        <v>26172.920779526263</v>
      </c>
      <c r="L1243" s="517">
        <f t="shared" si="1001"/>
        <v>25718.330742079848</v>
      </c>
      <c r="M1243" s="517">
        <f t="shared" si="1001"/>
        <v>26349.053598285911</v>
      </c>
      <c r="N1243" s="517">
        <f t="shared" si="1001"/>
        <v>25512.003883287292</v>
      </c>
      <c r="O1243" s="517">
        <f t="shared" si="1001"/>
        <v>27528.304041721174</v>
      </c>
      <c r="P1243" s="511">
        <f t="shared" si="958"/>
        <v>3.9101905713323504E-6</v>
      </c>
      <c r="Q1243" s="530">
        <v>20511</v>
      </c>
      <c r="R1243" s="480"/>
      <c r="U1243" s="513"/>
    </row>
    <row r="1244" spans="1:21" s="479" customFormat="1" ht="18" x14ac:dyDescent="0.15">
      <c r="A1244" s="579"/>
      <c r="B1244" s="528" t="s">
        <v>403</v>
      </c>
      <c r="C1244" s="517">
        <f>LOT!I95</f>
        <v>15773.359881182558</v>
      </c>
      <c r="D1244" s="517">
        <f t="shared" ref="D1244:O1244" si="1002">$C1244*D$26%</f>
        <v>1192.6298755541254</v>
      </c>
      <c r="E1244" s="517">
        <f t="shared" si="1002"/>
        <v>1175.7251408666937</v>
      </c>
      <c r="F1244" s="517">
        <f t="shared" si="1002"/>
        <v>1155.5934963947097</v>
      </c>
      <c r="G1244" s="517">
        <f t="shared" si="1002"/>
        <v>1271.4108863844358</v>
      </c>
      <c r="H1244" s="517">
        <f t="shared" si="1002"/>
        <v>1040.2455262008689</v>
      </c>
      <c r="I1244" s="517">
        <f t="shared" si="1002"/>
        <v>1411.666215070496</v>
      </c>
      <c r="J1244" s="517">
        <f t="shared" si="1002"/>
        <v>3239.772445733639</v>
      </c>
      <c r="K1244" s="517">
        <f t="shared" si="1002"/>
        <v>1179.3933614838345</v>
      </c>
      <c r="L1244" s="517">
        <f t="shared" si="1002"/>
        <v>1431.0473500347643</v>
      </c>
      <c r="M1244" s="517">
        <f t="shared" si="1002"/>
        <v>886.01441751896618</v>
      </c>
      <c r="N1244" s="517">
        <f t="shared" si="1002"/>
        <v>894.93058287537201</v>
      </c>
      <c r="O1244" s="517">
        <f t="shared" si="1002"/>
        <v>894.93058287537201</v>
      </c>
      <c r="P1244" s="511">
        <f t="shared" si="958"/>
        <v>1.8928176359622739E-7</v>
      </c>
      <c r="Q1244" s="530">
        <v>1001</v>
      </c>
      <c r="R1244" s="480"/>
      <c r="U1244" s="513"/>
    </row>
    <row r="1245" spans="1:21" s="479" customFormat="1" ht="45" x14ac:dyDescent="0.15">
      <c r="A1245" s="579"/>
      <c r="B1245" s="518" t="s">
        <v>301</v>
      </c>
      <c r="C1245" s="517">
        <f>'ENAJENAC DE INMUE'!I95</f>
        <v>62022.723334137379</v>
      </c>
      <c r="D1245" s="517">
        <f t="shared" ref="D1245:O1245" si="1003">$C1245*D$27%</f>
        <v>2678.495817606055</v>
      </c>
      <c r="E1245" s="517">
        <f t="shared" si="1003"/>
        <v>2717.9473774039016</v>
      </c>
      <c r="F1245" s="517">
        <f t="shared" si="1003"/>
        <v>2681.3058117907508</v>
      </c>
      <c r="G1245" s="517">
        <f t="shared" si="1003"/>
        <v>2665.5994692125496</v>
      </c>
      <c r="H1245" s="517">
        <f t="shared" si="1003"/>
        <v>3697.6955288239355</v>
      </c>
      <c r="I1245" s="517">
        <f t="shared" si="1003"/>
        <v>2661.5183740171633</v>
      </c>
      <c r="J1245" s="517">
        <f t="shared" si="1003"/>
        <v>3058.8271835756582</v>
      </c>
      <c r="K1245" s="517">
        <f t="shared" si="1003"/>
        <v>3055.6786182602805</v>
      </c>
      <c r="L1245" s="517">
        <f t="shared" si="1003"/>
        <v>3051.8076706268907</v>
      </c>
      <c r="M1245" s="517">
        <f t="shared" si="1003"/>
        <v>2665.163121119213</v>
      </c>
      <c r="N1245" s="517">
        <f t="shared" si="1003"/>
        <v>11080.768143920308</v>
      </c>
      <c r="O1245" s="517">
        <f t="shared" si="1003"/>
        <v>22007.916217656628</v>
      </c>
      <c r="P1245" s="511">
        <f t="shared" si="958"/>
        <v>1.2404416338540614E-7</v>
      </c>
      <c r="Q1245" s="530">
        <v>14620</v>
      </c>
      <c r="R1245" s="480"/>
      <c r="U1245" s="513"/>
    </row>
    <row r="1246" spans="1:21" s="479" customFormat="1" ht="27" x14ac:dyDescent="0.15">
      <c r="A1246" s="579"/>
      <c r="B1246" s="518" t="s">
        <v>248</v>
      </c>
      <c r="C1246" s="517">
        <f>'IMP BEBIDAS AL'!I95</f>
        <v>24241.757835338416</v>
      </c>
      <c r="D1246" s="517">
        <f t="shared" ref="D1246:O1246" si="1004">$C1246*D$28%</f>
        <v>5512.3477480502879</v>
      </c>
      <c r="E1246" s="517">
        <f t="shared" si="1004"/>
        <v>1896.0474437869236</v>
      </c>
      <c r="F1246" s="517">
        <f t="shared" si="1004"/>
        <v>2037.593204116271</v>
      </c>
      <c r="G1246" s="517">
        <f t="shared" si="1004"/>
        <v>2022.9660008966287</v>
      </c>
      <c r="H1246" s="517">
        <f t="shared" si="1004"/>
        <v>1288.2344977617458</v>
      </c>
      <c r="I1246" s="517">
        <f t="shared" si="1004"/>
        <v>2108.197827937001</v>
      </c>
      <c r="J1246" s="517">
        <f t="shared" si="1004"/>
        <v>2096.3310942335584</v>
      </c>
      <c r="K1246" s="517">
        <f t="shared" si="1004"/>
        <v>1917.2477431237814</v>
      </c>
      <c r="L1246" s="517">
        <f t="shared" si="1004"/>
        <v>1390.4420136667736</v>
      </c>
      <c r="M1246" s="517">
        <f t="shared" si="1004"/>
        <v>1292.5390188986175</v>
      </c>
      <c r="N1246" s="517">
        <f t="shared" si="1004"/>
        <v>1301.6754715591806</v>
      </c>
      <c r="O1246" s="517">
        <f t="shared" si="1004"/>
        <v>1378.1357713076477</v>
      </c>
      <c r="P1246" s="511">
        <f t="shared" si="958"/>
        <v>0</v>
      </c>
      <c r="Q1246" s="530">
        <v>625</v>
      </c>
      <c r="R1246" s="480"/>
      <c r="U1246" s="513"/>
    </row>
    <row r="1247" spans="1:21" s="479" customFormat="1" ht="18" x14ac:dyDescent="0.15">
      <c r="A1247" s="579"/>
      <c r="B1247" s="518" t="s">
        <v>253</v>
      </c>
      <c r="C1247" s="517">
        <f>'FOND GASO Y D'!Q96</f>
        <v>0</v>
      </c>
      <c r="D1247" s="517">
        <f t="shared" ref="D1247:O1247" si="1005">$C1247*D$29%</f>
        <v>0</v>
      </c>
      <c r="E1247" s="517">
        <f t="shared" si="1005"/>
        <v>0</v>
      </c>
      <c r="F1247" s="517">
        <f t="shared" si="1005"/>
        <v>0</v>
      </c>
      <c r="G1247" s="517">
        <f t="shared" si="1005"/>
        <v>0</v>
      </c>
      <c r="H1247" s="517">
        <f t="shared" si="1005"/>
        <v>0</v>
      </c>
      <c r="I1247" s="517">
        <f t="shared" si="1005"/>
        <v>0</v>
      </c>
      <c r="J1247" s="517">
        <f t="shared" si="1005"/>
        <v>0</v>
      </c>
      <c r="K1247" s="517">
        <f t="shared" si="1005"/>
        <v>0</v>
      </c>
      <c r="L1247" s="517">
        <f t="shared" si="1005"/>
        <v>0</v>
      </c>
      <c r="M1247" s="517">
        <f t="shared" si="1005"/>
        <v>0</v>
      </c>
      <c r="N1247" s="517">
        <f t="shared" si="1005"/>
        <v>0</v>
      </c>
      <c r="O1247" s="517">
        <f t="shared" si="1005"/>
        <v>0</v>
      </c>
      <c r="P1247" s="511">
        <f t="shared" si="958"/>
        <v>0</v>
      </c>
      <c r="Q1247" s="530">
        <v>27558</v>
      </c>
      <c r="R1247" s="480"/>
      <c r="U1247" s="513"/>
    </row>
    <row r="1248" spans="1:21" s="479" customFormat="1" ht="18" x14ac:dyDescent="0.15">
      <c r="A1248" s="579"/>
      <c r="B1248" s="528" t="s">
        <v>408</v>
      </c>
      <c r="C1248" s="519">
        <f>'FOND GASO Y D'!H96</f>
        <v>892574.97438864224</v>
      </c>
      <c r="D1248" s="517">
        <f t="shared" ref="D1248:O1248" si="1006">$C1248*D$30%</f>
        <v>69434.12365621842</v>
      </c>
      <c r="E1248" s="517">
        <f t="shared" si="1006"/>
        <v>76341.238711636339</v>
      </c>
      <c r="F1248" s="517">
        <f t="shared" si="1006"/>
        <v>74326.072632891155</v>
      </c>
      <c r="G1248" s="517">
        <f t="shared" si="1006"/>
        <v>69256.414608343519</v>
      </c>
      <c r="H1248" s="517">
        <f t="shared" si="1006"/>
        <v>76310.669740540645</v>
      </c>
      <c r="I1248" s="517">
        <f t="shared" si="1006"/>
        <v>73648.863826884975</v>
      </c>
      <c r="J1248" s="517">
        <f t="shared" si="1006"/>
        <v>75184.340368850142</v>
      </c>
      <c r="K1248" s="517">
        <f t="shared" si="1006"/>
        <v>75139.663562108937</v>
      </c>
      <c r="L1248" s="517">
        <f t="shared" si="1006"/>
        <v>78191.804601992801</v>
      </c>
      <c r="M1248" s="517">
        <f t="shared" si="1006"/>
        <v>77505.190572818014</v>
      </c>
      <c r="N1248" s="517">
        <f t="shared" si="1006"/>
        <v>72435.532548270392</v>
      </c>
      <c r="O1248" s="517">
        <f t="shared" si="1006"/>
        <v>74801.059558979454</v>
      </c>
      <c r="P1248" s="511">
        <f t="shared" si="958"/>
        <v>-8.9251261670142412E-7</v>
      </c>
      <c r="Q1248" s="530">
        <v>54549</v>
      </c>
      <c r="R1248" s="480"/>
      <c r="U1248" s="513"/>
    </row>
    <row r="1249" spans="1:21" s="479" customFormat="1" x14ac:dyDescent="0.15">
      <c r="A1249" s="579"/>
      <c r="B1249" s="534"/>
      <c r="C1249" s="521"/>
      <c r="D1249" s="522"/>
      <c r="E1249" s="522"/>
      <c r="F1249" s="522"/>
      <c r="G1249" s="522"/>
      <c r="H1249" s="522"/>
      <c r="I1249" s="522"/>
      <c r="J1249" s="522"/>
      <c r="K1249" s="522"/>
      <c r="L1249" s="522"/>
      <c r="M1249" s="522"/>
      <c r="N1249" s="522"/>
      <c r="O1249" s="522"/>
      <c r="P1249" s="511">
        <f t="shared" si="958"/>
        <v>0</v>
      </c>
      <c r="Q1249" s="530">
        <v>0</v>
      </c>
      <c r="R1249" s="480"/>
      <c r="U1249" s="513"/>
    </row>
    <row r="1250" spans="1:21" s="479" customFormat="1" x14ac:dyDescent="0.15">
      <c r="A1250" s="591"/>
      <c r="B1250" s="532"/>
      <c r="C1250" s="521"/>
      <c r="D1250" s="521"/>
      <c r="E1250" s="521"/>
      <c r="F1250" s="521"/>
      <c r="G1250" s="521"/>
      <c r="H1250" s="521"/>
      <c r="I1250" s="521"/>
      <c r="J1250" s="521"/>
      <c r="K1250" s="521"/>
      <c r="L1250" s="521"/>
      <c r="M1250" s="521"/>
      <c r="N1250" s="521"/>
      <c r="O1250" s="521"/>
      <c r="P1250" s="511">
        <f t="shared" si="958"/>
        <v>0</v>
      </c>
      <c r="Q1250" s="530">
        <v>0</v>
      </c>
      <c r="R1250" s="480"/>
      <c r="U1250" s="513"/>
    </row>
    <row r="1251" spans="1:21" s="479" customFormat="1" x14ac:dyDescent="0.15">
      <c r="A1251" s="576">
        <v>82</v>
      </c>
      <c r="B1251" s="533" t="s">
        <v>152</v>
      </c>
      <c r="C1251" s="524">
        <f t="shared" ref="C1251:O1251" si="1007">SUM(C1252:C1263)</f>
        <v>137126026.86152989</v>
      </c>
      <c r="D1251" s="524">
        <f t="shared" si="1007"/>
        <v>10663512.831252642</v>
      </c>
      <c r="E1251" s="524">
        <f t="shared" si="1007"/>
        <v>14474062.070808131</v>
      </c>
      <c r="F1251" s="524">
        <f t="shared" si="1007"/>
        <v>9565261.129816059</v>
      </c>
      <c r="G1251" s="524">
        <f t="shared" si="1007"/>
        <v>12199110.680371504</v>
      </c>
      <c r="H1251" s="524">
        <f t="shared" si="1007"/>
        <v>13739396.093116129</v>
      </c>
      <c r="I1251" s="524">
        <f t="shared" si="1007"/>
        <v>13553894.094785875</v>
      </c>
      <c r="J1251" s="524">
        <f t="shared" si="1007"/>
        <v>11683926.465226566</v>
      </c>
      <c r="K1251" s="524">
        <f t="shared" si="1007"/>
        <v>11355621.937221181</v>
      </c>
      <c r="L1251" s="524">
        <f t="shared" si="1007"/>
        <v>10762627.798916386</v>
      </c>
      <c r="M1251" s="524">
        <f t="shared" si="1007"/>
        <v>8069744.1618375452</v>
      </c>
      <c r="N1251" s="524">
        <f t="shared" si="1007"/>
        <v>10469327.473336847</v>
      </c>
      <c r="O1251" s="524">
        <f t="shared" si="1007"/>
        <v>10589542.124446666</v>
      </c>
      <c r="P1251" s="511">
        <f t="shared" si="958"/>
        <v>3.9435550570487976E-4</v>
      </c>
      <c r="Q1251" s="530">
        <v>8079209</v>
      </c>
      <c r="R1251" s="480"/>
      <c r="T1251" s="512"/>
      <c r="U1251" s="513"/>
    </row>
    <row r="1252" spans="1:21" s="479" customFormat="1" x14ac:dyDescent="0.15">
      <c r="A1252" s="579"/>
      <c r="B1252" s="528" t="s">
        <v>294</v>
      </c>
      <c r="C1252" s="517">
        <f>'FG1'!I97</f>
        <v>93180091.366163403</v>
      </c>
      <c r="D1252" s="517">
        <f t="shared" ref="D1252:O1252" si="1008">$C1252*D$19%</f>
        <v>7047648.1247888906</v>
      </c>
      <c r="E1252" s="517">
        <f t="shared" si="1008"/>
        <v>10097515.792953296</v>
      </c>
      <c r="F1252" s="517">
        <f t="shared" si="1008"/>
        <v>6526991.3689190103</v>
      </c>
      <c r="G1252" s="517">
        <f t="shared" si="1008"/>
        <v>8017747.5823850948</v>
      </c>
      <c r="H1252" s="517">
        <f t="shared" si="1008"/>
        <v>9791421.6985212844</v>
      </c>
      <c r="I1252" s="517">
        <f t="shared" si="1008"/>
        <v>9599049.0060061123</v>
      </c>
      <c r="J1252" s="517">
        <f t="shared" si="1008"/>
        <v>7441217.2909126226</v>
      </c>
      <c r="K1252" s="517">
        <f t="shared" si="1008"/>
        <v>7900598.8248500004</v>
      </c>
      <c r="L1252" s="517">
        <f t="shared" si="1008"/>
        <v>7424603.288262804</v>
      </c>
      <c r="M1252" s="517">
        <f t="shared" si="1008"/>
        <v>4921941.3878363641</v>
      </c>
      <c r="N1252" s="517">
        <f t="shared" si="1008"/>
        <v>7183322.5812393846</v>
      </c>
      <c r="O1252" s="517">
        <f t="shared" si="1008"/>
        <v>7228034.419395362</v>
      </c>
      <c r="P1252" s="511">
        <f t="shared" ref="P1252:P1315" si="1009">C1252-D1252-E1252-F1252-G1252-H1252-I1252-J1252-K1252-L1252-M1252-N1252-O1252</f>
        <v>9.316764771938324E-5</v>
      </c>
      <c r="Q1252" s="530">
        <v>5584008</v>
      </c>
      <c r="R1252" s="480"/>
      <c r="U1252" s="513"/>
    </row>
    <row r="1253" spans="1:21" s="479" customFormat="1" x14ac:dyDescent="0.15">
      <c r="A1253" s="579"/>
      <c r="B1253" s="528" t="s">
        <v>296</v>
      </c>
      <c r="C1253" s="517">
        <f>FFM!J97</f>
        <v>25046426.111129384</v>
      </c>
      <c r="D1253" s="517">
        <f t="shared" ref="D1253:O1253" si="1010">$C1253*D$20%</f>
        <v>1894089.3867988074</v>
      </c>
      <c r="E1253" s="517">
        <f t="shared" si="1010"/>
        <v>2715484.8887776174</v>
      </c>
      <c r="F1253" s="517">
        <f t="shared" si="1010"/>
        <v>1753865.2400586265</v>
      </c>
      <c r="G1253" s="517">
        <f t="shared" si="1010"/>
        <v>2155358.2147542271</v>
      </c>
      <c r="H1253" s="517">
        <f t="shared" si="1010"/>
        <v>2633047.1181677175</v>
      </c>
      <c r="I1253" s="517">
        <f t="shared" si="1010"/>
        <v>2581236.9726918661</v>
      </c>
      <c r="J1253" s="517">
        <f t="shared" si="1010"/>
        <v>1999910.7435008804</v>
      </c>
      <c r="K1253" s="517">
        <f t="shared" si="1010"/>
        <v>2123632.1533562783</v>
      </c>
      <c r="L1253" s="517">
        <f t="shared" si="1010"/>
        <v>1995436.2216171678</v>
      </c>
      <c r="M1253" s="517">
        <f t="shared" si="1010"/>
        <v>1321415.0977132383</v>
      </c>
      <c r="N1253" s="517">
        <f t="shared" si="1010"/>
        <v>1930454.1007384215</v>
      </c>
      <c r="O1253" s="517">
        <f t="shared" si="1010"/>
        <v>1942495.972653979</v>
      </c>
      <c r="P1253" s="511">
        <f t="shared" si="1009"/>
        <v>3.0055735260248184E-4</v>
      </c>
      <c r="Q1253" s="530">
        <v>1709642</v>
      </c>
      <c r="R1253" s="480"/>
      <c r="U1253" s="513"/>
    </row>
    <row r="1254" spans="1:21" s="479" customFormat="1" ht="18" x14ac:dyDescent="0.15">
      <c r="A1254" s="579"/>
      <c r="B1254" s="528" t="s">
        <v>297</v>
      </c>
      <c r="C1254" s="517">
        <f>IEPS!I96</f>
        <v>2253467.3866812759</v>
      </c>
      <c r="D1254" s="517">
        <f t="shared" ref="D1254:O1254" si="1011">$C1254*D$21%</f>
        <v>158283.145703074</v>
      </c>
      <c r="E1254" s="517">
        <f t="shared" si="1011"/>
        <v>361788.84315043117</v>
      </c>
      <c r="F1254" s="517">
        <f t="shared" si="1011"/>
        <v>150272.54665316132</v>
      </c>
      <c r="G1254" s="517">
        <f t="shared" si="1011"/>
        <v>146043.87242363507</v>
      </c>
      <c r="H1254" s="517">
        <f t="shared" si="1011"/>
        <v>161240.46941311291</v>
      </c>
      <c r="I1254" s="517">
        <f t="shared" si="1011"/>
        <v>167209.57915128951</v>
      </c>
      <c r="J1254" s="517">
        <f t="shared" si="1011"/>
        <v>172194.95634023915</v>
      </c>
      <c r="K1254" s="517">
        <f t="shared" si="1011"/>
        <v>190741.59962914366</v>
      </c>
      <c r="L1254" s="517">
        <f t="shared" si="1011"/>
        <v>191141.2900230693</v>
      </c>
      <c r="M1254" s="517">
        <f t="shared" si="1011"/>
        <v>189016.89722585786</v>
      </c>
      <c r="N1254" s="517">
        <f t="shared" si="1011"/>
        <v>182905.81544127944</v>
      </c>
      <c r="O1254" s="517">
        <f t="shared" si="1011"/>
        <v>182628.37152472898</v>
      </c>
      <c r="P1254" s="511">
        <f t="shared" si="1009"/>
        <v>2.2533058654516935E-6</v>
      </c>
      <c r="Q1254" s="530">
        <v>144214</v>
      </c>
      <c r="R1254" s="480"/>
      <c r="U1254" s="513"/>
    </row>
    <row r="1255" spans="1:21" s="479" customFormat="1" x14ac:dyDescent="0.15">
      <c r="A1255" s="579"/>
      <c r="B1255" s="528" t="s">
        <v>236</v>
      </c>
      <c r="C1255" s="517">
        <f>ISR!C87</f>
        <v>6981927.0999999996</v>
      </c>
      <c r="D1255" s="517">
        <f>ISR!D87</f>
        <v>521754.73999999993</v>
      </c>
      <c r="E1255" s="517">
        <f>ISR!E87</f>
        <v>676595.66999999969</v>
      </c>
      <c r="F1255" s="517">
        <f>ISR!F87</f>
        <v>551612.37999999966</v>
      </c>
      <c r="G1255" s="517">
        <f>ISR!G87</f>
        <v>619731.4299999997</v>
      </c>
      <c r="H1255" s="517">
        <f>ISR!H87</f>
        <v>564258.7200000002</v>
      </c>
      <c r="I1255" s="517">
        <f>ISR!I87</f>
        <v>640938.10000000033</v>
      </c>
      <c r="J1255" s="517">
        <f>ISR!J87</f>
        <v>569449.92000000016</v>
      </c>
      <c r="K1255" s="517">
        <f>ISR!K87</f>
        <v>558297.07999999973</v>
      </c>
      <c r="L1255" s="517">
        <f>ISR!L87</f>
        <v>561214.03999999992</v>
      </c>
      <c r="M1255" s="517">
        <f>ISR!M87</f>
        <v>572842.74</v>
      </c>
      <c r="N1255" s="517">
        <f>ISR!N87</f>
        <v>572616.14000000013</v>
      </c>
      <c r="O1255" s="517">
        <f>ISR!O87</f>
        <v>572616.14000000013</v>
      </c>
      <c r="P1255" s="511">
        <f t="shared" si="1009"/>
        <v>0</v>
      </c>
      <c r="Q1255" s="530">
        <v>0</v>
      </c>
      <c r="R1255" s="480"/>
      <c r="U1255" s="513"/>
    </row>
    <row r="1256" spans="1:21" s="479" customFormat="1" ht="18" x14ac:dyDescent="0.15">
      <c r="A1256" s="579"/>
      <c r="B1256" s="528" t="s">
        <v>298</v>
      </c>
      <c r="C1256" s="517">
        <f>FOFIR!I96</f>
        <v>4358194.8350176569</v>
      </c>
      <c r="D1256" s="517">
        <f t="shared" ref="D1256:O1256" si="1012">$C1256*D$23%</f>
        <v>595832.76673414267</v>
      </c>
      <c r="E1256" s="517">
        <f t="shared" si="1012"/>
        <v>151592.25681583586</v>
      </c>
      <c r="F1256" s="517">
        <f t="shared" si="1012"/>
        <v>151592.25681583586</v>
      </c>
      <c r="G1256" s="517">
        <f t="shared" si="1012"/>
        <v>855485.79906197928</v>
      </c>
      <c r="H1256" s="517">
        <f t="shared" si="1012"/>
        <v>151592.25681583586</v>
      </c>
      <c r="I1256" s="517">
        <f t="shared" si="1012"/>
        <v>151592.25681583586</v>
      </c>
      <c r="J1256" s="517">
        <f t="shared" si="1012"/>
        <v>1064086.4880981129</v>
      </c>
      <c r="K1256" s="517">
        <f t="shared" si="1012"/>
        <v>151592.25681583586</v>
      </c>
      <c r="L1256" s="517">
        <f t="shared" si="1012"/>
        <v>151592.25681583586</v>
      </c>
      <c r="M1256" s="517">
        <f t="shared" si="1012"/>
        <v>630051.72661416815</v>
      </c>
      <c r="N1256" s="517">
        <f t="shared" si="1012"/>
        <v>151592.25681583586</v>
      </c>
      <c r="O1256" s="517">
        <f t="shared" si="1012"/>
        <v>151592.25681583586</v>
      </c>
      <c r="P1256" s="511">
        <f t="shared" si="1009"/>
        <v>-1.7432786989957094E-5</v>
      </c>
      <c r="Q1256" s="530">
        <v>169868</v>
      </c>
      <c r="R1256" s="480"/>
      <c r="U1256" s="513"/>
    </row>
    <row r="1257" spans="1:21" s="479" customFormat="1" ht="27" x14ac:dyDescent="0.15">
      <c r="A1257" s="579"/>
      <c r="B1257" s="528" t="s">
        <v>407</v>
      </c>
      <c r="C1257" s="517">
        <f>FCISAN!I96</f>
        <v>276663.65062363667</v>
      </c>
      <c r="D1257" s="517">
        <f t="shared" ref="D1257:O1257" si="1013">$C1257*D$24%</f>
        <v>23055.30421854417</v>
      </c>
      <c r="E1257" s="517">
        <f t="shared" si="1013"/>
        <v>23055.30421854417</v>
      </c>
      <c r="F1257" s="517">
        <f t="shared" si="1013"/>
        <v>23055.30421854417</v>
      </c>
      <c r="G1257" s="517">
        <f t="shared" si="1013"/>
        <v>23055.30421854417</v>
      </c>
      <c r="H1257" s="517">
        <f t="shared" si="1013"/>
        <v>23055.30421854417</v>
      </c>
      <c r="I1257" s="517">
        <f t="shared" si="1013"/>
        <v>23055.30421854417</v>
      </c>
      <c r="J1257" s="517">
        <f t="shared" si="1013"/>
        <v>23055.30421854417</v>
      </c>
      <c r="K1257" s="517">
        <f t="shared" si="1013"/>
        <v>23055.30421854417</v>
      </c>
      <c r="L1257" s="517">
        <f t="shared" si="1013"/>
        <v>23055.30421854417</v>
      </c>
      <c r="M1257" s="517">
        <f t="shared" si="1013"/>
        <v>23055.30421854417</v>
      </c>
      <c r="N1257" s="517">
        <f t="shared" si="1013"/>
        <v>23055.30421854417</v>
      </c>
      <c r="O1257" s="517">
        <f t="shared" si="1013"/>
        <v>23055.30421854417</v>
      </c>
      <c r="P1257" s="511">
        <f t="shared" si="1009"/>
        <v>1.1066804290749133E-6</v>
      </c>
      <c r="Q1257" s="530">
        <v>20210</v>
      </c>
      <c r="R1257" s="480"/>
      <c r="U1257" s="513"/>
    </row>
    <row r="1258" spans="1:21" s="479" customFormat="1" ht="27" x14ac:dyDescent="0.15">
      <c r="A1258" s="579"/>
      <c r="B1258" s="528" t="s">
        <v>242</v>
      </c>
      <c r="C1258" s="517">
        <f>ISAN!I96</f>
        <v>1381967.3807161411</v>
      </c>
      <c r="D1258" s="517">
        <f t="shared" ref="D1258:O1258" si="1014">$C1258*D$25%</f>
        <v>132991.70652818939</v>
      </c>
      <c r="E1258" s="517">
        <f t="shared" si="1014"/>
        <v>148537.8484819569</v>
      </c>
      <c r="F1258" s="517">
        <f t="shared" si="1014"/>
        <v>115278.48517190084</v>
      </c>
      <c r="G1258" s="517">
        <f t="shared" si="1014"/>
        <v>106990.3252986591</v>
      </c>
      <c r="H1258" s="517">
        <f t="shared" si="1014"/>
        <v>114396.31195495908</v>
      </c>
      <c r="I1258" s="517">
        <f t="shared" si="1014"/>
        <v>99356.677736244063</v>
      </c>
      <c r="J1258" s="517">
        <f t="shared" si="1014"/>
        <v>107637.72658715291</v>
      </c>
      <c r="K1258" s="517">
        <f t="shared" si="1014"/>
        <v>111002.78991647375</v>
      </c>
      <c r="L1258" s="517">
        <f t="shared" si="1014"/>
        <v>109074.81394276205</v>
      </c>
      <c r="M1258" s="517">
        <f t="shared" si="1014"/>
        <v>111749.79230275186</v>
      </c>
      <c r="N1258" s="517">
        <f t="shared" si="1014"/>
        <v>108199.75467239619</v>
      </c>
      <c r="O1258" s="517">
        <f t="shared" si="1014"/>
        <v>116751.14810611139</v>
      </c>
      <c r="P1258" s="511">
        <f t="shared" si="1009"/>
        <v>1.658375549595803E-5</v>
      </c>
      <c r="Q1258" s="530">
        <v>86804</v>
      </c>
      <c r="R1258" s="480"/>
      <c r="U1258" s="513"/>
    </row>
    <row r="1259" spans="1:21" s="479" customFormat="1" ht="18" x14ac:dyDescent="0.15">
      <c r="A1259" s="579"/>
      <c r="B1259" s="528" t="s">
        <v>403</v>
      </c>
      <c r="C1259" s="517">
        <f>LOT!I96</f>
        <v>66896.888120238844</v>
      </c>
      <c r="D1259" s="517">
        <f t="shared" ref="D1259:O1259" si="1015">$C1259*D$26%</f>
        <v>5058.099729847615</v>
      </c>
      <c r="E1259" s="517">
        <f t="shared" si="1015"/>
        <v>4986.4045327807835</v>
      </c>
      <c r="F1259" s="517">
        <f t="shared" si="1015"/>
        <v>4901.0235880699875</v>
      </c>
      <c r="G1259" s="517">
        <f t="shared" si="1015"/>
        <v>5392.220329847486</v>
      </c>
      <c r="H1259" s="517">
        <f t="shared" si="1015"/>
        <v>4411.8177172168398</v>
      </c>
      <c r="I1259" s="517">
        <f t="shared" si="1015"/>
        <v>5987.0615749630606</v>
      </c>
      <c r="J1259" s="517">
        <f t="shared" si="1015"/>
        <v>13740.299877125934</v>
      </c>
      <c r="K1259" s="517">
        <f t="shared" si="1015"/>
        <v>5001.961937548931</v>
      </c>
      <c r="L1259" s="517">
        <f t="shared" si="1015"/>
        <v>6069.2595104133679</v>
      </c>
      <c r="M1259" s="517">
        <f t="shared" si="1015"/>
        <v>3757.7033560487794</v>
      </c>
      <c r="N1259" s="517">
        <f t="shared" si="1015"/>
        <v>3795.51798278665</v>
      </c>
      <c r="O1259" s="517">
        <f t="shared" si="1015"/>
        <v>3795.51798278665</v>
      </c>
      <c r="P1259" s="511">
        <f t="shared" si="1009"/>
        <v>8.0275367508875206E-7</v>
      </c>
      <c r="Q1259" s="530">
        <v>4241</v>
      </c>
      <c r="R1259" s="480"/>
      <c r="U1259" s="513"/>
    </row>
    <row r="1260" spans="1:21" s="479" customFormat="1" ht="45" x14ac:dyDescent="0.15">
      <c r="A1260" s="579"/>
      <c r="B1260" s="518" t="s">
        <v>301</v>
      </c>
      <c r="C1260" s="517">
        <f>'ENAJENAC DE INMUE'!I96</f>
        <v>263046.50467946136</v>
      </c>
      <c r="D1260" s="517">
        <f t="shared" ref="D1260:O1260" si="1016">$C1260*D$27%</f>
        <v>11359.852079117481</v>
      </c>
      <c r="E1260" s="517">
        <f t="shared" si="1016"/>
        <v>11527.171318762421</v>
      </c>
      <c r="F1260" s="517">
        <f t="shared" si="1016"/>
        <v>11371.769633019003</v>
      </c>
      <c r="G1260" s="517">
        <f t="shared" si="1016"/>
        <v>11305.156974070827</v>
      </c>
      <c r="H1260" s="517">
        <f t="shared" si="1016"/>
        <v>15682.411734581998</v>
      </c>
      <c r="I1260" s="517">
        <f t="shared" si="1016"/>
        <v>11287.84851406292</v>
      </c>
      <c r="J1260" s="517">
        <f t="shared" si="1016"/>
        <v>12972.887287186204</v>
      </c>
      <c r="K1260" s="517">
        <f t="shared" si="1016"/>
        <v>12959.533808711822</v>
      </c>
      <c r="L1260" s="517">
        <f t="shared" si="1016"/>
        <v>12943.116612077698</v>
      </c>
      <c r="M1260" s="517">
        <f t="shared" si="1016"/>
        <v>11303.306364574735</v>
      </c>
      <c r="N1260" s="517">
        <f t="shared" si="1016"/>
        <v>46994.991073174526</v>
      </c>
      <c r="O1260" s="517">
        <f t="shared" si="1016"/>
        <v>93338.459279595627</v>
      </c>
      <c r="P1260" s="511">
        <f t="shared" si="1009"/>
        <v>5.2612449508160353E-7</v>
      </c>
      <c r="Q1260" s="530">
        <v>61867</v>
      </c>
      <c r="R1260" s="480"/>
      <c r="U1260" s="513"/>
    </row>
    <row r="1261" spans="1:21" s="479" customFormat="1" ht="27" x14ac:dyDescent="0.15">
      <c r="A1261" s="579"/>
      <c r="B1261" s="518" t="s">
        <v>248</v>
      </c>
      <c r="C1261" s="517">
        <f>'IMP BEBIDAS AL'!I96</f>
        <v>102812.47457513635</v>
      </c>
      <c r="D1261" s="517">
        <f t="shared" ref="D1261:O1261" si="1017">$C1261*D$28%</f>
        <v>23378.589809587491</v>
      </c>
      <c r="E1261" s="517">
        <f t="shared" si="1017"/>
        <v>8041.3858983206874</v>
      </c>
      <c r="F1261" s="517">
        <f t="shared" si="1017"/>
        <v>8641.700033290932</v>
      </c>
      <c r="G1261" s="517">
        <f t="shared" si="1017"/>
        <v>8579.6641459043931</v>
      </c>
      <c r="H1261" s="517">
        <f t="shared" si="1017"/>
        <v>5463.5714723158026</v>
      </c>
      <c r="I1261" s="517">
        <f t="shared" si="1017"/>
        <v>8941.1435035525665</v>
      </c>
      <c r="J1261" s="517">
        <f t="shared" si="1017"/>
        <v>8890.815129452707</v>
      </c>
      <c r="K1261" s="517">
        <f t="shared" si="1017"/>
        <v>8131.2991484802351</v>
      </c>
      <c r="L1261" s="517">
        <f t="shared" si="1017"/>
        <v>5897.0469530028986</v>
      </c>
      <c r="M1261" s="517">
        <f t="shared" si="1017"/>
        <v>5481.8275110465256</v>
      </c>
      <c r="N1261" s="517">
        <f t="shared" si="1017"/>
        <v>5520.5764051346332</v>
      </c>
      <c r="O1261" s="517">
        <f t="shared" si="1017"/>
        <v>5844.854565047488</v>
      </c>
      <c r="P1261" s="511">
        <f t="shared" si="1009"/>
        <v>0</v>
      </c>
      <c r="Q1261" s="530">
        <v>2649</v>
      </c>
      <c r="R1261" s="480"/>
      <c r="U1261" s="513"/>
    </row>
    <row r="1262" spans="1:21" s="479" customFormat="1" ht="18" x14ac:dyDescent="0.15">
      <c r="A1262" s="579"/>
      <c r="B1262" s="518" t="s">
        <v>253</v>
      </c>
      <c r="C1262" s="517">
        <f>'FOND GASO Y D'!Q97</f>
        <v>0</v>
      </c>
      <c r="D1262" s="517">
        <f t="shared" ref="D1262:O1262" si="1018">$C1262*D$29%</f>
        <v>0</v>
      </c>
      <c r="E1262" s="517">
        <f t="shared" si="1018"/>
        <v>0</v>
      </c>
      <c r="F1262" s="517">
        <f t="shared" si="1018"/>
        <v>0</v>
      </c>
      <c r="G1262" s="517">
        <f t="shared" si="1018"/>
        <v>0</v>
      </c>
      <c r="H1262" s="517">
        <f t="shared" si="1018"/>
        <v>0</v>
      </c>
      <c r="I1262" s="517">
        <f t="shared" si="1018"/>
        <v>0</v>
      </c>
      <c r="J1262" s="517">
        <f t="shared" si="1018"/>
        <v>0</v>
      </c>
      <c r="K1262" s="517">
        <f t="shared" si="1018"/>
        <v>0</v>
      </c>
      <c r="L1262" s="517">
        <f t="shared" si="1018"/>
        <v>0</v>
      </c>
      <c r="M1262" s="517">
        <f t="shared" si="1018"/>
        <v>0</v>
      </c>
      <c r="N1262" s="517">
        <f t="shared" si="1018"/>
        <v>0</v>
      </c>
      <c r="O1262" s="517">
        <f t="shared" si="1018"/>
        <v>0</v>
      </c>
      <c r="P1262" s="511">
        <f t="shared" si="1009"/>
        <v>0</v>
      </c>
      <c r="Q1262" s="530">
        <v>99249</v>
      </c>
      <c r="R1262" s="480"/>
      <c r="U1262" s="513"/>
    </row>
    <row r="1263" spans="1:21" s="479" customFormat="1" ht="18" x14ac:dyDescent="0.15">
      <c r="A1263" s="579"/>
      <c r="B1263" s="528" t="s">
        <v>408</v>
      </c>
      <c r="C1263" s="519">
        <f>'FOND GASO Y D'!H97</f>
        <v>3214533.1638235659</v>
      </c>
      <c r="D1263" s="517">
        <f t="shared" ref="D1263:O1263" si="1019">$C1263*D$30%</f>
        <v>250061.11486244315</v>
      </c>
      <c r="E1263" s="517">
        <f t="shared" si="1019"/>
        <v>274936.50466058723</v>
      </c>
      <c r="F1263" s="517">
        <f t="shared" si="1019"/>
        <v>267679.0547246022</v>
      </c>
      <c r="G1263" s="517">
        <f t="shared" si="1019"/>
        <v>249421.11077954056</v>
      </c>
      <c r="H1263" s="517">
        <f t="shared" si="1019"/>
        <v>274826.41310056072</v>
      </c>
      <c r="I1263" s="517">
        <f t="shared" si="1019"/>
        <v>265240.14457340591</v>
      </c>
      <c r="J1263" s="517">
        <f t="shared" si="1019"/>
        <v>270770.03327524959</v>
      </c>
      <c r="K1263" s="517">
        <f t="shared" si="1019"/>
        <v>270609.13354016381</v>
      </c>
      <c r="L1263" s="517">
        <f t="shared" si="1019"/>
        <v>281601.16096071037</v>
      </c>
      <c r="M1263" s="517">
        <f t="shared" si="1019"/>
        <v>279128.37869495101</v>
      </c>
      <c r="N1263" s="517">
        <f t="shared" si="1019"/>
        <v>260870.43474988942</v>
      </c>
      <c r="O1263" s="517">
        <f t="shared" si="1019"/>
        <v>269389.67990467657</v>
      </c>
      <c r="P1263" s="511">
        <f t="shared" si="1009"/>
        <v>-3.2142852433025837E-6</v>
      </c>
      <c r="Q1263" s="530">
        <v>196457</v>
      </c>
      <c r="R1263" s="480"/>
      <c r="U1263" s="513"/>
    </row>
    <row r="1264" spans="1:21" s="479" customFormat="1" x14ac:dyDescent="0.15">
      <c r="A1264" s="591"/>
      <c r="B1264" s="532"/>
      <c r="C1264" s="521"/>
      <c r="D1264" s="522"/>
      <c r="E1264" s="522"/>
      <c r="F1264" s="522"/>
      <c r="G1264" s="522"/>
      <c r="H1264" s="522"/>
      <c r="I1264" s="522"/>
      <c r="J1264" s="522"/>
      <c r="K1264" s="522"/>
      <c r="L1264" s="522"/>
      <c r="M1264" s="522"/>
      <c r="N1264" s="522"/>
      <c r="O1264" s="522"/>
      <c r="P1264" s="511">
        <f t="shared" si="1009"/>
        <v>0</v>
      </c>
      <c r="Q1264" s="530">
        <v>0</v>
      </c>
      <c r="R1264" s="480"/>
      <c r="U1264" s="513"/>
    </row>
    <row r="1265" spans="1:21" s="479" customFormat="1" x14ac:dyDescent="0.15">
      <c r="A1265" s="591"/>
      <c r="B1265" s="532"/>
      <c r="C1265" s="521"/>
      <c r="D1265" s="522"/>
      <c r="E1265" s="522"/>
      <c r="F1265" s="522"/>
      <c r="G1265" s="522"/>
      <c r="H1265" s="522"/>
      <c r="I1265" s="522"/>
      <c r="J1265" s="522"/>
      <c r="K1265" s="522"/>
      <c r="L1265" s="522"/>
      <c r="M1265" s="522"/>
      <c r="N1265" s="522"/>
      <c r="O1265" s="522"/>
      <c r="P1265" s="511">
        <f t="shared" si="1009"/>
        <v>0</v>
      </c>
      <c r="Q1265" s="530">
        <v>0</v>
      </c>
      <c r="R1265" s="480"/>
      <c r="U1265" s="513"/>
    </row>
    <row r="1266" spans="1:21" s="479" customFormat="1" x14ac:dyDescent="0.15">
      <c r="A1266" s="576">
        <v>83</v>
      </c>
      <c r="B1266" s="533" t="s">
        <v>153</v>
      </c>
      <c r="C1266" s="524">
        <f t="shared" ref="C1266:O1266" si="1020">SUM(C1267:C1278)</f>
        <v>74650565.722416535</v>
      </c>
      <c r="D1266" s="524">
        <f t="shared" si="1020"/>
        <v>5851909.8534863843</v>
      </c>
      <c r="E1266" s="524">
        <f t="shared" si="1020"/>
        <v>7810457.5430067973</v>
      </c>
      <c r="F1266" s="524">
        <f t="shared" si="1020"/>
        <v>5225087.5892333724</v>
      </c>
      <c r="G1266" s="524">
        <f t="shared" si="1020"/>
        <v>6617145.2881659297</v>
      </c>
      <c r="H1266" s="524">
        <f t="shared" si="1020"/>
        <v>7472059.5538740661</v>
      </c>
      <c r="I1266" s="524">
        <f t="shared" si="1020"/>
        <v>7335435.1518655391</v>
      </c>
      <c r="J1266" s="524">
        <f t="shared" si="1020"/>
        <v>6372157.2696503894</v>
      </c>
      <c r="K1266" s="524">
        <f t="shared" si="1020"/>
        <v>6190318.331948637</v>
      </c>
      <c r="L1266" s="524">
        <f t="shared" si="1020"/>
        <v>5865886.184676379</v>
      </c>
      <c r="M1266" s="524">
        <f t="shared" si="1020"/>
        <v>4405626.512018336</v>
      </c>
      <c r="N1266" s="524">
        <f t="shared" si="1020"/>
        <v>5730096.9076347696</v>
      </c>
      <c r="O1266" s="524">
        <f t="shared" si="1020"/>
        <v>5774385.5366417123</v>
      </c>
      <c r="P1266" s="511">
        <f t="shared" si="1009"/>
        <v>2.1420978009700775E-4</v>
      </c>
      <c r="Q1266" s="530">
        <v>4346218</v>
      </c>
      <c r="R1266" s="480"/>
      <c r="T1266" s="512"/>
      <c r="U1266" s="513"/>
    </row>
    <row r="1267" spans="1:21" s="479" customFormat="1" x14ac:dyDescent="0.15">
      <c r="A1267" s="579"/>
      <c r="B1267" s="528" t="s">
        <v>294</v>
      </c>
      <c r="C1267" s="517">
        <f>'FG1'!I98</f>
        <v>50605456.957417324</v>
      </c>
      <c r="D1267" s="517">
        <f t="shared" ref="D1267:O1267" si="1021">$C1267*D$19%</f>
        <v>3827528.4838316618</v>
      </c>
      <c r="E1267" s="517">
        <f t="shared" si="1021"/>
        <v>5483890.3176123723</v>
      </c>
      <c r="F1267" s="517">
        <f t="shared" si="1021"/>
        <v>3544763.4353920375</v>
      </c>
      <c r="G1267" s="517">
        <f t="shared" si="1021"/>
        <v>4354382.725183324</v>
      </c>
      <c r="H1267" s="517">
        <f t="shared" si="1021"/>
        <v>5317652.7523385985</v>
      </c>
      <c r="I1267" s="517">
        <f t="shared" si="1021"/>
        <v>5213176.4863452157</v>
      </c>
      <c r="J1267" s="517">
        <f t="shared" si="1021"/>
        <v>4041273.1497150171</v>
      </c>
      <c r="K1267" s="517">
        <f t="shared" si="1021"/>
        <v>4290760.0529994043</v>
      </c>
      <c r="L1267" s="517">
        <f t="shared" si="1021"/>
        <v>4032250.2008891576</v>
      </c>
      <c r="M1267" s="517">
        <f t="shared" si="1021"/>
        <v>2673071.9985055914</v>
      </c>
      <c r="N1267" s="517">
        <f t="shared" si="1021"/>
        <v>3901212.3337341705</v>
      </c>
      <c r="O1267" s="517">
        <f t="shared" si="1021"/>
        <v>3925495.0208201697</v>
      </c>
      <c r="P1267" s="511">
        <f t="shared" si="1009"/>
        <v>5.0607137382030487E-5</v>
      </c>
      <c r="Q1267" s="530">
        <v>3006130</v>
      </c>
      <c r="R1267" s="480"/>
      <c r="U1267" s="513"/>
    </row>
    <row r="1268" spans="1:21" s="479" customFormat="1" x14ac:dyDescent="0.15">
      <c r="A1268" s="579"/>
      <c r="B1268" s="528" t="s">
        <v>296</v>
      </c>
      <c r="C1268" s="517">
        <f>FFM!J98</f>
        <v>13602539.125263775</v>
      </c>
      <c r="D1268" s="517">
        <f t="shared" ref="D1268:O1268" si="1022">$C1268*D$20%</f>
        <v>1028666.7198091476</v>
      </c>
      <c r="E1268" s="517">
        <f t="shared" si="1022"/>
        <v>1474760.8812439276</v>
      </c>
      <c r="F1268" s="517">
        <f t="shared" si="1022"/>
        <v>952511.96488016064</v>
      </c>
      <c r="G1268" s="517">
        <f t="shared" si="1022"/>
        <v>1170559.995868051</v>
      </c>
      <c r="H1268" s="517">
        <f t="shared" si="1022"/>
        <v>1429989.5036771137</v>
      </c>
      <c r="I1268" s="517">
        <f t="shared" si="1022"/>
        <v>1401851.7754521784</v>
      </c>
      <c r="J1268" s="517">
        <f t="shared" si="1022"/>
        <v>1086137.5596983095</v>
      </c>
      <c r="K1268" s="517">
        <f t="shared" si="1022"/>
        <v>1153329.7934614744</v>
      </c>
      <c r="L1268" s="517">
        <f t="shared" si="1022"/>
        <v>1083707.4781082259</v>
      </c>
      <c r="M1268" s="517">
        <f t="shared" si="1022"/>
        <v>717651.3123112428</v>
      </c>
      <c r="N1268" s="517">
        <f t="shared" si="1022"/>
        <v>1048416.1420200405</v>
      </c>
      <c r="O1268" s="517">
        <f t="shared" si="1022"/>
        <v>1054955.9985706725</v>
      </c>
      <c r="P1268" s="511">
        <f t="shared" si="1009"/>
        <v>1.6322755254805088E-4</v>
      </c>
      <c r="Q1268" s="530">
        <v>920378</v>
      </c>
      <c r="R1268" s="480"/>
      <c r="U1268" s="513"/>
    </row>
    <row r="1269" spans="1:21" s="479" customFormat="1" ht="18" x14ac:dyDescent="0.15">
      <c r="A1269" s="579"/>
      <c r="B1269" s="528" t="s">
        <v>297</v>
      </c>
      <c r="C1269" s="517">
        <f>IEPS!I97</f>
        <v>1223842.4020590053</v>
      </c>
      <c r="D1269" s="517">
        <f t="shared" ref="D1269:O1269" si="1023">$C1269*D$21%</f>
        <v>85962.471162270216</v>
      </c>
      <c r="E1269" s="517">
        <f t="shared" si="1023"/>
        <v>196484.99439410653</v>
      </c>
      <c r="F1269" s="517">
        <f t="shared" si="1023"/>
        <v>81611.97075515546</v>
      </c>
      <c r="G1269" s="517">
        <f t="shared" si="1023"/>
        <v>79315.407309340488</v>
      </c>
      <c r="H1269" s="517">
        <f t="shared" si="1023"/>
        <v>87568.573018614494</v>
      </c>
      <c r="I1269" s="517">
        <f t="shared" si="1023"/>
        <v>90810.354835959733</v>
      </c>
      <c r="J1269" s="517">
        <f t="shared" si="1023"/>
        <v>93517.878375086613</v>
      </c>
      <c r="K1269" s="517">
        <f t="shared" si="1023"/>
        <v>103590.43083667445</v>
      </c>
      <c r="L1269" s="517">
        <f t="shared" si="1023"/>
        <v>103807.49989863335</v>
      </c>
      <c r="M1269" s="517">
        <f t="shared" si="1023"/>
        <v>102653.75700480561</v>
      </c>
      <c r="N1269" s="517">
        <f t="shared" si="1023"/>
        <v>99334.871160430499</v>
      </c>
      <c r="O1269" s="517">
        <f t="shared" si="1023"/>
        <v>99184.193306703994</v>
      </c>
      <c r="P1269" s="511">
        <f t="shared" si="1009"/>
        <v>1.2238597264513373E-6</v>
      </c>
      <c r="Q1269" s="530">
        <v>77635</v>
      </c>
      <c r="R1269" s="480"/>
      <c r="U1269" s="513"/>
    </row>
    <row r="1270" spans="1:21" s="479" customFormat="1" x14ac:dyDescent="0.15">
      <c r="A1270" s="579"/>
      <c r="B1270" s="528" t="s">
        <v>236</v>
      </c>
      <c r="C1270" s="517">
        <f>ISR!C88</f>
        <v>4020148.71</v>
      </c>
      <c r="D1270" s="517">
        <f>ISR!D88</f>
        <v>347876.32000000012</v>
      </c>
      <c r="E1270" s="517">
        <f>ISR!E88</f>
        <v>321420.77</v>
      </c>
      <c r="F1270" s="517">
        <f>ISR!F88</f>
        <v>333996.04000000004</v>
      </c>
      <c r="G1270" s="517">
        <f>ISR!G88</f>
        <v>332339.8000000001</v>
      </c>
      <c r="H1270" s="517">
        <f>ISR!H88</f>
        <v>321003.62000000005</v>
      </c>
      <c r="I1270" s="517">
        <f>ISR!I88</f>
        <v>326619.18</v>
      </c>
      <c r="J1270" s="517">
        <f>ISR!J88</f>
        <v>340168.83000000007</v>
      </c>
      <c r="K1270" s="517">
        <f>ISR!K88</f>
        <v>330570.25999999989</v>
      </c>
      <c r="L1270" s="517">
        <f>ISR!L88</f>
        <v>329944.01999999979</v>
      </c>
      <c r="M1270" s="517">
        <f>ISR!M88</f>
        <v>338447.69999999995</v>
      </c>
      <c r="N1270" s="517">
        <f>ISR!N88</f>
        <v>359314.47000000003</v>
      </c>
      <c r="O1270" s="517">
        <f>ISR!O88</f>
        <v>338447.69999999995</v>
      </c>
      <c r="P1270" s="511">
        <f t="shared" si="1009"/>
        <v>-5.2386894822120667E-10</v>
      </c>
      <c r="Q1270" s="530">
        <v>0</v>
      </c>
      <c r="R1270" s="480"/>
      <c r="U1270" s="513"/>
    </row>
    <row r="1271" spans="1:21" s="479" customFormat="1" ht="18" x14ac:dyDescent="0.15">
      <c r="A1271" s="579"/>
      <c r="B1271" s="528" t="s">
        <v>298</v>
      </c>
      <c r="C1271" s="517">
        <f>FOFIR!I97</f>
        <v>2366905.1822330849</v>
      </c>
      <c r="D1271" s="517">
        <f t="shared" ref="D1271:O1271" si="1024">$C1271*D$23%</f>
        <v>323592.61499643477</v>
      </c>
      <c r="E1271" s="517">
        <f t="shared" si="1024"/>
        <v>82328.696129152493</v>
      </c>
      <c r="F1271" s="517">
        <f t="shared" si="1024"/>
        <v>82328.696129152493</v>
      </c>
      <c r="G1271" s="517">
        <f t="shared" si="1024"/>
        <v>464608.36373287265</v>
      </c>
      <c r="H1271" s="517">
        <f t="shared" si="1024"/>
        <v>82328.696129152493</v>
      </c>
      <c r="I1271" s="517">
        <f t="shared" si="1024"/>
        <v>82328.696129152493</v>
      </c>
      <c r="J1271" s="517">
        <f t="shared" si="1024"/>
        <v>577897.9413189597</v>
      </c>
      <c r="K1271" s="517">
        <f t="shared" si="1024"/>
        <v>82328.696129152493</v>
      </c>
      <c r="L1271" s="517">
        <f t="shared" si="1024"/>
        <v>82328.696129152493</v>
      </c>
      <c r="M1271" s="517">
        <f t="shared" si="1024"/>
        <v>342176.69316106552</v>
      </c>
      <c r="N1271" s="517">
        <f t="shared" si="1024"/>
        <v>82328.696129152493</v>
      </c>
      <c r="O1271" s="517">
        <f t="shared" si="1024"/>
        <v>82328.696129152493</v>
      </c>
      <c r="P1271" s="511">
        <f t="shared" si="1009"/>
        <v>-9.4677088782191277E-6</v>
      </c>
      <c r="Q1271" s="530">
        <v>91451</v>
      </c>
      <c r="R1271" s="480"/>
      <c r="U1271" s="513"/>
    </row>
    <row r="1272" spans="1:21" s="479" customFormat="1" ht="27" x14ac:dyDescent="0.15">
      <c r="A1272" s="579"/>
      <c r="B1272" s="528" t="s">
        <v>407</v>
      </c>
      <c r="C1272" s="517">
        <f>FCISAN!I97</f>
        <v>150254.09675011842</v>
      </c>
      <c r="D1272" s="517">
        <f t="shared" ref="D1272:O1272" si="1025">$C1272*D$24%</f>
        <v>12521.174729126453</v>
      </c>
      <c r="E1272" s="517">
        <f t="shared" si="1025"/>
        <v>12521.174729126453</v>
      </c>
      <c r="F1272" s="517">
        <f t="shared" si="1025"/>
        <v>12521.174729126453</v>
      </c>
      <c r="G1272" s="517">
        <f t="shared" si="1025"/>
        <v>12521.174729126453</v>
      </c>
      <c r="H1272" s="517">
        <f t="shared" si="1025"/>
        <v>12521.174729126453</v>
      </c>
      <c r="I1272" s="517">
        <f t="shared" si="1025"/>
        <v>12521.174729126453</v>
      </c>
      <c r="J1272" s="517">
        <f t="shared" si="1025"/>
        <v>12521.174729126453</v>
      </c>
      <c r="K1272" s="517">
        <f t="shared" si="1025"/>
        <v>12521.174729126453</v>
      </c>
      <c r="L1272" s="517">
        <f t="shared" si="1025"/>
        <v>12521.174729126453</v>
      </c>
      <c r="M1272" s="517">
        <f t="shared" si="1025"/>
        <v>12521.174729126453</v>
      </c>
      <c r="N1272" s="517">
        <f t="shared" si="1025"/>
        <v>12521.174729126453</v>
      </c>
      <c r="O1272" s="517">
        <f t="shared" si="1025"/>
        <v>12521.174729126453</v>
      </c>
      <c r="P1272" s="511">
        <f t="shared" si="1009"/>
        <v>6.0101228882558644E-7</v>
      </c>
      <c r="Q1272" s="530">
        <v>10877</v>
      </c>
      <c r="R1272" s="480"/>
      <c r="U1272" s="513"/>
    </row>
    <row r="1273" spans="1:21" s="479" customFormat="1" ht="27" x14ac:dyDescent="0.15">
      <c r="A1273" s="579"/>
      <c r="B1273" s="528" t="s">
        <v>242</v>
      </c>
      <c r="C1273" s="517">
        <f>ISAN!I97</f>
        <v>750536.83438199596</v>
      </c>
      <c r="D1273" s="517">
        <f t="shared" ref="D1273:O1273" si="1026">$C1273*D$25%</f>
        <v>72226.867152972918</v>
      </c>
      <c r="E1273" s="517">
        <f t="shared" si="1026"/>
        <v>80669.868291529056</v>
      </c>
      <c r="F1273" s="517">
        <f t="shared" si="1026"/>
        <v>62606.940323320021</v>
      </c>
      <c r="G1273" s="517">
        <f t="shared" si="1026"/>
        <v>58105.698571223649</v>
      </c>
      <c r="H1273" s="517">
        <f t="shared" si="1026"/>
        <v>62127.838209291134</v>
      </c>
      <c r="I1273" s="517">
        <f t="shared" si="1026"/>
        <v>53959.917884769355</v>
      </c>
      <c r="J1273" s="517">
        <f t="shared" si="1026"/>
        <v>58457.297690291991</v>
      </c>
      <c r="K1273" s="517">
        <f t="shared" si="1026"/>
        <v>60284.840086679542</v>
      </c>
      <c r="L1273" s="517">
        <f t="shared" si="1026"/>
        <v>59237.769798143301</v>
      </c>
      <c r="M1273" s="517">
        <f t="shared" si="1026"/>
        <v>60690.531866453988</v>
      </c>
      <c r="N1273" s="517">
        <f t="shared" si="1026"/>
        <v>58762.531218824101</v>
      </c>
      <c r="O1273" s="517">
        <f t="shared" si="1026"/>
        <v>63406.733279490458</v>
      </c>
      <c r="P1273" s="511">
        <f t="shared" si="1009"/>
        <v>9.0064422693103552E-6</v>
      </c>
      <c r="Q1273" s="530">
        <v>46730</v>
      </c>
      <c r="R1273" s="480"/>
      <c r="U1273" s="513"/>
    </row>
    <row r="1274" spans="1:21" s="479" customFormat="1" ht="18" x14ac:dyDescent="0.15">
      <c r="A1274" s="579"/>
      <c r="B1274" s="528" t="s">
        <v>403</v>
      </c>
      <c r="C1274" s="517">
        <f>LOT!I97</f>
        <v>36331.232806488042</v>
      </c>
      <c r="D1274" s="517">
        <f t="shared" ref="D1274:O1274" si="1027">$C1274*D$26%</f>
        <v>2747.0186432772421</v>
      </c>
      <c r="E1274" s="517">
        <f t="shared" si="1027"/>
        <v>2708.0814823877799</v>
      </c>
      <c r="F1274" s="517">
        <f t="shared" si="1027"/>
        <v>2661.7116875185425</v>
      </c>
      <c r="G1274" s="517">
        <f t="shared" si="1027"/>
        <v>2928.4772080197517</v>
      </c>
      <c r="H1274" s="517">
        <f t="shared" si="1027"/>
        <v>2396.0273951143749</v>
      </c>
      <c r="I1274" s="517">
        <f t="shared" si="1027"/>
        <v>3251.5313345487994</v>
      </c>
      <c r="J1274" s="517">
        <f t="shared" si="1027"/>
        <v>7462.2609166747443</v>
      </c>
      <c r="K1274" s="517">
        <f t="shared" si="1027"/>
        <v>2716.530600282179</v>
      </c>
      <c r="L1274" s="517">
        <f t="shared" si="1027"/>
        <v>3296.1724593151739</v>
      </c>
      <c r="M1274" s="517">
        <f t="shared" si="1027"/>
        <v>2040.7824531531019</v>
      </c>
      <c r="N1274" s="517">
        <f t="shared" si="1027"/>
        <v>2061.3193128801895</v>
      </c>
      <c r="O1274" s="517">
        <f t="shared" si="1027"/>
        <v>2061.3193128801895</v>
      </c>
      <c r="P1274" s="511">
        <f t="shared" si="1009"/>
        <v>4.3597538024187088E-7</v>
      </c>
      <c r="Q1274" s="530">
        <v>2282</v>
      </c>
      <c r="R1274" s="480"/>
      <c r="U1274" s="513"/>
    </row>
    <row r="1275" spans="1:21" s="479" customFormat="1" ht="45" x14ac:dyDescent="0.15">
      <c r="A1275" s="579"/>
      <c r="B1275" s="518" t="s">
        <v>301</v>
      </c>
      <c r="C1275" s="517">
        <f>'ENAJENAC DE INMUE'!I97</f>
        <v>142858.71987446246</v>
      </c>
      <c r="D1275" s="517">
        <f t="shared" ref="D1275:O1275" si="1028">$C1275*D$27%</f>
        <v>6169.4563399104027</v>
      </c>
      <c r="E1275" s="517">
        <f t="shared" si="1028"/>
        <v>6260.3262505947196</v>
      </c>
      <c r="F1275" s="517">
        <f t="shared" si="1028"/>
        <v>6175.9286802157076</v>
      </c>
      <c r="G1275" s="517">
        <f t="shared" si="1028"/>
        <v>6139.7518102878339</v>
      </c>
      <c r="H1275" s="517">
        <f t="shared" si="1028"/>
        <v>8517.0083049636523</v>
      </c>
      <c r="I1275" s="517">
        <f t="shared" si="1028"/>
        <v>6130.351706520094</v>
      </c>
      <c r="J1275" s="517">
        <f t="shared" si="1028"/>
        <v>7045.4844978132642</v>
      </c>
      <c r="K1275" s="517">
        <f t="shared" si="1028"/>
        <v>7038.2323168992989</v>
      </c>
      <c r="L1275" s="517">
        <f t="shared" si="1028"/>
        <v>7029.3162520462947</v>
      </c>
      <c r="M1275" s="517">
        <f t="shared" si="1028"/>
        <v>6138.7467571930529</v>
      </c>
      <c r="N1275" s="517">
        <f t="shared" si="1028"/>
        <v>25522.651492391051</v>
      </c>
      <c r="O1275" s="517">
        <f t="shared" si="1028"/>
        <v>50691.465465341375</v>
      </c>
      <c r="P1275" s="511">
        <f t="shared" si="1009"/>
        <v>2.8571957955136895E-7</v>
      </c>
      <c r="Q1275" s="530">
        <v>33307</v>
      </c>
      <c r="R1275" s="480"/>
      <c r="U1275" s="513"/>
    </row>
    <row r="1276" spans="1:21" s="479" customFormat="1" ht="27" x14ac:dyDescent="0.15">
      <c r="A1276" s="579"/>
      <c r="B1276" s="518" t="s">
        <v>248</v>
      </c>
      <c r="C1276" s="517">
        <f>'IMP BEBIDAS AL'!I97</f>
        <v>55836.737016625739</v>
      </c>
      <c r="D1276" s="517">
        <f t="shared" ref="D1276:O1276" si="1029">$C1276*D$28%</f>
        <v>12696.748876164007</v>
      </c>
      <c r="E1276" s="517">
        <f t="shared" si="1029"/>
        <v>4367.2205295048889</v>
      </c>
      <c r="F1276" s="517">
        <f t="shared" si="1029"/>
        <v>4693.2469442975835</v>
      </c>
      <c r="G1276" s="517">
        <f t="shared" si="1029"/>
        <v>4659.5556870458795</v>
      </c>
      <c r="H1276" s="517">
        <f t="shared" si="1029"/>
        <v>2967.2275152592451</v>
      </c>
      <c r="I1276" s="517">
        <f t="shared" si="1029"/>
        <v>4855.8726020248032</v>
      </c>
      <c r="J1276" s="517">
        <f t="shared" si="1029"/>
        <v>4828.5396134871671</v>
      </c>
      <c r="K1276" s="517">
        <f t="shared" si="1029"/>
        <v>4416.0517878148885</v>
      </c>
      <c r="L1276" s="517">
        <f t="shared" si="1029"/>
        <v>3202.6450219217504</v>
      </c>
      <c r="M1276" s="517">
        <f t="shared" si="1029"/>
        <v>2977.1422424145358</v>
      </c>
      <c r="N1276" s="517">
        <f t="shared" si="1029"/>
        <v>2998.1864962156787</v>
      </c>
      <c r="O1276" s="517">
        <f t="shared" si="1029"/>
        <v>3174.2997004753129</v>
      </c>
      <c r="P1276" s="511">
        <f t="shared" si="1009"/>
        <v>-4.0927261579781771E-12</v>
      </c>
      <c r="Q1276" s="530">
        <v>1426</v>
      </c>
      <c r="R1276" s="480"/>
      <c r="U1276" s="513"/>
    </row>
    <row r="1277" spans="1:21" s="479" customFormat="1" ht="18" x14ac:dyDescent="0.15">
      <c r="A1277" s="579"/>
      <c r="B1277" s="518" t="s">
        <v>253</v>
      </c>
      <c r="C1277" s="517">
        <f>'FOND GASO Y D'!Q98</f>
        <v>0</v>
      </c>
      <c r="D1277" s="517">
        <f t="shared" ref="D1277:O1277" si="1030">$C1277*D$29%</f>
        <v>0</v>
      </c>
      <c r="E1277" s="517">
        <f t="shared" si="1030"/>
        <v>0</v>
      </c>
      <c r="F1277" s="517">
        <f t="shared" si="1030"/>
        <v>0</v>
      </c>
      <c r="G1277" s="517">
        <f t="shared" si="1030"/>
        <v>0</v>
      </c>
      <c r="H1277" s="517">
        <f t="shared" si="1030"/>
        <v>0</v>
      </c>
      <c r="I1277" s="517">
        <f t="shared" si="1030"/>
        <v>0</v>
      </c>
      <c r="J1277" s="517">
        <f t="shared" si="1030"/>
        <v>0</v>
      </c>
      <c r="K1277" s="517">
        <f t="shared" si="1030"/>
        <v>0</v>
      </c>
      <c r="L1277" s="517">
        <f t="shared" si="1030"/>
        <v>0</v>
      </c>
      <c r="M1277" s="517">
        <f t="shared" si="1030"/>
        <v>0</v>
      </c>
      <c r="N1277" s="517">
        <f t="shared" si="1030"/>
        <v>0</v>
      </c>
      <c r="O1277" s="517">
        <f t="shared" si="1030"/>
        <v>0</v>
      </c>
      <c r="P1277" s="511">
        <f t="shared" si="1009"/>
        <v>0</v>
      </c>
      <c r="Q1277" s="530">
        <v>52361</v>
      </c>
      <c r="R1277" s="480"/>
      <c r="U1277" s="513"/>
    </row>
    <row r="1278" spans="1:21" s="479" customFormat="1" ht="18" x14ac:dyDescent="0.15">
      <c r="A1278" s="579"/>
      <c r="B1278" s="528" t="s">
        <v>408</v>
      </c>
      <c r="C1278" s="519">
        <f>'FOND GASO Y D'!H98</f>
        <v>1695855.724613653</v>
      </c>
      <c r="D1278" s="517">
        <f t="shared" ref="D1278:O1278" si="1031">$C1278*D$30%</f>
        <v>131921.97794541775</v>
      </c>
      <c r="E1278" s="517">
        <f t="shared" si="1031"/>
        <v>145045.21234409517</v>
      </c>
      <c r="F1278" s="517">
        <f t="shared" si="1031"/>
        <v>141216.47971238766</v>
      </c>
      <c r="G1278" s="517">
        <f t="shared" si="1031"/>
        <v>131584.33806663813</v>
      </c>
      <c r="H1278" s="517">
        <f t="shared" si="1031"/>
        <v>144987.1325568328</v>
      </c>
      <c r="I1278" s="517">
        <f t="shared" si="1031"/>
        <v>139929.81084604288</v>
      </c>
      <c r="J1278" s="517">
        <f t="shared" si="1031"/>
        <v>142847.15309562269</v>
      </c>
      <c r="K1278" s="517">
        <f t="shared" si="1031"/>
        <v>142762.26900112809</v>
      </c>
      <c r="L1278" s="517">
        <f t="shared" si="1031"/>
        <v>148561.21139065738</v>
      </c>
      <c r="M1278" s="517">
        <f t="shared" si="1031"/>
        <v>147256.67298728836</v>
      </c>
      <c r="N1278" s="517">
        <f t="shared" si="1031"/>
        <v>137624.53134153885</v>
      </c>
      <c r="O1278" s="517">
        <f t="shared" si="1031"/>
        <v>142118.93532769909</v>
      </c>
      <c r="P1278" s="511">
        <f t="shared" si="1009"/>
        <v>-1.6954727470874786E-6</v>
      </c>
      <c r="Q1278" s="530">
        <v>103641</v>
      </c>
      <c r="R1278" s="480"/>
      <c r="U1278" s="513"/>
    </row>
    <row r="1279" spans="1:21" s="479" customFormat="1" x14ac:dyDescent="0.15">
      <c r="A1279" s="579"/>
      <c r="B1279" s="534"/>
      <c r="C1279" s="521"/>
      <c r="D1279" s="522"/>
      <c r="E1279" s="522"/>
      <c r="F1279" s="522"/>
      <c r="G1279" s="522"/>
      <c r="H1279" s="522"/>
      <c r="I1279" s="522"/>
      <c r="J1279" s="522"/>
      <c r="K1279" s="522"/>
      <c r="L1279" s="522"/>
      <c r="M1279" s="522"/>
      <c r="N1279" s="522"/>
      <c r="O1279" s="522"/>
      <c r="P1279" s="511">
        <f t="shared" si="1009"/>
        <v>0</v>
      </c>
      <c r="Q1279" s="530">
        <v>0</v>
      </c>
      <c r="R1279" s="480"/>
      <c r="U1279" s="513"/>
    </row>
    <row r="1280" spans="1:21" s="479" customFormat="1" x14ac:dyDescent="0.15">
      <c r="A1280" s="591"/>
      <c r="B1280" s="532"/>
      <c r="C1280" s="521"/>
      <c r="D1280" s="521"/>
      <c r="E1280" s="521"/>
      <c r="F1280" s="521"/>
      <c r="G1280" s="521"/>
      <c r="H1280" s="521"/>
      <c r="I1280" s="521"/>
      <c r="J1280" s="521"/>
      <c r="K1280" s="521"/>
      <c r="L1280" s="521"/>
      <c r="M1280" s="521"/>
      <c r="N1280" s="521"/>
      <c r="O1280" s="521"/>
      <c r="P1280" s="511">
        <f t="shared" si="1009"/>
        <v>0</v>
      </c>
      <c r="Q1280" s="530">
        <v>0</v>
      </c>
      <c r="R1280" s="480"/>
      <c r="U1280" s="513"/>
    </row>
    <row r="1281" spans="1:21" s="479" customFormat="1" x14ac:dyDescent="0.15">
      <c r="A1281" s="584">
        <v>84</v>
      </c>
      <c r="B1281" s="533" t="s">
        <v>107</v>
      </c>
      <c r="C1281" s="524">
        <f t="shared" ref="C1281:O1281" si="1032">SUM(C1282:C1293)</f>
        <v>59208346.961568862</v>
      </c>
      <c r="D1281" s="524">
        <f t="shared" si="1032"/>
        <v>4606392.2105185445</v>
      </c>
      <c r="E1281" s="524">
        <f t="shared" si="1032"/>
        <v>6236311.3723958638</v>
      </c>
      <c r="F1281" s="524">
        <f t="shared" si="1032"/>
        <v>4123214.8467863924</v>
      </c>
      <c r="G1281" s="524">
        <f t="shared" si="1032"/>
        <v>5260241.6676291022</v>
      </c>
      <c r="H1281" s="524">
        <f t="shared" si="1032"/>
        <v>5968922.6094181361</v>
      </c>
      <c r="I1281" s="524">
        <f t="shared" si="1032"/>
        <v>5852126.018670965</v>
      </c>
      <c r="J1281" s="524">
        <f t="shared" si="1032"/>
        <v>5055694.9857970988</v>
      </c>
      <c r="K1281" s="524">
        <f t="shared" si="1032"/>
        <v>4915173.0845953608</v>
      </c>
      <c r="L1281" s="524">
        <f t="shared" si="1032"/>
        <v>4651893.3985907752</v>
      </c>
      <c r="M1281" s="524">
        <f t="shared" si="1032"/>
        <v>3453518.8718486703</v>
      </c>
      <c r="N1281" s="524">
        <f t="shared" si="1032"/>
        <v>4515514.7766455896</v>
      </c>
      <c r="O1281" s="524">
        <f t="shared" si="1032"/>
        <v>4569343.1184978578</v>
      </c>
      <c r="P1281" s="511">
        <f t="shared" si="1009"/>
        <v>1.7450191080570221E-4</v>
      </c>
      <c r="Q1281" s="530">
        <v>3579334</v>
      </c>
      <c r="R1281" s="480"/>
      <c r="T1281" s="512"/>
      <c r="U1281" s="513"/>
    </row>
    <row r="1282" spans="1:21" s="479" customFormat="1" x14ac:dyDescent="0.15">
      <c r="A1282" s="579"/>
      <c r="B1282" s="527" t="s">
        <v>294</v>
      </c>
      <c r="C1282" s="515">
        <f>'FG1'!I99</f>
        <v>41282590.946684144</v>
      </c>
      <c r="D1282" s="515">
        <f t="shared" ref="D1282:O1282" si="1033">$C1282*D$19%</f>
        <v>3122396.3231428703</v>
      </c>
      <c r="E1282" s="515">
        <f t="shared" si="1033"/>
        <v>4473612.4202765673</v>
      </c>
      <c r="F1282" s="515">
        <f t="shared" si="1033"/>
        <v>2891724.0887517263</v>
      </c>
      <c r="G1282" s="515">
        <f t="shared" si="1033"/>
        <v>3552190.0537389214</v>
      </c>
      <c r="H1282" s="515">
        <f t="shared" si="1033"/>
        <v>4338000.2191468626</v>
      </c>
      <c r="I1282" s="515">
        <f t="shared" si="1033"/>
        <v>4252771.2495463882</v>
      </c>
      <c r="J1282" s="515">
        <f t="shared" si="1033"/>
        <v>3296763.558204561</v>
      </c>
      <c r="K1282" s="515">
        <f t="shared" si="1033"/>
        <v>3500288.3635138166</v>
      </c>
      <c r="L1282" s="515">
        <f t="shared" si="1033"/>
        <v>3289402.87562394</v>
      </c>
      <c r="M1282" s="515">
        <f t="shared" si="1033"/>
        <v>2180621.3108242163</v>
      </c>
      <c r="N1282" s="515">
        <f t="shared" si="1033"/>
        <v>3182505.6555704339</v>
      </c>
      <c r="O1282" s="515">
        <f t="shared" si="1033"/>
        <v>3202314.8283025594</v>
      </c>
      <c r="P1282" s="511">
        <f t="shared" si="1009"/>
        <v>4.1282270103693008E-5</v>
      </c>
      <c r="Q1282" s="530">
        <v>2459733</v>
      </c>
      <c r="R1282" s="480"/>
      <c r="U1282" s="513"/>
    </row>
    <row r="1283" spans="1:21" s="479" customFormat="1" x14ac:dyDescent="0.15">
      <c r="A1283" s="579"/>
      <c r="B1283" s="528" t="s">
        <v>296</v>
      </c>
      <c r="C1283" s="517">
        <f>FFM!J99</f>
        <v>11096591.006322771</v>
      </c>
      <c r="D1283" s="517">
        <f t="shared" ref="D1283:O1283" si="1034">$C1283*D$20%</f>
        <v>839159.05452809238</v>
      </c>
      <c r="E1283" s="517">
        <f t="shared" si="1034"/>
        <v>1203070.8517422236</v>
      </c>
      <c r="F1283" s="517">
        <f t="shared" si="1034"/>
        <v>777034.02324888075</v>
      </c>
      <c r="G1283" s="517">
        <f t="shared" si="1034"/>
        <v>954911.82954114489</v>
      </c>
      <c r="H1283" s="517">
        <f t="shared" si="1034"/>
        <v>1166547.5481829734</v>
      </c>
      <c r="I1283" s="517">
        <f t="shared" si="1034"/>
        <v>1143593.5350326442</v>
      </c>
      <c r="J1283" s="517">
        <f t="shared" si="1034"/>
        <v>886042.24296571605</v>
      </c>
      <c r="K1283" s="517">
        <f t="shared" si="1034"/>
        <v>940855.88694827759</v>
      </c>
      <c r="L1283" s="517">
        <f t="shared" si="1034"/>
        <v>884059.84679182293</v>
      </c>
      <c r="M1283" s="517">
        <f t="shared" si="1034"/>
        <v>585440.92573703558</v>
      </c>
      <c r="N1283" s="517">
        <f t="shared" si="1034"/>
        <v>855270.10988822288</v>
      </c>
      <c r="O1283" s="517">
        <f t="shared" si="1034"/>
        <v>860605.1515825782</v>
      </c>
      <c r="P1283" s="511">
        <f t="shared" si="1009"/>
        <v>1.3315875548869371E-4</v>
      </c>
      <c r="Q1283" s="530">
        <v>753091</v>
      </c>
      <c r="R1283" s="480"/>
      <c r="U1283" s="513"/>
    </row>
    <row r="1284" spans="1:21" s="479" customFormat="1" ht="18" x14ac:dyDescent="0.15">
      <c r="A1284" s="579"/>
      <c r="B1284" s="528" t="s">
        <v>297</v>
      </c>
      <c r="C1284" s="517">
        <f>IEPS!I98</f>
        <v>998378.20474426076</v>
      </c>
      <c r="D1284" s="517">
        <f t="shared" ref="D1284:O1284" si="1035">$C1284*D$21%</f>
        <v>70125.906317658228</v>
      </c>
      <c r="E1284" s="517">
        <f t="shared" si="1035"/>
        <v>160287.25237198998</v>
      </c>
      <c r="F1284" s="517">
        <f t="shared" si="1035"/>
        <v>66576.883356133971</v>
      </c>
      <c r="G1284" s="517">
        <f t="shared" si="1035"/>
        <v>64703.407746646553</v>
      </c>
      <c r="H1284" s="517">
        <f t="shared" si="1035"/>
        <v>71436.121656884658</v>
      </c>
      <c r="I1284" s="517">
        <f t="shared" si="1035"/>
        <v>74080.681369416721</v>
      </c>
      <c r="J1284" s="517">
        <f t="shared" si="1035"/>
        <v>76289.407334253818</v>
      </c>
      <c r="K1284" s="517">
        <f t="shared" si="1035"/>
        <v>84506.328750666406</v>
      </c>
      <c r="L1284" s="517">
        <f t="shared" si="1035"/>
        <v>84683.407939963523</v>
      </c>
      <c r="M1284" s="517">
        <f t="shared" si="1035"/>
        <v>83742.215056681918</v>
      </c>
      <c r="N1284" s="517">
        <f t="shared" si="1035"/>
        <v>81034.755921842589</v>
      </c>
      <c r="O1284" s="517">
        <f t="shared" si="1035"/>
        <v>80911.836921123962</v>
      </c>
      <c r="P1284" s="511">
        <f t="shared" si="1009"/>
        <v>9.984069038182497E-7</v>
      </c>
      <c r="Q1284" s="530">
        <v>63525</v>
      </c>
      <c r="R1284" s="480"/>
      <c r="U1284" s="513"/>
    </row>
    <row r="1285" spans="1:21" s="479" customFormat="1" x14ac:dyDescent="0.15">
      <c r="A1285" s="579"/>
      <c r="B1285" s="528" t="s">
        <v>236</v>
      </c>
      <c r="C1285" s="517">
        <f>ISR!C89</f>
        <v>1334740.95</v>
      </c>
      <c r="D1285" s="517">
        <f>ISR!D89</f>
        <v>96496.580000000016</v>
      </c>
      <c r="E1285" s="517">
        <f>ISR!E89</f>
        <v>105127.98000000005</v>
      </c>
      <c r="F1285" s="517">
        <f>ISR!F89</f>
        <v>111942.46</v>
      </c>
      <c r="G1285" s="517">
        <f>ISR!G89</f>
        <v>113463.76999999997</v>
      </c>
      <c r="H1285" s="517">
        <f>ISR!H89</f>
        <v>113463.76999999997</v>
      </c>
      <c r="I1285" s="517">
        <f>ISR!I89</f>
        <v>113463.76999999997</v>
      </c>
      <c r="J1285" s="517">
        <f>ISR!J89</f>
        <v>113463.76999999997</v>
      </c>
      <c r="K1285" s="517">
        <f>ISR!K89</f>
        <v>113463.76999999997</v>
      </c>
      <c r="L1285" s="517">
        <f>ISR!L89</f>
        <v>113463.76999999997</v>
      </c>
      <c r="M1285" s="517">
        <f>ISR!M89</f>
        <v>113463.76999999997</v>
      </c>
      <c r="N1285" s="517">
        <f>ISR!N89</f>
        <v>113463.76999999997</v>
      </c>
      <c r="O1285" s="517">
        <f>ISR!O89</f>
        <v>113463.76999999997</v>
      </c>
      <c r="P1285" s="511">
        <f t="shared" si="1009"/>
        <v>0</v>
      </c>
      <c r="Q1285" s="530">
        <v>0</v>
      </c>
      <c r="R1285" s="480"/>
      <c r="U1285" s="513"/>
    </row>
    <row r="1286" spans="1:21" s="479" customFormat="1" ht="18" x14ac:dyDescent="0.15">
      <c r="A1286" s="579"/>
      <c r="B1286" s="528" t="s">
        <v>298</v>
      </c>
      <c r="C1286" s="517">
        <f>FOFIR!I98</f>
        <v>1930858.5342868548</v>
      </c>
      <c r="D1286" s="517">
        <f t="shared" ref="D1286:O1286" si="1036">$C1286*D$23%</f>
        <v>263978.28142341576</v>
      </c>
      <c r="E1286" s="517">
        <f t="shared" si="1036"/>
        <v>67161.568925927888</v>
      </c>
      <c r="F1286" s="517">
        <f t="shared" si="1036"/>
        <v>67161.568925927888</v>
      </c>
      <c r="G1286" s="517">
        <f t="shared" si="1036"/>
        <v>379015.19289771264</v>
      </c>
      <c r="H1286" s="517">
        <f t="shared" si="1036"/>
        <v>67161.568925927888</v>
      </c>
      <c r="I1286" s="517">
        <f t="shared" si="1036"/>
        <v>67161.568925927888</v>
      </c>
      <c r="J1286" s="517">
        <f t="shared" si="1036"/>
        <v>471433.82857853454</v>
      </c>
      <c r="K1286" s="517">
        <f t="shared" si="1036"/>
        <v>67161.568925927888</v>
      </c>
      <c r="L1286" s="517">
        <f t="shared" si="1036"/>
        <v>67161.568925927888</v>
      </c>
      <c r="M1286" s="517">
        <f t="shared" si="1036"/>
        <v>279138.6799874921</v>
      </c>
      <c r="N1286" s="517">
        <f t="shared" si="1036"/>
        <v>67161.568925927888</v>
      </c>
      <c r="O1286" s="517">
        <f t="shared" si="1036"/>
        <v>67161.568925927888</v>
      </c>
      <c r="P1286" s="511">
        <f t="shared" si="1009"/>
        <v>-7.7231088653206825E-6</v>
      </c>
      <c r="Q1286" s="530">
        <v>74825</v>
      </c>
      <c r="R1286" s="480"/>
      <c r="U1286" s="513"/>
    </row>
    <row r="1287" spans="1:21" s="479" customFormat="1" ht="27" x14ac:dyDescent="0.15">
      <c r="A1287" s="579"/>
      <c r="B1287" s="528" t="s">
        <v>407</v>
      </c>
      <c r="C1287" s="517">
        <f>FCISAN!I98</f>
        <v>122573.31100513809</v>
      </c>
      <c r="D1287" s="517">
        <f t="shared" ref="D1287:O1287" si="1037">$C1287*D$24%</f>
        <v>10214.442583720651</v>
      </c>
      <c r="E1287" s="517">
        <f t="shared" si="1037"/>
        <v>10214.442583720651</v>
      </c>
      <c r="F1287" s="517">
        <f t="shared" si="1037"/>
        <v>10214.442583720651</v>
      </c>
      <c r="G1287" s="517">
        <f t="shared" si="1037"/>
        <v>10214.442583720651</v>
      </c>
      <c r="H1287" s="517">
        <f t="shared" si="1037"/>
        <v>10214.442583720651</v>
      </c>
      <c r="I1287" s="517">
        <f t="shared" si="1037"/>
        <v>10214.442583720651</v>
      </c>
      <c r="J1287" s="517">
        <f t="shared" si="1037"/>
        <v>10214.442583720651</v>
      </c>
      <c r="K1287" s="517">
        <f t="shared" si="1037"/>
        <v>10214.442583720651</v>
      </c>
      <c r="L1287" s="517">
        <f t="shared" si="1037"/>
        <v>10214.442583720651</v>
      </c>
      <c r="M1287" s="517">
        <f t="shared" si="1037"/>
        <v>10214.442583720651</v>
      </c>
      <c r="N1287" s="517">
        <f t="shared" si="1037"/>
        <v>10214.442583720651</v>
      </c>
      <c r="O1287" s="517">
        <f t="shared" si="1037"/>
        <v>10214.442583720651</v>
      </c>
      <c r="P1287" s="511">
        <f t="shared" si="1009"/>
        <v>4.9028312787413597E-7</v>
      </c>
      <c r="Q1287" s="530">
        <v>8900</v>
      </c>
      <c r="R1287" s="480"/>
      <c r="U1287" s="513"/>
    </row>
    <row r="1288" spans="1:21" s="479" customFormat="1" ht="27" x14ac:dyDescent="0.15">
      <c r="A1288" s="579"/>
      <c r="B1288" s="528" t="s">
        <v>242</v>
      </c>
      <c r="C1288" s="517">
        <f>ISAN!I98</f>
        <v>612268.06330951967</v>
      </c>
      <c r="D1288" s="517">
        <f t="shared" ref="D1288:O1288" si="1038">$C1288*D$25%</f>
        <v>58920.764504620165</v>
      </c>
      <c r="E1288" s="517">
        <f t="shared" si="1038"/>
        <v>65808.341128198386</v>
      </c>
      <c r="F1288" s="517">
        <f t="shared" si="1038"/>
        <v>51073.083085998296</v>
      </c>
      <c r="G1288" s="517">
        <f t="shared" si="1038"/>
        <v>47401.089329271752</v>
      </c>
      <c r="H1288" s="517">
        <f t="shared" si="1038"/>
        <v>50682.244275634643</v>
      </c>
      <c r="I1288" s="517">
        <f t="shared" si="1038"/>
        <v>44019.071291620763</v>
      </c>
      <c r="J1288" s="517">
        <f t="shared" si="1038"/>
        <v>47687.91457465836</v>
      </c>
      <c r="K1288" s="517">
        <f t="shared" si="1038"/>
        <v>49178.775239176714</v>
      </c>
      <c r="L1288" s="517">
        <f t="shared" si="1038"/>
        <v>48324.603040900918</v>
      </c>
      <c r="M1288" s="517">
        <f t="shared" si="1038"/>
        <v>49509.727843931447</v>
      </c>
      <c r="N1288" s="517">
        <f t="shared" si="1038"/>
        <v>47936.915999785444</v>
      </c>
      <c r="O1288" s="517">
        <f t="shared" si="1038"/>
        <v>51725.532988375555</v>
      </c>
      <c r="P1288" s="511">
        <f t="shared" si="1009"/>
        <v>7.3471383075229824E-6</v>
      </c>
      <c r="Q1288" s="530">
        <v>38237</v>
      </c>
      <c r="R1288" s="480"/>
      <c r="U1288" s="513"/>
    </row>
    <row r="1289" spans="1:21" s="479" customFormat="1" ht="18" x14ac:dyDescent="0.15">
      <c r="A1289" s="579"/>
      <c r="B1289" s="528" t="s">
        <v>403</v>
      </c>
      <c r="C1289" s="517">
        <f>LOT!I98</f>
        <v>29638.057093349929</v>
      </c>
      <c r="D1289" s="517">
        <f t="shared" ref="D1289:O1289" si="1039">$C1289*D$26%</f>
        <v>2240.9450243430283</v>
      </c>
      <c r="E1289" s="517">
        <f t="shared" si="1039"/>
        <v>2209.1811201661035</v>
      </c>
      <c r="F1289" s="517">
        <f t="shared" si="1039"/>
        <v>2171.3538701231055</v>
      </c>
      <c r="G1289" s="517">
        <f t="shared" si="1039"/>
        <v>2388.9741135446311</v>
      </c>
      <c r="H1289" s="517">
        <f t="shared" si="1039"/>
        <v>1954.6156639349908</v>
      </c>
      <c r="I1289" s="517">
        <f t="shared" si="1039"/>
        <v>2652.5131103441108</v>
      </c>
      <c r="J1289" s="517">
        <f t="shared" si="1039"/>
        <v>6087.5147362019543</v>
      </c>
      <c r="K1289" s="517">
        <f t="shared" si="1039"/>
        <v>2216.0736866770289</v>
      </c>
      <c r="L1289" s="517">
        <f t="shared" si="1039"/>
        <v>2688.9301571199335</v>
      </c>
      <c r="M1289" s="517">
        <f t="shared" si="1039"/>
        <v>1664.8162528318323</v>
      </c>
      <c r="N1289" s="517">
        <f t="shared" si="1039"/>
        <v>1681.5696788537771</v>
      </c>
      <c r="O1289" s="517">
        <f t="shared" si="1039"/>
        <v>1681.5696788537771</v>
      </c>
      <c r="P1289" s="511">
        <f t="shared" si="1009"/>
        <v>3.5565517464419827E-7</v>
      </c>
      <c r="Q1289" s="530">
        <v>1866</v>
      </c>
      <c r="R1289" s="480"/>
      <c r="U1289" s="513"/>
    </row>
    <row r="1290" spans="1:21" s="479" customFormat="1" ht="45" x14ac:dyDescent="0.15">
      <c r="A1290" s="579"/>
      <c r="B1290" s="518" t="s">
        <v>301</v>
      </c>
      <c r="C1290" s="517">
        <f>'ENAJENAC DE INMUE'!I98</f>
        <v>116540.35849744367</v>
      </c>
      <c r="D1290" s="517">
        <f t="shared" ref="D1290:O1290" si="1040">$C1290*D$27%</f>
        <v>5032.8790165507589</v>
      </c>
      <c r="E1290" s="517">
        <f t="shared" si="1040"/>
        <v>5107.0082820032767</v>
      </c>
      <c r="F1290" s="517">
        <f t="shared" si="1040"/>
        <v>5038.1589802810831</v>
      </c>
      <c r="G1290" s="517">
        <f t="shared" si="1040"/>
        <v>5008.6468483341168</v>
      </c>
      <c r="H1290" s="517">
        <f t="shared" si="1040"/>
        <v>6947.9497090439945</v>
      </c>
      <c r="I1290" s="517">
        <f t="shared" si="1040"/>
        <v>5000.9784927449855</v>
      </c>
      <c r="J1290" s="517">
        <f t="shared" si="1040"/>
        <v>5747.5195765779581</v>
      </c>
      <c r="K1290" s="517">
        <f t="shared" si="1040"/>
        <v>5741.6034395417</v>
      </c>
      <c r="L1290" s="517">
        <f t="shared" si="1040"/>
        <v>5734.3299500741423</v>
      </c>
      <c r="M1290" s="517">
        <f t="shared" si="1040"/>
        <v>5007.8269526492222</v>
      </c>
      <c r="N1290" s="517">
        <f t="shared" si="1040"/>
        <v>20820.702840837075</v>
      </c>
      <c r="O1290" s="517">
        <f t="shared" si="1040"/>
        <v>41352.754408572269</v>
      </c>
      <c r="P1290" s="511">
        <f t="shared" si="1009"/>
        <v>2.3309257812798023E-7</v>
      </c>
      <c r="Q1290" s="530">
        <v>27252</v>
      </c>
      <c r="R1290" s="480"/>
      <c r="U1290" s="513"/>
    </row>
    <row r="1291" spans="1:21" s="479" customFormat="1" ht="27" x14ac:dyDescent="0.15">
      <c r="A1291" s="579"/>
      <c r="B1291" s="518" t="s">
        <v>248</v>
      </c>
      <c r="C1291" s="517">
        <f>'IMP BEBIDAS AL'!I98</f>
        <v>45550.130611301145</v>
      </c>
      <c r="D1291" s="517">
        <f t="shared" ref="D1291:O1291" si="1041">$C1291*D$28%</f>
        <v>10357.671320871734</v>
      </c>
      <c r="E1291" s="517">
        <f t="shared" si="1041"/>
        <v>3562.6627943547551</v>
      </c>
      <c r="F1291" s="517">
        <f t="shared" si="1041"/>
        <v>3828.6265051661449</v>
      </c>
      <c r="G1291" s="517">
        <f t="shared" si="1041"/>
        <v>3801.1420701817524</v>
      </c>
      <c r="H1291" s="517">
        <f t="shared" si="1041"/>
        <v>2420.5855874647755</v>
      </c>
      <c r="I1291" s="517">
        <f t="shared" si="1041"/>
        <v>3961.2922078202587</v>
      </c>
      <c r="J1291" s="517">
        <f t="shared" si="1041"/>
        <v>3938.9946799844934</v>
      </c>
      <c r="K1291" s="517">
        <f t="shared" si="1041"/>
        <v>3602.4980410539379</v>
      </c>
      <c r="L1291" s="517">
        <f t="shared" si="1041"/>
        <v>2612.6329517917961</v>
      </c>
      <c r="M1291" s="517">
        <f t="shared" si="1041"/>
        <v>2428.6737591780407</v>
      </c>
      <c r="N1291" s="517">
        <f t="shared" si="1041"/>
        <v>2445.8411038417162</v>
      </c>
      <c r="O1291" s="517">
        <f t="shared" si="1041"/>
        <v>2589.509589591743</v>
      </c>
      <c r="P1291" s="511">
        <f t="shared" si="1009"/>
        <v>4.5474735088646412E-12</v>
      </c>
      <c r="Q1291" s="530">
        <v>1167</v>
      </c>
      <c r="R1291" s="480"/>
      <c r="U1291" s="513"/>
    </row>
    <row r="1292" spans="1:21" s="479" customFormat="1" ht="18" x14ac:dyDescent="0.15">
      <c r="A1292" s="579"/>
      <c r="B1292" s="518" t="s">
        <v>253</v>
      </c>
      <c r="C1292" s="517">
        <f>'FOND GASO Y D'!Q99</f>
        <v>0</v>
      </c>
      <c r="D1292" s="517">
        <f t="shared" ref="D1292:O1292" si="1042">$C1292*D$29%</f>
        <v>0</v>
      </c>
      <c r="E1292" s="517">
        <f t="shared" si="1042"/>
        <v>0</v>
      </c>
      <c r="F1292" s="517">
        <f t="shared" si="1042"/>
        <v>0</v>
      </c>
      <c r="G1292" s="517">
        <f t="shared" si="1042"/>
        <v>0</v>
      </c>
      <c r="H1292" s="517">
        <f t="shared" si="1042"/>
        <v>0</v>
      </c>
      <c r="I1292" s="517">
        <f t="shared" si="1042"/>
        <v>0</v>
      </c>
      <c r="J1292" s="517">
        <f t="shared" si="1042"/>
        <v>0</v>
      </c>
      <c r="K1292" s="517">
        <f t="shared" si="1042"/>
        <v>0</v>
      </c>
      <c r="L1292" s="517">
        <f t="shared" si="1042"/>
        <v>0</v>
      </c>
      <c r="M1292" s="517">
        <f t="shared" si="1042"/>
        <v>0</v>
      </c>
      <c r="N1292" s="517">
        <f t="shared" si="1042"/>
        <v>0</v>
      </c>
      <c r="O1292" s="517">
        <f t="shared" si="1042"/>
        <v>0</v>
      </c>
      <c r="P1292" s="511">
        <f t="shared" si="1009"/>
        <v>0</v>
      </c>
      <c r="Q1292" s="530">
        <v>50594</v>
      </c>
      <c r="R1292" s="480"/>
      <c r="U1292" s="513"/>
    </row>
    <row r="1293" spans="1:21" s="479" customFormat="1" ht="18" x14ac:dyDescent="0.15">
      <c r="A1293" s="579"/>
      <c r="B1293" s="528" t="s">
        <v>408</v>
      </c>
      <c r="C1293" s="519">
        <f>'FOND GASO Y D'!H99</f>
        <v>1638617.3990140776</v>
      </c>
      <c r="D1293" s="517">
        <f t="shared" ref="D1293:O1293" si="1043">$C1293*D$30%</f>
        <v>127469.36265640189</v>
      </c>
      <c r="E1293" s="517">
        <f t="shared" si="1043"/>
        <v>140149.66317071117</v>
      </c>
      <c r="F1293" s="517">
        <f t="shared" si="1043"/>
        <v>136450.15747843409</v>
      </c>
      <c r="G1293" s="517">
        <f t="shared" si="1043"/>
        <v>127143.11875962504</v>
      </c>
      <c r="H1293" s="517">
        <f t="shared" si="1043"/>
        <v>140093.54368568788</v>
      </c>
      <c r="I1293" s="517">
        <f t="shared" si="1043"/>
        <v>135206.916110338</v>
      </c>
      <c r="J1293" s="517">
        <f t="shared" si="1043"/>
        <v>138025.79256289086</v>
      </c>
      <c r="K1293" s="517">
        <f t="shared" si="1043"/>
        <v>137943.77346650214</v>
      </c>
      <c r="L1293" s="517">
        <f t="shared" si="1043"/>
        <v>143546.99062551354</v>
      </c>
      <c r="M1293" s="517">
        <f t="shared" si="1043"/>
        <v>142286.48285093295</v>
      </c>
      <c r="N1293" s="517">
        <f t="shared" si="1043"/>
        <v>132979.44413212393</v>
      </c>
      <c r="O1293" s="517">
        <f t="shared" si="1043"/>
        <v>137322.15351655471</v>
      </c>
      <c r="P1293" s="511">
        <f t="shared" si="1009"/>
        <v>-1.638487447053194E-6</v>
      </c>
      <c r="Q1293" s="530">
        <v>100144</v>
      </c>
      <c r="R1293" s="480"/>
      <c r="U1293" s="513"/>
    </row>
    <row r="1294" spans="1:21" s="479" customFormat="1" x14ac:dyDescent="0.15">
      <c r="A1294" s="579"/>
      <c r="B1294" s="534"/>
      <c r="C1294" s="521"/>
      <c r="D1294" s="522"/>
      <c r="E1294" s="522"/>
      <c r="F1294" s="522"/>
      <c r="G1294" s="522"/>
      <c r="H1294" s="522"/>
      <c r="I1294" s="522"/>
      <c r="J1294" s="522"/>
      <c r="K1294" s="522"/>
      <c r="L1294" s="522"/>
      <c r="M1294" s="522"/>
      <c r="N1294" s="522"/>
      <c r="O1294" s="522"/>
      <c r="P1294" s="511">
        <f t="shared" si="1009"/>
        <v>0</v>
      </c>
      <c r="Q1294" s="530">
        <v>0</v>
      </c>
      <c r="R1294" s="480"/>
      <c r="U1294" s="513"/>
    </row>
    <row r="1295" spans="1:21" s="479" customFormat="1" x14ac:dyDescent="0.15">
      <c r="A1295" s="591"/>
      <c r="B1295" s="532"/>
      <c r="C1295" s="521"/>
      <c r="D1295" s="521"/>
      <c r="E1295" s="521"/>
      <c r="F1295" s="521"/>
      <c r="G1295" s="521"/>
      <c r="H1295" s="521"/>
      <c r="I1295" s="521"/>
      <c r="J1295" s="521"/>
      <c r="K1295" s="521"/>
      <c r="L1295" s="521"/>
      <c r="M1295" s="521"/>
      <c r="N1295" s="521"/>
      <c r="O1295" s="521"/>
      <c r="P1295" s="511">
        <f t="shared" si="1009"/>
        <v>0</v>
      </c>
      <c r="Q1295" s="530">
        <v>0</v>
      </c>
      <c r="R1295" s="480"/>
      <c r="U1295" s="513"/>
    </row>
    <row r="1296" spans="1:21" s="479" customFormat="1" x14ac:dyDescent="0.15">
      <c r="A1296" s="584">
        <v>85</v>
      </c>
      <c r="B1296" s="533" t="s">
        <v>124</v>
      </c>
      <c r="C1296" s="524">
        <f t="shared" ref="C1296:O1296" si="1044">SUM(C1297:C1308)</f>
        <v>68227799.534283444</v>
      </c>
      <c r="D1296" s="524">
        <f t="shared" si="1044"/>
        <v>5326028.270128632</v>
      </c>
      <c r="E1296" s="524">
        <f t="shared" si="1044"/>
        <v>7186744.3611216852</v>
      </c>
      <c r="F1296" s="524">
        <f t="shared" si="1044"/>
        <v>4748644.0576381376</v>
      </c>
      <c r="G1296" s="524">
        <f t="shared" si="1044"/>
        <v>6073735.6919824304</v>
      </c>
      <c r="H1296" s="524">
        <f t="shared" si="1044"/>
        <v>6870139.4720378863</v>
      </c>
      <c r="I1296" s="524">
        <f t="shared" si="1044"/>
        <v>6736400.9062689161</v>
      </c>
      <c r="J1296" s="524">
        <f t="shared" si="1044"/>
        <v>5821657.11542283</v>
      </c>
      <c r="K1296" s="524">
        <f t="shared" si="1044"/>
        <v>5660304.8346636333</v>
      </c>
      <c r="L1296" s="524">
        <f t="shared" si="1044"/>
        <v>5357553.8589786161</v>
      </c>
      <c r="M1296" s="524">
        <f t="shared" si="1044"/>
        <v>3981580.5511190128</v>
      </c>
      <c r="N1296" s="524">
        <f t="shared" si="1044"/>
        <v>5201767.5748483744</v>
      </c>
      <c r="O1296" s="524">
        <f t="shared" si="1044"/>
        <v>5263242.8398727821</v>
      </c>
      <c r="P1296" s="511">
        <f t="shared" si="1009"/>
        <v>2.0050350576639175E-4</v>
      </c>
      <c r="Q1296" s="530">
        <v>4112065</v>
      </c>
      <c r="R1296" s="480"/>
      <c r="T1296" s="512"/>
      <c r="U1296" s="513"/>
    </row>
    <row r="1297" spans="1:21" s="479" customFormat="1" x14ac:dyDescent="0.15">
      <c r="A1297" s="579"/>
      <c r="B1297" s="527" t="s">
        <v>294</v>
      </c>
      <c r="C1297" s="515">
        <f>'FG1'!I100</f>
        <v>47404007.331638739</v>
      </c>
      <c r="D1297" s="515">
        <f t="shared" ref="D1297:O1297" si="1045">$C1297*D$19%</f>
        <v>3585387.8063444342</v>
      </c>
      <c r="E1297" s="515">
        <f t="shared" si="1045"/>
        <v>5136963.3326450391</v>
      </c>
      <c r="F1297" s="515">
        <f t="shared" si="1045"/>
        <v>3320511.3041790202</v>
      </c>
      <c r="G1297" s="515">
        <f t="shared" si="1045"/>
        <v>4078911.7031991696</v>
      </c>
      <c r="H1297" s="515">
        <f t="shared" si="1045"/>
        <v>4981242.4433017662</v>
      </c>
      <c r="I1297" s="515">
        <f t="shared" si="1045"/>
        <v>4883375.6523092454</v>
      </c>
      <c r="J1297" s="515">
        <f t="shared" si="1045"/>
        <v>3785610.3577811159</v>
      </c>
      <c r="K1297" s="515">
        <f t="shared" si="1045"/>
        <v>4019313.9878539089</v>
      </c>
      <c r="L1297" s="515">
        <f t="shared" si="1045"/>
        <v>3777158.227161014</v>
      </c>
      <c r="M1297" s="515">
        <f t="shared" si="1045"/>
        <v>2503965.6241377844</v>
      </c>
      <c r="N1297" s="515">
        <f t="shared" si="1045"/>
        <v>3654410.1997977938</v>
      </c>
      <c r="O1297" s="515">
        <f t="shared" si="1045"/>
        <v>3677156.6928810435</v>
      </c>
      <c r="P1297" s="511">
        <f t="shared" si="1009"/>
        <v>4.7402456402778625E-5</v>
      </c>
      <c r="Q1297" s="530">
        <v>2834225</v>
      </c>
      <c r="R1297" s="480"/>
      <c r="U1297" s="513"/>
    </row>
    <row r="1298" spans="1:21" s="479" customFormat="1" x14ac:dyDescent="0.15">
      <c r="A1298" s="579"/>
      <c r="B1298" s="528" t="s">
        <v>296</v>
      </c>
      <c r="C1298" s="517">
        <f>FFM!J100</f>
        <v>12742002.605875004</v>
      </c>
      <c r="D1298" s="517">
        <f t="shared" ref="D1298:O1298" si="1046">$C1298*D$20%</f>
        <v>963590.24617993005</v>
      </c>
      <c r="E1298" s="517">
        <f t="shared" si="1046"/>
        <v>1381463.1826312242</v>
      </c>
      <c r="F1298" s="517">
        <f t="shared" si="1046"/>
        <v>892253.26439888275</v>
      </c>
      <c r="G1298" s="517">
        <f t="shared" si="1046"/>
        <v>1096506.9374424247</v>
      </c>
      <c r="H1298" s="517">
        <f t="shared" si="1046"/>
        <v>1339524.1737174091</v>
      </c>
      <c r="I1298" s="517">
        <f t="shared" si="1046"/>
        <v>1313166.520703963</v>
      </c>
      <c r="J1298" s="517">
        <f t="shared" si="1046"/>
        <v>1017425.3121838536</v>
      </c>
      <c r="K1298" s="517">
        <f t="shared" si="1046"/>
        <v>1080366.7681738364</v>
      </c>
      <c r="L1298" s="517">
        <f t="shared" si="1046"/>
        <v>1015148.9646822442</v>
      </c>
      <c r="M1298" s="517">
        <f t="shared" si="1046"/>
        <v>672250.58552457194</v>
      </c>
      <c r="N1298" s="517">
        <f t="shared" si="1046"/>
        <v>982090.26201949804</v>
      </c>
      <c r="O1298" s="517">
        <f t="shared" si="1046"/>
        <v>988216.38806426211</v>
      </c>
      <c r="P1298" s="511">
        <f t="shared" si="1009"/>
        <v>1.5290465671569109E-4</v>
      </c>
      <c r="Q1298" s="530">
        <v>867746</v>
      </c>
      <c r="R1298" s="480"/>
      <c r="U1298" s="513"/>
    </row>
    <row r="1299" spans="1:21" s="479" customFormat="1" ht="18" x14ac:dyDescent="0.15">
      <c r="A1299" s="579"/>
      <c r="B1299" s="528" t="s">
        <v>297</v>
      </c>
      <c r="C1299" s="517">
        <f>IEPS!I99</f>
        <v>1146418.542347973</v>
      </c>
      <c r="D1299" s="517">
        <f t="shared" ref="D1299:O1299" si="1047">$C1299*D$21%</f>
        <v>80524.23312076756</v>
      </c>
      <c r="E1299" s="517">
        <f t="shared" si="1047"/>
        <v>184054.77738601924</v>
      </c>
      <c r="F1299" s="517">
        <f t="shared" si="1047"/>
        <v>76448.958128809638</v>
      </c>
      <c r="G1299" s="517">
        <f t="shared" si="1047"/>
        <v>74297.682022072899</v>
      </c>
      <c r="H1299" s="517">
        <f t="shared" si="1047"/>
        <v>82028.728263209763</v>
      </c>
      <c r="I1299" s="517">
        <f t="shared" si="1047"/>
        <v>85065.425455101882</v>
      </c>
      <c r="J1299" s="517">
        <f t="shared" si="1047"/>
        <v>87601.663114359762</v>
      </c>
      <c r="K1299" s="517">
        <f t="shared" si="1047"/>
        <v>97036.99636585491</v>
      </c>
      <c r="L1299" s="517">
        <f t="shared" si="1047"/>
        <v>97240.333002321408</v>
      </c>
      <c r="M1299" s="517">
        <f t="shared" si="1047"/>
        <v>96159.579267722045</v>
      </c>
      <c r="N1299" s="517">
        <f t="shared" si="1047"/>
        <v>93050.655875685159</v>
      </c>
      <c r="O1299" s="517">
        <f t="shared" si="1047"/>
        <v>92909.510344902257</v>
      </c>
      <c r="P1299" s="511">
        <f t="shared" si="1009"/>
        <v>1.1463125701993704E-6</v>
      </c>
      <c r="Q1299" s="530">
        <v>73196</v>
      </c>
      <c r="R1299" s="480"/>
      <c r="U1299" s="513"/>
    </row>
    <row r="1300" spans="1:21" s="479" customFormat="1" x14ac:dyDescent="0.15">
      <c r="A1300" s="579"/>
      <c r="B1300" s="528" t="s">
        <v>236</v>
      </c>
      <c r="C1300" s="517">
        <f>ISR!C90</f>
        <v>1898971.86</v>
      </c>
      <c r="D1300" s="517">
        <f>ISR!D90</f>
        <v>157228.46999999997</v>
      </c>
      <c r="E1300" s="517">
        <f>ISR!E90</f>
        <v>157228.46999999997</v>
      </c>
      <c r="F1300" s="517">
        <f>ISR!F90</f>
        <v>153096.11000000007</v>
      </c>
      <c r="G1300" s="517">
        <f>ISR!G90</f>
        <v>173591.04999999996</v>
      </c>
      <c r="H1300" s="517">
        <f>ISR!H90</f>
        <v>157228.46999999997</v>
      </c>
      <c r="I1300" s="517">
        <f>ISR!I90</f>
        <v>157228.46999999997</v>
      </c>
      <c r="J1300" s="517">
        <f>ISR!J90</f>
        <v>157228.46999999997</v>
      </c>
      <c r="K1300" s="517">
        <f>ISR!K90</f>
        <v>157228.46999999997</v>
      </c>
      <c r="L1300" s="517">
        <f>ISR!L90</f>
        <v>157228.46999999997</v>
      </c>
      <c r="M1300" s="517">
        <f>ISR!M90</f>
        <v>157228.46999999997</v>
      </c>
      <c r="N1300" s="517">
        <f>ISR!N90</f>
        <v>157228.46999999997</v>
      </c>
      <c r="O1300" s="517">
        <f>ISR!O90</f>
        <v>157228.46999999997</v>
      </c>
      <c r="P1300" s="511">
        <f t="shared" si="1009"/>
        <v>2.3283064365386963E-10</v>
      </c>
      <c r="Q1300" s="530">
        <v>0</v>
      </c>
      <c r="R1300" s="480"/>
      <c r="U1300" s="513"/>
    </row>
    <row r="1301" spans="1:21" s="479" customFormat="1" ht="18" x14ac:dyDescent="0.15">
      <c r="A1301" s="579"/>
      <c r="B1301" s="528" t="s">
        <v>298</v>
      </c>
      <c r="C1301" s="517">
        <f>FOFIR!I99</f>
        <v>2217167.8186066737</v>
      </c>
      <c r="D1301" s="517">
        <f t="shared" ref="D1301:O1301" si="1048">$C1301*D$23%</f>
        <v>303121.19712035911</v>
      </c>
      <c r="E1301" s="517">
        <f t="shared" si="1048"/>
        <v>77120.341353593423</v>
      </c>
      <c r="F1301" s="517">
        <f t="shared" si="1048"/>
        <v>77120.341353593423</v>
      </c>
      <c r="G1301" s="517">
        <f t="shared" si="1048"/>
        <v>435215.87601247098</v>
      </c>
      <c r="H1301" s="517">
        <f t="shared" si="1048"/>
        <v>77120.341353593423</v>
      </c>
      <c r="I1301" s="517">
        <f t="shared" si="1048"/>
        <v>77120.341353593423</v>
      </c>
      <c r="J1301" s="517">
        <f t="shared" si="1048"/>
        <v>541338.42265814415</v>
      </c>
      <c r="K1301" s="517">
        <f t="shared" si="1048"/>
        <v>77120.341353593423</v>
      </c>
      <c r="L1301" s="517">
        <f t="shared" si="1048"/>
        <v>77120.341353593423</v>
      </c>
      <c r="M1301" s="517">
        <f t="shared" si="1048"/>
        <v>320529.59199582087</v>
      </c>
      <c r="N1301" s="517">
        <f t="shared" si="1048"/>
        <v>77120.341353593423</v>
      </c>
      <c r="O1301" s="517">
        <f t="shared" si="1048"/>
        <v>77120.341353593423</v>
      </c>
      <c r="P1301" s="511">
        <f t="shared" si="1009"/>
        <v>-8.8686938397586346E-6</v>
      </c>
      <c r="Q1301" s="530">
        <v>86218</v>
      </c>
      <c r="R1301" s="480"/>
      <c r="U1301" s="513"/>
    </row>
    <row r="1302" spans="1:21" s="479" customFormat="1" ht="27" x14ac:dyDescent="0.15">
      <c r="A1302" s="579"/>
      <c r="B1302" s="528" t="s">
        <v>407</v>
      </c>
      <c r="C1302" s="517">
        <f>FCISAN!I99</f>
        <v>140748.58191567802</v>
      </c>
      <c r="D1302" s="517">
        <f t="shared" ref="D1302:O1302" si="1049">$C1302*D$24%</f>
        <v>11729.048492926253</v>
      </c>
      <c r="E1302" s="517">
        <f t="shared" si="1049"/>
        <v>11729.048492926253</v>
      </c>
      <c r="F1302" s="517">
        <f t="shared" si="1049"/>
        <v>11729.048492926253</v>
      </c>
      <c r="G1302" s="517">
        <f t="shared" si="1049"/>
        <v>11729.048492926253</v>
      </c>
      <c r="H1302" s="517">
        <f t="shared" si="1049"/>
        <v>11729.048492926253</v>
      </c>
      <c r="I1302" s="517">
        <f t="shared" si="1049"/>
        <v>11729.048492926253</v>
      </c>
      <c r="J1302" s="517">
        <f t="shared" si="1049"/>
        <v>11729.048492926253</v>
      </c>
      <c r="K1302" s="517">
        <f t="shared" si="1049"/>
        <v>11729.048492926253</v>
      </c>
      <c r="L1302" s="517">
        <f t="shared" si="1049"/>
        <v>11729.048492926253</v>
      </c>
      <c r="M1302" s="517">
        <f t="shared" si="1049"/>
        <v>11729.048492926253</v>
      </c>
      <c r="N1302" s="517">
        <f t="shared" si="1049"/>
        <v>11729.048492926253</v>
      </c>
      <c r="O1302" s="517">
        <f t="shared" si="1049"/>
        <v>11729.048492926253</v>
      </c>
      <c r="P1302" s="511">
        <f t="shared" si="1009"/>
        <v>5.6294084060937166E-7</v>
      </c>
      <c r="Q1302" s="530">
        <v>10255</v>
      </c>
      <c r="R1302" s="480"/>
      <c r="U1302" s="513"/>
    </row>
    <row r="1303" spans="1:21" s="479" customFormat="1" ht="27" x14ac:dyDescent="0.15">
      <c r="A1303" s="579"/>
      <c r="B1303" s="528" t="s">
        <v>242</v>
      </c>
      <c r="C1303" s="517">
        <f>ISAN!I99</f>
        <v>703055.67302054132</v>
      </c>
      <c r="D1303" s="517">
        <f t="shared" ref="D1303:O1303" si="1050">$C1303*D$25%</f>
        <v>67657.583705683501</v>
      </c>
      <c r="E1303" s="517">
        <f t="shared" si="1050"/>
        <v>75566.45583008563</v>
      </c>
      <c r="F1303" s="517">
        <f t="shared" si="1050"/>
        <v>58646.241661160093</v>
      </c>
      <c r="G1303" s="517">
        <f t="shared" si="1050"/>
        <v>54429.761663807163</v>
      </c>
      <c r="H1303" s="517">
        <f t="shared" si="1050"/>
        <v>58197.448952003455</v>
      </c>
      <c r="I1303" s="517">
        <f t="shared" si="1050"/>
        <v>50546.255222566724</v>
      </c>
      <c r="J1303" s="517">
        <f t="shared" si="1050"/>
        <v>54759.117591412723</v>
      </c>
      <c r="K1303" s="517">
        <f t="shared" si="1050"/>
        <v>56471.044295881264</v>
      </c>
      <c r="L1303" s="517">
        <f t="shared" si="1050"/>
        <v>55490.21474470698</v>
      </c>
      <c r="M1303" s="517">
        <f t="shared" si="1050"/>
        <v>56851.070823830531</v>
      </c>
      <c r="N1303" s="517">
        <f t="shared" si="1050"/>
        <v>55045.041151723097</v>
      </c>
      <c r="O1303" s="517">
        <f t="shared" si="1050"/>
        <v>59395.437369243497</v>
      </c>
      <c r="P1303" s="511">
        <f t="shared" si="1009"/>
        <v>8.4366838564164937E-6</v>
      </c>
      <c r="Q1303" s="530">
        <v>44059</v>
      </c>
      <c r="R1303" s="480"/>
      <c r="U1303" s="513"/>
    </row>
    <row r="1304" spans="1:21" s="479" customFormat="1" ht="18" x14ac:dyDescent="0.15">
      <c r="A1304" s="579"/>
      <c r="B1304" s="528" t="s">
        <v>403</v>
      </c>
      <c r="C1304" s="517">
        <f>LOT!I99</f>
        <v>34032.812464779068</v>
      </c>
      <c r="D1304" s="517">
        <f t="shared" ref="D1304:O1304" si="1051">$C1304*D$26%</f>
        <v>2573.2341872861239</v>
      </c>
      <c r="E1304" s="517">
        <f t="shared" si="1051"/>
        <v>2536.7603053917182</v>
      </c>
      <c r="F1304" s="517">
        <f t="shared" si="1051"/>
        <v>2493.3239997419628</v>
      </c>
      <c r="G1304" s="517">
        <f t="shared" si="1051"/>
        <v>2743.2131510306999</v>
      </c>
      <c r="H1304" s="517">
        <f t="shared" si="1051"/>
        <v>2244.4476748897587</v>
      </c>
      <c r="I1304" s="517">
        <f t="shared" si="1051"/>
        <v>3045.8299260434296</v>
      </c>
      <c r="J1304" s="517">
        <f t="shared" si="1051"/>
        <v>6990.1764053293928</v>
      </c>
      <c r="K1304" s="517">
        <f t="shared" si="1051"/>
        <v>2544.6749073080491</v>
      </c>
      <c r="L1304" s="517">
        <f t="shared" si="1051"/>
        <v>3087.6469223309741</v>
      </c>
      <c r="M1304" s="517">
        <f t="shared" si="1051"/>
        <v>1911.6765698401584</v>
      </c>
      <c r="N1304" s="517">
        <f t="shared" si="1051"/>
        <v>1930.9142075892039</v>
      </c>
      <c r="O1304" s="517">
        <f t="shared" si="1051"/>
        <v>1930.9142075892039</v>
      </c>
      <c r="P1304" s="511">
        <f t="shared" si="1009"/>
        <v>4.0839177017915063E-7</v>
      </c>
      <c r="Q1304" s="530">
        <v>2152</v>
      </c>
      <c r="R1304" s="480"/>
      <c r="U1304" s="513"/>
    </row>
    <row r="1305" spans="1:21" s="479" customFormat="1" ht="45" x14ac:dyDescent="0.15">
      <c r="A1305" s="579"/>
      <c r="B1305" s="518" t="s">
        <v>301</v>
      </c>
      <c r="C1305" s="517">
        <f>'ENAJENAC DE INMUE'!I99</f>
        <v>133821.05827077111</v>
      </c>
      <c r="D1305" s="517">
        <f t="shared" ref="D1305:O1305" si="1052">$C1305*D$27%</f>
        <v>5779.1584377042545</v>
      </c>
      <c r="E1305" s="517">
        <f t="shared" si="1052"/>
        <v>5864.2796513300782</v>
      </c>
      <c r="F1305" s="517">
        <f t="shared" si="1052"/>
        <v>5785.2213187793868</v>
      </c>
      <c r="G1305" s="517">
        <f t="shared" si="1052"/>
        <v>5751.3331037447961</v>
      </c>
      <c r="H1305" s="517">
        <f t="shared" si="1052"/>
        <v>7978.1973804101399</v>
      </c>
      <c r="I1305" s="517">
        <f t="shared" si="1052"/>
        <v>5742.5276781105804</v>
      </c>
      <c r="J1305" s="517">
        <f t="shared" si="1052"/>
        <v>6599.7664850714173</v>
      </c>
      <c r="K1305" s="517">
        <f t="shared" si="1052"/>
        <v>6592.9730983916916</v>
      </c>
      <c r="L1305" s="517">
        <f t="shared" si="1052"/>
        <v>6584.621089950846</v>
      </c>
      <c r="M1305" s="517">
        <f t="shared" si="1052"/>
        <v>5750.3916332564704</v>
      </c>
      <c r="N1305" s="517">
        <f t="shared" si="1052"/>
        <v>23908.013704653094</v>
      </c>
      <c r="O1305" s="517">
        <f t="shared" si="1052"/>
        <v>47484.574689100715</v>
      </c>
      <c r="P1305" s="511">
        <f t="shared" si="1009"/>
        <v>2.6763154892250896E-7</v>
      </c>
      <c r="Q1305" s="530">
        <v>31402</v>
      </c>
      <c r="R1305" s="480"/>
      <c r="U1305" s="513"/>
    </row>
    <row r="1306" spans="1:21" s="479" customFormat="1" ht="27" x14ac:dyDescent="0.15">
      <c r="A1306" s="579"/>
      <c r="B1306" s="518" t="s">
        <v>248</v>
      </c>
      <c r="C1306" s="517">
        <f>'IMP BEBIDAS AL'!I99</f>
        <v>52304.341271696656</v>
      </c>
      <c r="D1306" s="517">
        <f t="shared" ref="D1306:O1306" si="1053">$C1306*D$28%</f>
        <v>11893.515304488061</v>
      </c>
      <c r="E1306" s="517">
        <f t="shared" si="1053"/>
        <v>4090.9373503678885</v>
      </c>
      <c r="F1306" s="517">
        <f t="shared" si="1053"/>
        <v>4396.338377971405</v>
      </c>
      <c r="G1306" s="517">
        <f t="shared" si="1053"/>
        <v>4364.7785284651391</v>
      </c>
      <c r="H1306" s="517">
        <f t="shared" si="1053"/>
        <v>2779.5120001850505</v>
      </c>
      <c r="I1306" s="517">
        <f t="shared" si="1053"/>
        <v>4548.6758596327336</v>
      </c>
      <c r="J1306" s="517">
        <f t="shared" si="1053"/>
        <v>4523.0720361137801</v>
      </c>
      <c r="K1306" s="517">
        <f t="shared" si="1053"/>
        <v>4136.6794000620193</v>
      </c>
      <c r="L1306" s="517">
        <f t="shared" si="1053"/>
        <v>3000.0363049298139</v>
      </c>
      <c r="M1306" s="517">
        <f t="shared" si="1053"/>
        <v>2788.799492622004</v>
      </c>
      <c r="N1306" s="517">
        <f t="shared" si="1053"/>
        <v>2808.5124252078649</v>
      </c>
      <c r="O1306" s="517">
        <f t="shared" si="1053"/>
        <v>2973.4841916508994</v>
      </c>
      <c r="P1306" s="511">
        <f t="shared" si="1009"/>
        <v>0</v>
      </c>
      <c r="Q1306" s="530">
        <v>1344</v>
      </c>
      <c r="R1306" s="480"/>
      <c r="U1306" s="513"/>
    </row>
    <row r="1307" spans="1:21" s="479" customFormat="1" ht="18" x14ac:dyDescent="0.15">
      <c r="A1307" s="579"/>
      <c r="B1307" s="518" t="s">
        <v>253</v>
      </c>
      <c r="C1307" s="517">
        <f>'FOND GASO Y D'!Q100</f>
        <v>0</v>
      </c>
      <c r="D1307" s="517">
        <f t="shared" ref="D1307:O1307" si="1054">$C1307*D$29%</f>
        <v>0</v>
      </c>
      <c r="E1307" s="517">
        <f t="shared" si="1054"/>
        <v>0</v>
      </c>
      <c r="F1307" s="517">
        <f t="shared" si="1054"/>
        <v>0</v>
      </c>
      <c r="G1307" s="517">
        <f t="shared" si="1054"/>
        <v>0</v>
      </c>
      <c r="H1307" s="517">
        <f t="shared" si="1054"/>
        <v>0</v>
      </c>
      <c r="I1307" s="517">
        <f t="shared" si="1054"/>
        <v>0</v>
      </c>
      <c r="J1307" s="517">
        <f t="shared" si="1054"/>
        <v>0</v>
      </c>
      <c r="K1307" s="517">
        <f t="shared" si="1054"/>
        <v>0</v>
      </c>
      <c r="L1307" s="517">
        <f t="shared" si="1054"/>
        <v>0</v>
      </c>
      <c r="M1307" s="517">
        <f t="shared" si="1054"/>
        <v>0</v>
      </c>
      <c r="N1307" s="517">
        <f t="shared" si="1054"/>
        <v>0</v>
      </c>
      <c r="O1307" s="517">
        <f t="shared" si="1054"/>
        <v>0</v>
      </c>
      <c r="P1307" s="511">
        <f t="shared" si="1009"/>
        <v>0</v>
      </c>
      <c r="Q1307" s="530">
        <v>54195</v>
      </c>
      <c r="R1307" s="480"/>
      <c r="U1307" s="513"/>
    </row>
    <row r="1308" spans="1:21" s="479" customFormat="1" ht="18" x14ac:dyDescent="0.15">
      <c r="A1308" s="579"/>
      <c r="B1308" s="528" t="s">
        <v>408</v>
      </c>
      <c r="C1308" s="519">
        <f>'FOND GASO Y D'!H100</f>
        <v>1755268.9088715883</v>
      </c>
      <c r="D1308" s="517">
        <f t="shared" ref="D1308:O1308" si="1055">$C1308*D$30%</f>
        <v>136543.77723505249</v>
      </c>
      <c r="E1308" s="517">
        <f t="shared" si="1055"/>
        <v>150126.77547570787</v>
      </c>
      <c r="F1308" s="517">
        <f t="shared" si="1055"/>
        <v>146163.90572725132</v>
      </c>
      <c r="G1308" s="517">
        <f t="shared" si="1055"/>
        <v>136194.30836631835</v>
      </c>
      <c r="H1308" s="517">
        <f t="shared" si="1055"/>
        <v>150066.66090149272</v>
      </c>
      <c r="I1308" s="517">
        <f t="shared" si="1055"/>
        <v>144832.15926773305</v>
      </c>
      <c r="J1308" s="517">
        <f t="shared" si="1055"/>
        <v>147851.70867450323</v>
      </c>
      <c r="K1308" s="517">
        <f t="shared" si="1055"/>
        <v>147763.85072187104</v>
      </c>
      <c r="L1308" s="517">
        <f t="shared" si="1055"/>
        <v>153765.95522459762</v>
      </c>
      <c r="M1308" s="517">
        <f t="shared" si="1055"/>
        <v>152415.71318063821</v>
      </c>
      <c r="N1308" s="517">
        <f t="shared" si="1055"/>
        <v>142446.11581970527</v>
      </c>
      <c r="O1308" s="517">
        <f t="shared" si="1055"/>
        <v>147097.97827847241</v>
      </c>
      <c r="P1308" s="511">
        <f t="shared" si="1009"/>
        <v>-1.7553102225065231E-6</v>
      </c>
      <c r="Q1308" s="530">
        <v>107273</v>
      </c>
      <c r="R1308" s="480"/>
      <c r="U1308" s="513"/>
    </row>
    <row r="1309" spans="1:21" s="479" customFormat="1" x14ac:dyDescent="0.15">
      <c r="A1309" s="579"/>
      <c r="B1309" s="534"/>
      <c r="C1309" s="521"/>
      <c r="D1309" s="522"/>
      <c r="E1309" s="522"/>
      <c r="F1309" s="522"/>
      <c r="G1309" s="522"/>
      <c r="H1309" s="522"/>
      <c r="I1309" s="522"/>
      <c r="J1309" s="522"/>
      <c r="K1309" s="522"/>
      <c r="L1309" s="522"/>
      <c r="M1309" s="522"/>
      <c r="N1309" s="522"/>
      <c r="O1309" s="522"/>
      <c r="P1309" s="511">
        <f t="shared" si="1009"/>
        <v>0</v>
      </c>
      <c r="Q1309" s="530">
        <v>0</v>
      </c>
      <c r="R1309" s="480"/>
      <c r="U1309" s="513"/>
    </row>
    <row r="1310" spans="1:21" s="479" customFormat="1" x14ac:dyDescent="0.15">
      <c r="A1310" s="591"/>
      <c r="B1310" s="532"/>
      <c r="C1310" s="521"/>
      <c r="D1310" s="522"/>
      <c r="E1310" s="522"/>
      <c r="F1310" s="522"/>
      <c r="G1310" s="522"/>
      <c r="H1310" s="522"/>
      <c r="I1310" s="522"/>
      <c r="J1310" s="522"/>
      <c r="K1310" s="522"/>
      <c r="L1310" s="522"/>
      <c r="M1310" s="522"/>
      <c r="N1310" s="522"/>
      <c r="O1310" s="522"/>
      <c r="P1310" s="511">
        <f t="shared" si="1009"/>
        <v>0</v>
      </c>
      <c r="Q1310" s="530">
        <v>0</v>
      </c>
      <c r="R1310" s="480"/>
      <c r="U1310" s="513"/>
    </row>
    <row r="1311" spans="1:21" s="479" customFormat="1" x14ac:dyDescent="0.15">
      <c r="A1311" s="584">
        <v>86</v>
      </c>
      <c r="B1311" s="533" t="s">
        <v>129</v>
      </c>
      <c r="C1311" s="524">
        <f t="shared" ref="C1311:O1311" si="1056">SUM(C1312:C1323)</f>
        <v>38916920.866812311</v>
      </c>
      <c r="D1311" s="524">
        <f t="shared" si="1056"/>
        <v>3037216.0411251918</v>
      </c>
      <c r="E1311" s="524">
        <f t="shared" si="1056"/>
        <v>4086974.3766077189</v>
      </c>
      <c r="F1311" s="524">
        <f t="shared" si="1056"/>
        <v>2719660.6240670453</v>
      </c>
      <c r="G1311" s="524">
        <f t="shared" si="1056"/>
        <v>3453991.919941871</v>
      </c>
      <c r="H1311" s="524">
        <f t="shared" si="1056"/>
        <v>3911696.1101362891</v>
      </c>
      <c r="I1311" s="524">
        <f t="shared" si="1056"/>
        <v>3829071.3721255944</v>
      </c>
      <c r="J1311" s="524">
        <f t="shared" si="1056"/>
        <v>3321680.7836815314</v>
      </c>
      <c r="K1311" s="524">
        <f t="shared" si="1056"/>
        <v>3235313.0953888074</v>
      </c>
      <c r="L1311" s="524">
        <f t="shared" si="1056"/>
        <v>3056579.0893776161</v>
      </c>
      <c r="M1311" s="524">
        <f t="shared" si="1056"/>
        <v>2285798.0687917299</v>
      </c>
      <c r="N1311" s="524">
        <f t="shared" si="1056"/>
        <v>2972011.1516210032</v>
      </c>
      <c r="O1311" s="524">
        <f t="shared" si="1056"/>
        <v>3006928.2338351593</v>
      </c>
      <c r="P1311" s="511">
        <f t="shared" si="1009"/>
        <v>1.1274870485067368E-4</v>
      </c>
      <c r="Q1311" s="530">
        <v>2340544</v>
      </c>
      <c r="R1311" s="480"/>
      <c r="T1311" s="512"/>
      <c r="U1311" s="513"/>
    </row>
    <row r="1312" spans="1:21" s="479" customFormat="1" x14ac:dyDescent="0.15">
      <c r="A1312" s="579"/>
      <c r="B1312" s="527" t="s">
        <v>294</v>
      </c>
      <c r="C1312" s="515">
        <f>'FG1'!I101</f>
        <v>26685113.7920231</v>
      </c>
      <c r="D1312" s="515">
        <f t="shared" ref="D1312:O1312" si="1057">$C1312*D$19%</f>
        <v>2018320.5384194639</v>
      </c>
      <c r="E1312" s="515">
        <f t="shared" si="1057"/>
        <v>2891748.1620924445</v>
      </c>
      <c r="F1312" s="515">
        <f t="shared" si="1057"/>
        <v>1869213.7434671398</v>
      </c>
      <c r="G1312" s="515">
        <f t="shared" si="1057"/>
        <v>2296139.6952370657</v>
      </c>
      <c r="H1312" s="515">
        <f t="shared" si="1057"/>
        <v>2804088.280875043</v>
      </c>
      <c r="I1312" s="515">
        <f t="shared" si="1057"/>
        <v>2748996.1778841531</v>
      </c>
      <c r="J1312" s="515">
        <f t="shared" si="1057"/>
        <v>2131031.7176967273</v>
      </c>
      <c r="K1312" s="515">
        <f t="shared" si="1057"/>
        <v>2262590.3835806348</v>
      </c>
      <c r="L1312" s="515">
        <f t="shared" si="1057"/>
        <v>2126273.7640957893</v>
      </c>
      <c r="M1312" s="515">
        <f t="shared" si="1057"/>
        <v>1409556.0981578522</v>
      </c>
      <c r="N1312" s="515">
        <f t="shared" si="1057"/>
        <v>2057175.2793407314</v>
      </c>
      <c r="O1312" s="515">
        <f t="shared" si="1057"/>
        <v>2069979.951149371</v>
      </c>
      <c r="P1312" s="511">
        <f t="shared" si="1009"/>
        <v>2.6686117053031921E-5</v>
      </c>
      <c r="Q1312" s="530">
        <v>1606195</v>
      </c>
      <c r="R1312" s="480"/>
      <c r="U1312" s="513"/>
    </row>
    <row r="1313" spans="1:21" s="479" customFormat="1" x14ac:dyDescent="0.15">
      <c r="A1313" s="579"/>
      <c r="B1313" s="528" t="s">
        <v>296</v>
      </c>
      <c r="C1313" s="517">
        <f>FFM!J101</f>
        <v>7172849.0609925613</v>
      </c>
      <c r="D1313" s="517">
        <f t="shared" ref="D1313:O1313" si="1058">$C1313*D$20%</f>
        <v>542433.3683079381</v>
      </c>
      <c r="E1313" s="517">
        <f t="shared" si="1058"/>
        <v>777666.36837473093</v>
      </c>
      <c r="F1313" s="517">
        <f t="shared" si="1058"/>
        <v>502275.67735390371</v>
      </c>
      <c r="G1313" s="517">
        <f t="shared" si="1058"/>
        <v>617256.09387172339</v>
      </c>
      <c r="H1313" s="517">
        <f t="shared" si="1058"/>
        <v>754057.66336883826</v>
      </c>
      <c r="I1313" s="517">
        <f t="shared" si="1058"/>
        <v>739220.16313317721</v>
      </c>
      <c r="J1313" s="517">
        <f t="shared" si="1058"/>
        <v>572738.71469490801</v>
      </c>
      <c r="K1313" s="517">
        <f t="shared" si="1058"/>
        <v>608170.31657569017</v>
      </c>
      <c r="L1313" s="517">
        <f t="shared" si="1058"/>
        <v>571457.29155096016</v>
      </c>
      <c r="M1313" s="517">
        <f t="shared" si="1058"/>
        <v>378429.68097560661</v>
      </c>
      <c r="N1313" s="517">
        <f t="shared" si="1058"/>
        <v>552847.572836668</v>
      </c>
      <c r="O1313" s="517">
        <f t="shared" si="1058"/>
        <v>556296.14986234275</v>
      </c>
      <c r="P1313" s="511">
        <f t="shared" si="1009"/>
        <v>8.6073996499180794E-5</v>
      </c>
      <c r="Q1313" s="530">
        <v>491765</v>
      </c>
      <c r="R1313" s="480"/>
      <c r="U1313" s="513"/>
    </row>
    <row r="1314" spans="1:21" s="479" customFormat="1" ht="18" x14ac:dyDescent="0.15">
      <c r="A1314" s="579"/>
      <c r="B1314" s="528" t="s">
        <v>297</v>
      </c>
      <c r="C1314" s="517">
        <f>IEPS!I100</f>
        <v>645352.8082935462</v>
      </c>
      <c r="D1314" s="517">
        <f t="shared" ref="D1314:O1314" si="1059">$C1314*D$21%</f>
        <v>45329.465688629891</v>
      </c>
      <c r="E1314" s="517">
        <f t="shared" si="1059"/>
        <v>103609.86243526543</v>
      </c>
      <c r="F1314" s="517">
        <f t="shared" si="1059"/>
        <v>43035.373205406409</v>
      </c>
      <c r="G1314" s="517">
        <f t="shared" si="1059"/>
        <v>41824.356438306735</v>
      </c>
      <c r="H1314" s="517">
        <f t="shared" si="1059"/>
        <v>46176.390375708412</v>
      </c>
      <c r="I1314" s="517">
        <f t="shared" si="1059"/>
        <v>47885.836784967432</v>
      </c>
      <c r="J1314" s="517">
        <f t="shared" si="1059"/>
        <v>49313.559763478988</v>
      </c>
      <c r="K1314" s="517">
        <f t="shared" si="1059"/>
        <v>54624.987122780753</v>
      </c>
      <c r="L1314" s="517">
        <f t="shared" si="1059"/>
        <v>54739.451312363606</v>
      </c>
      <c r="M1314" s="517">
        <f t="shared" si="1059"/>
        <v>54131.063160974358</v>
      </c>
      <c r="N1314" s="517">
        <f t="shared" si="1059"/>
        <v>52380.958493519051</v>
      </c>
      <c r="O1314" s="517">
        <f t="shared" si="1059"/>
        <v>52301.503511499766</v>
      </c>
      <c r="P1314" s="511">
        <f t="shared" si="1009"/>
        <v>6.4531195675954223E-7</v>
      </c>
      <c r="Q1314" s="530">
        <v>41482</v>
      </c>
      <c r="R1314" s="480"/>
      <c r="U1314" s="513"/>
    </row>
    <row r="1315" spans="1:21" s="479" customFormat="1" x14ac:dyDescent="0.15">
      <c r="A1315" s="579"/>
      <c r="B1315" s="528" t="s">
        <v>236</v>
      </c>
      <c r="C1315" s="517">
        <f>ISR!C91</f>
        <v>1461178.6</v>
      </c>
      <c r="D1315" s="517">
        <f>ISR!D91</f>
        <v>118422.19000000003</v>
      </c>
      <c r="E1315" s="517">
        <f>ISR!E91</f>
        <v>119820.93000000002</v>
      </c>
      <c r="F1315" s="517">
        <f>ISR!F91</f>
        <v>122924.32000000007</v>
      </c>
      <c r="G1315" s="517">
        <f>ISR!G91</f>
        <v>123525.83999999998</v>
      </c>
      <c r="H1315" s="517">
        <f>ISR!H91</f>
        <v>122772.90999999999</v>
      </c>
      <c r="I1315" s="517">
        <f>ISR!I91</f>
        <v>115783.32999999994</v>
      </c>
      <c r="J1315" s="517">
        <f>ISR!J91</f>
        <v>123127.23000000004</v>
      </c>
      <c r="K1315" s="517">
        <f>ISR!K91</f>
        <v>127595.37000000005</v>
      </c>
      <c r="L1315" s="517">
        <f>ISR!L91</f>
        <v>118887.75000000001</v>
      </c>
      <c r="M1315" s="517">
        <f>ISR!M91</f>
        <v>122772.90999999999</v>
      </c>
      <c r="N1315" s="517">
        <f>ISR!N91</f>
        <v>122772.90999999999</v>
      </c>
      <c r="O1315" s="517">
        <f>ISR!O91</f>
        <v>122772.90999999999</v>
      </c>
      <c r="P1315" s="511">
        <f t="shared" si="1009"/>
        <v>0</v>
      </c>
      <c r="Q1315" s="530">
        <v>0</v>
      </c>
      <c r="R1315" s="480"/>
      <c r="U1315" s="513"/>
    </row>
    <row r="1316" spans="1:21" s="479" customFormat="1" ht="18" x14ac:dyDescent="0.15">
      <c r="A1316" s="579"/>
      <c r="B1316" s="528" t="s">
        <v>298</v>
      </c>
      <c r="C1316" s="517">
        <f>FOFIR!I100</f>
        <v>1248109.1550258477</v>
      </c>
      <c r="D1316" s="517">
        <f t="shared" ref="D1316:O1316" si="1060">$C1316*D$23%</f>
        <v>170635.86167603059</v>
      </c>
      <c r="E1316" s="517">
        <f t="shared" si="1060"/>
        <v>43413.314623440339</v>
      </c>
      <c r="F1316" s="517">
        <f t="shared" si="1060"/>
        <v>43413.314623440339</v>
      </c>
      <c r="G1316" s="517">
        <f t="shared" si="1060"/>
        <v>244995.85223328669</v>
      </c>
      <c r="H1316" s="517">
        <f t="shared" si="1060"/>
        <v>43413.314623440339</v>
      </c>
      <c r="I1316" s="517">
        <f t="shared" si="1060"/>
        <v>43413.314623440339</v>
      </c>
      <c r="J1316" s="517">
        <f t="shared" si="1060"/>
        <v>304735.36356462061</v>
      </c>
      <c r="K1316" s="517">
        <f t="shared" si="1060"/>
        <v>43413.314623440339</v>
      </c>
      <c r="L1316" s="517">
        <f t="shared" si="1060"/>
        <v>43413.314623440339</v>
      </c>
      <c r="M1316" s="517">
        <f t="shared" si="1060"/>
        <v>180435.5605693796</v>
      </c>
      <c r="N1316" s="517">
        <f t="shared" si="1060"/>
        <v>43413.314623440339</v>
      </c>
      <c r="O1316" s="517">
        <f t="shared" si="1060"/>
        <v>43413.314623440339</v>
      </c>
      <c r="P1316" s="511">
        <f t="shared" ref="P1316:P1379" si="1061">C1316-D1316-E1316-F1316-G1316-H1316-I1316-J1316-K1316-L1316-M1316-N1316-O1316</f>
        <v>-4.9926165957003832E-6</v>
      </c>
      <c r="Q1316" s="530">
        <v>48861</v>
      </c>
      <c r="R1316" s="480"/>
      <c r="U1316" s="513"/>
    </row>
    <row r="1317" spans="1:21" s="479" customFormat="1" ht="27" x14ac:dyDescent="0.15">
      <c r="A1317" s="579"/>
      <c r="B1317" s="528" t="s">
        <v>407</v>
      </c>
      <c r="C1317" s="517">
        <f>FCISAN!I100</f>
        <v>79231.527794886817</v>
      </c>
      <c r="D1317" s="517">
        <f t="shared" ref="D1317:O1317" si="1062">$C1317*D$24%</f>
        <v>6602.6273162141588</v>
      </c>
      <c r="E1317" s="517">
        <f t="shared" si="1062"/>
        <v>6602.6273162141588</v>
      </c>
      <c r="F1317" s="517">
        <f t="shared" si="1062"/>
        <v>6602.6273162141588</v>
      </c>
      <c r="G1317" s="517">
        <f t="shared" si="1062"/>
        <v>6602.6273162141588</v>
      </c>
      <c r="H1317" s="517">
        <f t="shared" si="1062"/>
        <v>6602.6273162141588</v>
      </c>
      <c r="I1317" s="517">
        <f t="shared" si="1062"/>
        <v>6602.6273162141588</v>
      </c>
      <c r="J1317" s="517">
        <f t="shared" si="1062"/>
        <v>6602.6273162141588</v>
      </c>
      <c r="K1317" s="517">
        <f t="shared" si="1062"/>
        <v>6602.6273162141588</v>
      </c>
      <c r="L1317" s="517">
        <f t="shared" si="1062"/>
        <v>6602.6273162141588</v>
      </c>
      <c r="M1317" s="517">
        <f t="shared" si="1062"/>
        <v>6602.6273162141588</v>
      </c>
      <c r="N1317" s="517">
        <f t="shared" si="1062"/>
        <v>6602.6273162141588</v>
      </c>
      <c r="O1317" s="517">
        <f t="shared" si="1062"/>
        <v>6602.6273162141588</v>
      </c>
      <c r="P1317" s="511">
        <f t="shared" si="1061"/>
        <v>3.169116098433733E-7</v>
      </c>
      <c r="Q1317" s="530">
        <v>5809</v>
      </c>
      <c r="R1317" s="480"/>
      <c r="U1317" s="513"/>
    </row>
    <row r="1318" spans="1:21" s="479" customFormat="1" ht="27" x14ac:dyDescent="0.15">
      <c r="A1318" s="579"/>
      <c r="B1318" s="528" t="s">
        <v>242</v>
      </c>
      <c r="C1318" s="517">
        <f>ISAN!I100</f>
        <v>395770.77324766258</v>
      </c>
      <c r="D1318" s="517">
        <f t="shared" ref="D1318:O1318" si="1063">$C1318*D$25%</f>
        <v>38086.449262581329</v>
      </c>
      <c r="E1318" s="517">
        <f t="shared" si="1063"/>
        <v>42538.58663421173</v>
      </c>
      <c r="F1318" s="517">
        <f t="shared" si="1063"/>
        <v>33013.699058265716</v>
      </c>
      <c r="G1318" s="517">
        <f t="shared" si="1063"/>
        <v>30640.118113009743</v>
      </c>
      <c r="H1318" s="517">
        <f t="shared" si="1063"/>
        <v>32761.060406240151</v>
      </c>
      <c r="I1318" s="517">
        <f t="shared" si="1063"/>
        <v>28453.977802728652</v>
      </c>
      <c r="J1318" s="517">
        <f t="shared" si="1063"/>
        <v>30825.522278204986</v>
      </c>
      <c r="K1318" s="517">
        <f t="shared" si="1063"/>
        <v>31789.216309233794</v>
      </c>
      <c r="L1318" s="517">
        <f t="shared" si="1063"/>
        <v>31237.078427713474</v>
      </c>
      <c r="M1318" s="517">
        <f t="shared" si="1063"/>
        <v>32003.144449767711</v>
      </c>
      <c r="N1318" s="517">
        <f t="shared" si="1063"/>
        <v>30986.477082918514</v>
      </c>
      <c r="O1318" s="517">
        <f t="shared" si="1063"/>
        <v>33435.443418037539</v>
      </c>
      <c r="P1318" s="511">
        <f t="shared" si="1061"/>
        <v>4.7492649173364043E-6</v>
      </c>
      <c r="Q1318" s="530">
        <v>24968</v>
      </c>
      <c r="R1318" s="480"/>
      <c r="U1318" s="513"/>
    </row>
    <row r="1319" spans="1:21" s="479" customFormat="1" ht="18" x14ac:dyDescent="0.15">
      <c r="A1319" s="579"/>
      <c r="B1319" s="528" t="s">
        <v>403</v>
      </c>
      <c r="C1319" s="517">
        <f>LOT!I100</f>
        <v>19158.073850838227</v>
      </c>
      <c r="D1319" s="517">
        <f t="shared" ref="D1319:O1319" si="1064">$C1319*D$26%</f>
        <v>1448.5494152605961</v>
      </c>
      <c r="E1319" s="517">
        <f t="shared" si="1064"/>
        <v>1428.0171914344596</v>
      </c>
      <c r="F1319" s="517">
        <f t="shared" si="1064"/>
        <v>1403.5656139368077</v>
      </c>
      <c r="G1319" s="517">
        <f t="shared" si="1064"/>
        <v>1544.2355870654596</v>
      </c>
      <c r="H1319" s="517">
        <f t="shared" si="1064"/>
        <v>1263.4657906801147</v>
      </c>
      <c r="I1319" s="517">
        <f t="shared" si="1064"/>
        <v>1714.5874946604113</v>
      </c>
      <c r="J1319" s="517">
        <f t="shared" si="1064"/>
        <v>3934.9764566851754</v>
      </c>
      <c r="K1319" s="517">
        <f t="shared" si="1064"/>
        <v>1432.4725542749529</v>
      </c>
      <c r="L1319" s="517">
        <f t="shared" si="1064"/>
        <v>1738.1275151605128</v>
      </c>
      <c r="M1319" s="517">
        <f t="shared" si="1064"/>
        <v>1076.1391213793299</v>
      </c>
      <c r="N1319" s="517">
        <f t="shared" si="1064"/>
        <v>1086.9685550352556</v>
      </c>
      <c r="O1319" s="517">
        <f t="shared" si="1064"/>
        <v>1086.9685550352556</v>
      </c>
      <c r="P1319" s="511">
        <f t="shared" si="1061"/>
        <v>2.2989661374595016E-7</v>
      </c>
      <c r="Q1319" s="530">
        <v>1220</v>
      </c>
      <c r="R1319" s="480"/>
      <c r="U1319" s="513"/>
    </row>
    <row r="1320" spans="1:21" s="479" customFormat="1" ht="45" x14ac:dyDescent="0.15">
      <c r="A1320" s="579"/>
      <c r="B1320" s="518" t="s">
        <v>301</v>
      </c>
      <c r="C1320" s="517">
        <f>'ENAJENAC DE INMUE'!I100</f>
        <v>75331.820424833117</v>
      </c>
      <c r="D1320" s="517">
        <f t="shared" ref="D1320:O1320" si="1065">$C1320*D$27%</f>
        <v>3253.25872670135</v>
      </c>
      <c r="E1320" s="517">
        <f t="shared" si="1065"/>
        <v>3301.1759682929519</v>
      </c>
      <c r="F1320" s="517">
        <f t="shared" si="1065"/>
        <v>3256.6717012683634</v>
      </c>
      <c r="G1320" s="517">
        <f t="shared" si="1065"/>
        <v>3237.5950255755256</v>
      </c>
      <c r="H1320" s="517">
        <f t="shared" si="1065"/>
        <v>4491.1626028158707</v>
      </c>
      <c r="I1320" s="517">
        <f t="shared" si="1065"/>
        <v>3232.6381917915719</v>
      </c>
      <c r="J1320" s="517">
        <f t="shared" si="1065"/>
        <v>3715.2031983879724</v>
      </c>
      <c r="K1320" s="517">
        <f t="shared" si="1065"/>
        <v>3711.3790006716604</v>
      </c>
      <c r="L1320" s="517">
        <f t="shared" si="1065"/>
        <v>3706.677408798284</v>
      </c>
      <c r="M1320" s="517">
        <f t="shared" si="1065"/>
        <v>3237.0650440712816</v>
      </c>
      <c r="N1320" s="517">
        <f t="shared" si="1065"/>
        <v>13458.526022632373</v>
      </c>
      <c r="O1320" s="517">
        <f t="shared" si="1065"/>
        <v>26730.467533675248</v>
      </c>
      <c r="P1320" s="511">
        <f t="shared" si="1061"/>
        <v>1.506632543168962E-7</v>
      </c>
      <c r="Q1320" s="530">
        <v>17796</v>
      </c>
      <c r="R1320" s="480"/>
      <c r="U1320" s="513"/>
    </row>
    <row r="1321" spans="1:21" s="479" customFormat="1" ht="27" x14ac:dyDescent="0.15">
      <c r="A1321" s="579"/>
      <c r="B1321" s="518" t="s">
        <v>248</v>
      </c>
      <c r="C1321" s="517">
        <f>'IMP BEBIDAS AL'!I100</f>
        <v>29443.65629022412</v>
      </c>
      <c r="D1321" s="517">
        <f t="shared" ref="D1321:O1321" si="1066">$C1321*D$28%</f>
        <v>6695.2105349879166</v>
      </c>
      <c r="E1321" s="517">
        <f t="shared" si="1066"/>
        <v>2302.9092866953342</v>
      </c>
      <c r="F1321" s="517">
        <f t="shared" si="1066"/>
        <v>2474.8285321883482</v>
      </c>
      <c r="G1321" s="517">
        <f t="shared" si="1066"/>
        <v>2457.0625621208396</v>
      </c>
      <c r="H1321" s="517">
        <f t="shared" si="1066"/>
        <v>1564.6692798000568</v>
      </c>
      <c r="I1321" s="517">
        <f t="shared" si="1066"/>
        <v>2560.5837934362635</v>
      </c>
      <c r="J1321" s="517">
        <f t="shared" si="1066"/>
        <v>2546.170646055406</v>
      </c>
      <c r="K1321" s="517">
        <f t="shared" si="1066"/>
        <v>2328.6588355178355</v>
      </c>
      <c r="L1321" s="517">
        <f t="shared" si="1066"/>
        <v>1688.8089147649084</v>
      </c>
      <c r="M1321" s="517">
        <f t="shared" si="1066"/>
        <v>1569.8974832046504</v>
      </c>
      <c r="N1321" s="517">
        <f t="shared" si="1066"/>
        <v>1580.9944743418762</v>
      </c>
      <c r="O1321" s="517">
        <f t="shared" si="1066"/>
        <v>1673.8619471106861</v>
      </c>
      <c r="P1321" s="511">
        <f t="shared" si="1061"/>
        <v>0</v>
      </c>
      <c r="Q1321" s="530">
        <v>762</v>
      </c>
      <c r="R1321" s="480"/>
      <c r="U1321" s="513"/>
    </row>
    <row r="1322" spans="1:21" s="479" customFormat="1" ht="18" x14ac:dyDescent="0.15">
      <c r="A1322" s="579"/>
      <c r="B1322" s="518" t="s">
        <v>253</v>
      </c>
      <c r="C1322" s="517">
        <f>'FOND GASO Y D'!Q101</f>
        <v>0</v>
      </c>
      <c r="D1322" s="517">
        <f t="shared" ref="D1322:O1322" si="1067">$C1322*D$29%</f>
        <v>0</v>
      </c>
      <c r="E1322" s="517">
        <f t="shared" si="1067"/>
        <v>0</v>
      </c>
      <c r="F1322" s="517">
        <f t="shared" si="1067"/>
        <v>0</v>
      </c>
      <c r="G1322" s="517">
        <f t="shared" si="1067"/>
        <v>0</v>
      </c>
      <c r="H1322" s="517">
        <f t="shared" si="1067"/>
        <v>0</v>
      </c>
      <c r="I1322" s="517">
        <f t="shared" si="1067"/>
        <v>0</v>
      </c>
      <c r="J1322" s="517">
        <f t="shared" si="1067"/>
        <v>0</v>
      </c>
      <c r="K1322" s="517">
        <f t="shared" si="1067"/>
        <v>0</v>
      </c>
      <c r="L1322" s="517">
        <f t="shared" si="1067"/>
        <v>0</v>
      </c>
      <c r="M1322" s="517">
        <f t="shared" si="1067"/>
        <v>0</v>
      </c>
      <c r="N1322" s="517">
        <f t="shared" si="1067"/>
        <v>0</v>
      </c>
      <c r="O1322" s="517">
        <f t="shared" si="1067"/>
        <v>0</v>
      </c>
      <c r="P1322" s="511">
        <f t="shared" si="1061"/>
        <v>0</v>
      </c>
      <c r="Q1322" s="530">
        <v>34131</v>
      </c>
      <c r="R1322" s="480"/>
      <c r="U1322" s="513"/>
    </row>
    <row r="1323" spans="1:21" s="479" customFormat="1" ht="18" x14ac:dyDescent="0.15">
      <c r="A1323" s="579"/>
      <c r="B1323" s="528" t="s">
        <v>408</v>
      </c>
      <c r="C1323" s="519">
        <f>'FOND GASO Y D'!H101</f>
        <v>1105381.5988688129</v>
      </c>
      <c r="D1323" s="517">
        <f t="shared" ref="D1323:O1323" si="1068">$C1323*D$30%</f>
        <v>85988.521777383838</v>
      </c>
      <c r="E1323" s="517">
        <f t="shared" si="1068"/>
        <v>94542.422684989055</v>
      </c>
      <c r="F1323" s="517">
        <f t="shared" si="1068"/>
        <v>92046.803195281464</v>
      </c>
      <c r="G1323" s="517">
        <f t="shared" si="1068"/>
        <v>85768.44355750324</v>
      </c>
      <c r="H1323" s="517">
        <f t="shared" si="1068"/>
        <v>94504.565497508898</v>
      </c>
      <c r="I1323" s="517">
        <f t="shared" si="1068"/>
        <v>91208.135101025429</v>
      </c>
      <c r="J1323" s="517">
        <f t="shared" si="1068"/>
        <v>93109.698066249213</v>
      </c>
      <c r="K1323" s="517">
        <f t="shared" si="1068"/>
        <v>93054.369470349731</v>
      </c>
      <c r="L1323" s="517">
        <f t="shared" si="1068"/>
        <v>96834.198212412288</v>
      </c>
      <c r="M1323" s="517">
        <f t="shared" si="1068"/>
        <v>95983.882513280318</v>
      </c>
      <c r="N1323" s="517">
        <f t="shared" si="1068"/>
        <v>89705.522875502123</v>
      </c>
      <c r="O1323" s="517">
        <f t="shared" si="1068"/>
        <v>92635.035918432681</v>
      </c>
      <c r="P1323" s="511">
        <f t="shared" si="1061"/>
        <v>-1.1054071364924312E-6</v>
      </c>
      <c r="Q1323" s="530">
        <v>67555</v>
      </c>
      <c r="R1323" s="480"/>
      <c r="U1323" s="513"/>
    </row>
    <row r="1324" spans="1:21" s="479" customFormat="1" x14ac:dyDescent="0.15">
      <c r="A1324" s="579"/>
      <c r="B1324" s="534"/>
      <c r="C1324" s="521"/>
      <c r="D1324" s="522"/>
      <c r="E1324" s="522"/>
      <c r="F1324" s="522"/>
      <c r="G1324" s="522"/>
      <c r="H1324" s="522"/>
      <c r="I1324" s="522"/>
      <c r="J1324" s="522"/>
      <c r="K1324" s="522"/>
      <c r="L1324" s="522"/>
      <c r="M1324" s="522"/>
      <c r="N1324" s="522"/>
      <c r="O1324" s="522"/>
      <c r="P1324" s="511">
        <f t="shared" si="1061"/>
        <v>0</v>
      </c>
      <c r="Q1324" s="530">
        <v>0</v>
      </c>
      <c r="R1324" s="480"/>
      <c r="U1324" s="513"/>
    </row>
    <row r="1325" spans="1:21" s="479" customFormat="1" x14ac:dyDescent="0.15">
      <c r="A1325" s="591"/>
      <c r="B1325" s="532"/>
      <c r="C1325" s="521"/>
      <c r="D1325" s="521"/>
      <c r="E1325" s="521"/>
      <c r="F1325" s="521"/>
      <c r="G1325" s="521"/>
      <c r="H1325" s="521"/>
      <c r="I1325" s="521"/>
      <c r="J1325" s="521"/>
      <c r="K1325" s="521"/>
      <c r="L1325" s="521"/>
      <c r="M1325" s="521"/>
      <c r="N1325" s="521"/>
      <c r="O1325" s="521"/>
      <c r="P1325" s="511">
        <f t="shared" si="1061"/>
        <v>0</v>
      </c>
      <c r="Q1325" s="530">
        <v>0</v>
      </c>
      <c r="R1325" s="480"/>
      <c r="U1325" s="513"/>
    </row>
    <row r="1326" spans="1:21" s="479" customFormat="1" x14ac:dyDescent="0.15">
      <c r="A1326" s="576">
        <v>87</v>
      </c>
      <c r="B1326" s="533" t="s">
        <v>154</v>
      </c>
      <c r="C1326" s="524">
        <f t="shared" ref="C1326:O1326" si="1069">SUM(C1327:C1338)</f>
        <v>38407016.888813324</v>
      </c>
      <c r="D1326" s="524">
        <f t="shared" si="1069"/>
        <v>2983281.7883813581</v>
      </c>
      <c r="E1326" s="524">
        <f t="shared" si="1069"/>
        <v>4014087.2699616477</v>
      </c>
      <c r="F1326" s="524">
        <f t="shared" si="1069"/>
        <v>2697940.4444089783</v>
      </c>
      <c r="G1326" s="524">
        <f t="shared" si="1069"/>
        <v>3403934.5872974177</v>
      </c>
      <c r="H1326" s="524">
        <f t="shared" si="1069"/>
        <v>3866404.378075954</v>
      </c>
      <c r="I1326" s="524">
        <f t="shared" si="1069"/>
        <v>3771930.5460051256</v>
      </c>
      <c r="J1326" s="524">
        <f t="shared" si="1069"/>
        <v>3266047.3193687703</v>
      </c>
      <c r="K1326" s="524">
        <f t="shared" si="1069"/>
        <v>3207669.298095305</v>
      </c>
      <c r="L1326" s="524">
        <f t="shared" si="1069"/>
        <v>3035247.3375169844</v>
      </c>
      <c r="M1326" s="524">
        <f t="shared" si="1069"/>
        <v>2260011.9018270038</v>
      </c>
      <c r="N1326" s="524">
        <f t="shared" si="1069"/>
        <v>2933073.5734477504</v>
      </c>
      <c r="O1326" s="524">
        <f t="shared" si="1069"/>
        <v>2967388.4443164389</v>
      </c>
      <c r="P1326" s="511">
        <f t="shared" si="1061"/>
        <v>1.1058803647756577E-4</v>
      </c>
      <c r="Q1326" s="530">
        <v>2292271</v>
      </c>
      <c r="R1326" s="480"/>
      <c r="T1326" s="512"/>
      <c r="U1326" s="513"/>
    </row>
    <row r="1327" spans="1:21" s="479" customFormat="1" x14ac:dyDescent="0.15">
      <c r="A1327" s="579"/>
      <c r="B1327" s="528" t="s">
        <v>294</v>
      </c>
      <c r="C1327" s="517">
        <f>'FG1'!I102</f>
        <v>26178721.673911169</v>
      </c>
      <c r="D1327" s="517">
        <f t="shared" ref="D1327:O1327" si="1070">$C1327*D$19%</f>
        <v>1980019.7231992355</v>
      </c>
      <c r="E1327" s="517">
        <f t="shared" si="1070"/>
        <v>2836872.6802690914</v>
      </c>
      <c r="F1327" s="517">
        <f t="shared" si="1070"/>
        <v>1833742.4648308386</v>
      </c>
      <c r="G1327" s="517">
        <f t="shared" si="1070"/>
        <v>2252566.8233799646</v>
      </c>
      <c r="H1327" s="517">
        <f t="shared" si="1070"/>
        <v>2750876.2835422973</v>
      </c>
      <c r="I1327" s="517">
        <f t="shared" si="1070"/>
        <v>2696829.6400889689</v>
      </c>
      <c r="J1327" s="517">
        <f t="shared" si="1070"/>
        <v>2090592.0300979158</v>
      </c>
      <c r="K1327" s="517">
        <f t="shared" si="1070"/>
        <v>2219654.1628213446</v>
      </c>
      <c r="L1327" s="517">
        <f t="shared" si="1070"/>
        <v>2085924.366170113</v>
      </c>
      <c r="M1327" s="517">
        <f t="shared" si="1070"/>
        <v>1382807.5482469611</v>
      </c>
      <c r="N1327" s="517">
        <f t="shared" si="1070"/>
        <v>2018137.1341354349</v>
      </c>
      <c r="O1327" s="517">
        <f t="shared" si="1070"/>
        <v>2030698.8171028262</v>
      </c>
      <c r="P1327" s="511">
        <f t="shared" si="1061"/>
        <v>2.6175286620855331E-5</v>
      </c>
      <c r="Q1327" s="530">
        <v>1571441</v>
      </c>
      <c r="R1327" s="480"/>
      <c r="U1327" s="513"/>
    </row>
    <row r="1328" spans="1:21" s="479" customFormat="1" x14ac:dyDescent="0.15">
      <c r="A1328" s="579"/>
      <c r="B1328" s="528" t="s">
        <v>296</v>
      </c>
      <c r="C1328" s="517">
        <f>FFM!J102</f>
        <v>7036732.9380784072</v>
      </c>
      <c r="D1328" s="517">
        <f t="shared" ref="D1328:O1328" si="1071">$C1328*D$20%</f>
        <v>532139.8396967107</v>
      </c>
      <c r="E1328" s="517">
        <f t="shared" si="1071"/>
        <v>762908.92261171481</v>
      </c>
      <c r="F1328" s="517">
        <f t="shared" si="1071"/>
        <v>492744.20425944083</v>
      </c>
      <c r="G1328" s="517">
        <f t="shared" si="1071"/>
        <v>605542.68604332441</v>
      </c>
      <c r="H1328" s="517">
        <f t="shared" si="1071"/>
        <v>739748.23001554958</v>
      </c>
      <c r="I1328" s="517">
        <f t="shared" si="1071"/>
        <v>725192.29474642302</v>
      </c>
      <c r="J1328" s="517">
        <f t="shared" si="1071"/>
        <v>561870.09434277145</v>
      </c>
      <c r="K1328" s="517">
        <f t="shared" si="1071"/>
        <v>596629.32570025953</v>
      </c>
      <c r="L1328" s="517">
        <f t="shared" si="1071"/>
        <v>560612.98822385562</v>
      </c>
      <c r="M1328" s="517">
        <f t="shared" si="1071"/>
        <v>371248.38097444474</v>
      </c>
      <c r="N1328" s="517">
        <f t="shared" si="1071"/>
        <v>542356.41827072843</v>
      </c>
      <c r="O1328" s="517">
        <f t="shared" si="1071"/>
        <v>545739.55310874316</v>
      </c>
      <c r="P1328" s="511">
        <f t="shared" si="1061"/>
        <v>8.4438943304121494E-5</v>
      </c>
      <c r="Q1328" s="530">
        <v>481124</v>
      </c>
      <c r="R1328" s="480"/>
      <c r="U1328" s="513"/>
    </row>
    <row r="1329" spans="1:21" s="479" customFormat="1" ht="18" x14ac:dyDescent="0.15">
      <c r="A1329" s="579"/>
      <c r="B1329" s="528" t="s">
        <v>297</v>
      </c>
      <c r="C1329" s="517">
        <f>IEPS!I101</f>
        <v>633106.22099891223</v>
      </c>
      <c r="D1329" s="517">
        <f t="shared" ref="D1329:O1329" si="1072">$C1329*D$21%</f>
        <v>44469.267590100171</v>
      </c>
      <c r="E1329" s="517">
        <f t="shared" si="1072"/>
        <v>101643.70189704192</v>
      </c>
      <c r="F1329" s="517">
        <f t="shared" si="1072"/>
        <v>42218.709129657269</v>
      </c>
      <c r="G1329" s="517">
        <f t="shared" si="1072"/>
        <v>41030.673315554093</v>
      </c>
      <c r="H1329" s="517">
        <f t="shared" si="1072"/>
        <v>45300.120545594058</v>
      </c>
      <c r="I1329" s="517">
        <f t="shared" si="1072"/>
        <v>46977.127513345346</v>
      </c>
      <c r="J1329" s="517">
        <f t="shared" si="1072"/>
        <v>48377.75719674112</v>
      </c>
      <c r="K1329" s="517">
        <f t="shared" si="1072"/>
        <v>53588.391845483835</v>
      </c>
      <c r="L1329" s="517">
        <f t="shared" si="1072"/>
        <v>53700.683896552968</v>
      </c>
      <c r="M1329" s="517">
        <f t="shared" si="1072"/>
        <v>53103.840869798274</v>
      </c>
      <c r="N1329" s="517">
        <f t="shared" si="1072"/>
        <v>51386.947198420305</v>
      </c>
      <c r="O1329" s="517">
        <f t="shared" si="1072"/>
        <v>51308.999999989763</v>
      </c>
      <c r="P1329" s="511">
        <f t="shared" si="1061"/>
        <v>6.3311017584055662E-7</v>
      </c>
      <c r="Q1329" s="530">
        <v>40586</v>
      </c>
      <c r="R1329" s="480"/>
      <c r="U1329" s="513"/>
    </row>
    <row r="1330" spans="1:21" s="479" customFormat="1" x14ac:dyDescent="0.15">
      <c r="A1330" s="579"/>
      <c r="B1330" s="528" t="s">
        <v>236</v>
      </c>
      <c r="C1330" s="517">
        <f>ISR!C92</f>
        <v>1639267.66</v>
      </c>
      <c r="D1330" s="517">
        <f>ISR!D92</f>
        <v>118103.89920488314</v>
      </c>
      <c r="E1330" s="517">
        <f>ISR!E92</f>
        <v>120267.71322392926</v>
      </c>
      <c r="F1330" s="517">
        <f>ISR!F92</f>
        <v>148583.65383816726</v>
      </c>
      <c r="G1330" s="517">
        <f>ISR!G92</f>
        <v>134901.13624731346</v>
      </c>
      <c r="H1330" s="517">
        <f>ISR!H92</f>
        <v>147433.64827429099</v>
      </c>
      <c r="I1330" s="517">
        <f>ISR!I92</f>
        <v>127227.63759842297</v>
      </c>
      <c r="J1330" s="517">
        <f>ISR!J92</f>
        <v>126271.79776672224</v>
      </c>
      <c r="K1330" s="517">
        <f>ISR!K92</f>
        <v>157006.99235503006</v>
      </c>
      <c r="L1330" s="517">
        <f>ISR!L92</f>
        <v>151306.97335865957</v>
      </c>
      <c r="M1330" s="517">
        <f>ISR!M92</f>
        <v>136054.73604419371</v>
      </c>
      <c r="N1330" s="517">
        <f>ISR!N92</f>
        <v>136054.73604419371</v>
      </c>
      <c r="O1330" s="517">
        <f>ISR!O92</f>
        <v>136054.73604419371</v>
      </c>
      <c r="P1330" s="511">
        <f t="shared" si="1061"/>
        <v>0</v>
      </c>
      <c r="Q1330" s="530">
        <v>0</v>
      </c>
      <c r="R1330" s="480"/>
      <c r="U1330" s="513"/>
    </row>
    <row r="1331" spans="1:21" s="479" customFormat="1" ht="18" x14ac:dyDescent="0.15">
      <c r="A1331" s="579"/>
      <c r="B1331" s="528" t="s">
        <v>298</v>
      </c>
      <c r="C1331" s="517">
        <f>FOFIR!I101</f>
        <v>1224424.3154716932</v>
      </c>
      <c r="D1331" s="517">
        <f t="shared" ref="D1331:O1331" si="1073">$C1331*D$23%</f>
        <v>167397.77709848576</v>
      </c>
      <c r="E1331" s="517">
        <f t="shared" si="1073"/>
        <v>42589.478513249378</v>
      </c>
      <c r="F1331" s="517">
        <f t="shared" si="1073"/>
        <v>42589.478513249378</v>
      </c>
      <c r="G1331" s="517">
        <f t="shared" si="1073"/>
        <v>240346.66956507802</v>
      </c>
      <c r="H1331" s="517">
        <f t="shared" si="1073"/>
        <v>42589.478513249378</v>
      </c>
      <c r="I1331" s="517">
        <f t="shared" si="1073"/>
        <v>42589.478513249378</v>
      </c>
      <c r="J1331" s="517">
        <f t="shared" si="1073"/>
        <v>298952.52945636865</v>
      </c>
      <c r="K1331" s="517">
        <f t="shared" si="1073"/>
        <v>42589.478513249378</v>
      </c>
      <c r="L1331" s="517">
        <f t="shared" si="1073"/>
        <v>42589.478513249378</v>
      </c>
      <c r="M1331" s="517">
        <f t="shared" si="1073"/>
        <v>177011.5112506634</v>
      </c>
      <c r="N1331" s="517">
        <f t="shared" si="1073"/>
        <v>42589.478513249378</v>
      </c>
      <c r="O1331" s="517">
        <f t="shared" si="1073"/>
        <v>42589.478513249378</v>
      </c>
      <c r="P1331" s="511">
        <f t="shared" si="1061"/>
        <v>-4.8978108679875731E-6</v>
      </c>
      <c r="Q1331" s="530">
        <v>47802</v>
      </c>
      <c r="R1331" s="480"/>
      <c r="U1331" s="513"/>
    </row>
    <row r="1332" spans="1:21" s="479" customFormat="1" ht="27" x14ac:dyDescent="0.15">
      <c r="A1332" s="579"/>
      <c r="B1332" s="528" t="s">
        <v>407</v>
      </c>
      <c r="C1332" s="517">
        <f>FCISAN!I101</f>
        <v>77727.984602453784</v>
      </c>
      <c r="D1332" s="517">
        <f t="shared" ref="D1332:O1332" si="1074">$C1332*D$24%</f>
        <v>6477.3320501785738</v>
      </c>
      <c r="E1332" s="517">
        <f t="shared" si="1074"/>
        <v>6477.3320501785738</v>
      </c>
      <c r="F1332" s="517">
        <f t="shared" si="1074"/>
        <v>6477.3320501785738</v>
      </c>
      <c r="G1332" s="517">
        <f t="shared" si="1074"/>
        <v>6477.3320501785738</v>
      </c>
      <c r="H1332" s="517">
        <f t="shared" si="1074"/>
        <v>6477.3320501785738</v>
      </c>
      <c r="I1332" s="517">
        <f t="shared" si="1074"/>
        <v>6477.3320501785738</v>
      </c>
      <c r="J1332" s="517">
        <f t="shared" si="1074"/>
        <v>6477.3320501785738</v>
      </c>
      <c r="K1332" s="517">
        <f t="shared" si="1074"/>
        <v>6477.3320501785738</v>
      </c>
      <c r="L1332" s="517">
        <f t="shared" si="1074"/>
        <v>6477.3320501785738</v>
      </c>
      <c r="M1332" s="517">
        <f t="shared" si="1074"/>
        <v>6477.3320501785738</v>
      </c>
      <c r="N1332" s="517">
        <f t="shared" si="1074"/>
        <v>6477.3320501785738</v>
      </c>
      <c r="O1332" s="517">
        <f t="shared" si="1074"/>
        <v>6477.3320501785738</v>
      </c>
      <c r="P1332" s="511">
        <f t="shared" si="1061"/>
        <v>3.1090348784346133E-7</v>
      </c>
      <c r="Q1332" s="530">
        <v>5685</v>
      </c>
      <c r="R1332" s="480"/>
      <c r="U1332" s="513"/>
    </row>
    <row r="1333" spans="1:21" s="479" customFormat="1" ht="27" x14ac:dyDescent="0.15">
      <c r="A1333" s="579"/>
      <c r="B1333" s="528" t="s">
        <v>242</v>
      </c>
      <c r="C1333" s="517">
        <f>ISAN!I101</f>
        <v>388260.39867277164</v>
      </c>
      <c r="D1333" s="517">
        <f t="shared" ref="D1333:O1333" si="1075">$C1333*D$25%</f>
        <v>37363.69882337554</v>
      </c>
      <c r="E1333" s="517">
        <f t="shared" si="1075"/>
        <v>41731.34986711105</v>
      </c>
      <c r="F1333" s="517">
        <f t="shared" si="1075"/>
        <v>32387.212054195956</v>
      </c>
      <c r="G1333" s="517">
        <f t="shared" si="1075"/>
        <v>30058.673550645351</v>
      </c>
      <c r="H1333" s="517">
        <f t="shared" si="1075"/>
        <v>32139.367619017779</v>
      </c>
      <c r="I1333" s="517">
        <f t="shared" si="1075"/>
        <v>27914.018700416676</v>
      </c>
      <c r="J1333" s="517">
        <f t="shared" si="1075"/>
        <v>30240.559379413335</v>
      </c>
      <c r="K1333" s="517">
        <f t="shared" si="1075"/>
        <v>31185.9657964043</v>
      </c>
      <c r="L1333" s="517">
        <f t="shared" si="1075"/>
        <v>30644.305601937969</v>
      </c>
      <c r="M1333" s="517">
        <f t="shared" si="1075"/>
        <v>31395.834313095012</v>
      </c>
      <c r="N1333" s="517">
        <f t="shared" si="1075"/>
        <v>30398.459812872748</v>
      </c>
      <c r="O1333" s="517">
        <f t="shared" si="1075"/>
        <v>32800.953149626803</v>
      </c>
      <c r="P1333" s="511">
        <f t="shared" si="1061"/>
        <v>4.6591449063271284E-6</v>
      </c>
      <c r="Q1333" s="530">
        <v>24429</v>
      </c>
      <c r="R1333" s="480"/>
      <c r="U1333" s="513"/>
    </row>
    <row r="1334" spans="1:21" s="479" customFormat="1" ht="18" x14ac:dyDescent="0.15">
      <c r="A1334" s="579"/>
      <c r="B1334" s="528" t="s">
        <v>403</v>
      </c>
      <c r="C1334" s="517">
        <f>LOT!I101</f>
        <v>18794.519186170812</v>
      </c>
      <c r="D1334" s="517">
        <f t="shared" ref="D1334:O1334" si="1076">$C1334*D$26%</f>
        <v>1421.0609056630508</v>
      </c>
      <c r="E1334" s="517">
        <f t="shared" si="1076"/>
        <v>1400.9183131644738</v>
      </c>
      <c r="F1334" s="517">
        <f t="shared" si="1076"/>
        <v>1376.9307429113373</v>
      </c>
      <c r="G1334" s="517">
        <f t="shared" si="1076"/>
        <v>1514.9312814555035</v>
      </c>
      <c r="H1334" s="517">
        <f t="shared" si="1076"/>
        <v>1239.4895347461518</v>
      </c>
      <c r="I1334" s="517">
        <f t="shared" si="1076"/>
        <v>1682.05049294941</v>
      </c>
      <c r="J1334" s="517">
        <f t="shared" si="1076"/>
        <v>3860.3040727428947</v>
      </c>
      <c r="K1334" s="517">
        <f t="shared" si="1076"/>
        <v>1405.2891284687139</v>
      </c>
      <c r="L1334" s="517">
        <f t="shared" si="1076"/>
        <v>1705.1438044366009</v>
      </c>
      <c r="M1334" s="517">
        <f t="shared" si="1076"/>
        <v>1055.7176844199234</v>
      </c>
      <c r="N1334" s="517">
        <f t="shared" si="1076"/>
        <v>1066.3416124936089</v>
      </c>
      <c r="O1334" s="517">
        <f t="shared" si="1076"/>
        <v>1066.3416124936089</v>
      </c>
      <c r="P1334" s="511">
        <f t="shared" si="1061"/>
        <v>2.2553740564035252E-7</v>
      </c>
      <c r="Q1334" s="530">
        <v>1195</v>
      </c>
      <c r="R1334" s="480"/>
      <c r="U1334" s="513"/>
    </row>
    <row r="1335" spans="1:21" s="479" customFormat="1" ht="45" x14ac:dyDescent="0.15">
      <c r="A1335" s="579"/>
      <c r="B1335" s="518" t="s">
        <v>301</v>
      </c>
      <c r="C1335" s="517">
        <f>'ENAJENAC DE INMUE'!I101</f>
        <v>73902.280329802219</v>
      </c>
      <c r="D1335" s="517">
        <f t="shared" ref="D1335:O1335" si="1077">$C1335*D$27%</f>
        <v>3191.5230117922802</v>
      </c>
      <c r="E1335" s="517">
        <f t="shared" si="1077"/>
        <v>3238.5309481565268</v>
      </c>
      <c r="F1335" s="517">
        <f t="shared" si="1077"/>
        <v>3194.8712197844338</v>
      </c>
      <c r="G1335" s="517">
        <f t="shared" si="1077"/>
        <v>3176.1565540978459</v>
      </c>
      <c r="H1335" s="517">
        <f t="shared" si="1077"/>
        <v>4405.9357096142803</v>
      </c>
      <c r="I1335" s="517">
        <f t="shared" si="1077"/>
        <v>3171.2937840521449</v>
      </c>
      <c r="J1335" s="517">
        <f t="shared" si="1077"/>
        <v>3644.7013586165303</v>
      </c>
      <c r="K1335" s="517">
        <f t="shared" si="1077"/>
        <v>3640.9497310828574</v>
      </c>
      <c r="L1335" s="517">
        <f t="shared" si="1077"/>
        <v>3636.3373593299502</v>
      </c>
      <c r="M1335" s="517">
        <f t="shared" si="1077"/>
        <v>3175.6366298284552</v>
      </c>
      <c r="N1335" s="517">
        <f t="shared" si="1077"/>
        <v>13203.129266509015</v>
      </c>
      <c r="O1335" s="517">
        <f t="shared" si="1077"/>
        <v>26223.214756790094</v>
      </c>
      <c r="P1335" s="511">
        <f t="shared" si="1061"/>
        <v>1.4780744095332921E-7</v>
      </c>
      <c r="Q1335" s="530">
        <v>17413</v>
      </c>
      <c r="R1335" s="480"/>
      <c r="U1335" s="513"/>
    </row>
    <row r="1336" spans="1:21" s="479" customFormat="1" ht="27" x14ac:dyDescent="0.15">
      <c r="A1336" s="579"/>
      <c r="B1336" s="518" t="s">
        <v>248</v>
      </c>
      <c r="C1336" s="517">
        <f>'IMP BEBIDAS AL'!I101</f>
        <v>28884.916477833918</v>
      </c>
      <c r="D1336" s="517">
        <f t="shared" ref="D1336:O1336" si="1078">$C1336*D$28%</f>
        <v>6568.1583563672166</v>
      </c>
      <c r="E1336" s="517">
        <f t="shared" si="1078"/>
        <v>2259.2079511642905</v>
      </c>
      <c r="F1336" s="517">
        <f t="shared" si="1078"/>
        <v>2427.8647578478649</v>
      </c>
      <c r="G1336" s="517">
        <f t="shared" si="1078"/>
        <v>2410.43592508031</v>
      </c>
      <c r="H1336" s="517">
        <f t="shared" si="1078"/>
        <v>1534.977212645392</v>
      </c>
      <c r="I1336" s="517">
        <f t="shared" si="1078"/>
        <v>2511.9926777727856</v>
      </c>
      <c r="J1336" s="517">
        <f t="shared" si="1078"/>
        <v>2497.8530425938147</v>
      </c>
      <c r="K1336" s="517">
        <f t="shared" si="1078"/>
        <v>2284.468861689415</v>
      </c>
      <c r="L1336" s="517">
        <f t="shared" si="1078"/>
        <v>1656.7611022616786</v>
      </c>
      <c r="M1336" s="517">
        <f t="shared" si="1078"/>
        <v>1540.1062026452162</v>
      </c>
      <c r="N1336" s="517">
        <f t="shared" si="1078"/>
        <v>1550.992610875041</v>
      </c>
      <c r="O1336" s="517">
        <f t="shared" si="1078"/>
        <v>1642.0977768908942</v>
      </c>
      <c r="P1336" s="511">
        <f t="shared" si="1061"/>
        <v>-4.0927261579781771E-12</v>
      </c>
      <c r="Q1336" s="530">
        <v>746</v>
      </c>
      <c r="R1336" s="480"/>
      <c r="U1336" s="513"/>
    </row>
    <row r="1337" spans="1:21" s="479" customFormat="1" ht="18" x14ac:dyDescent="0.15">
      <c r="A1337" s="579"/>
      <c r="B1337" s="518" t="s">
        <v>253</v>
      </c>
      <c r="C1337" s="517">
        <f>'FOND GASO Y D'!Q102</f>
        <v>0</v>
      </c>
      <c r="D1337" s="517">
        <f t="shared" ref="D1337:O1337" si="1079">$C1337*D$29%</f>
        <v>0</v>
      </c>
      <c r="E1337" s="517">
        <f t="shared" si="1079"/>
        <v>0</v>
      </c>
      <c r="F1337" s="517">
        <f t="shared" si="1079"/>
        <v>0</v>
      </c>
      <c r="G1337" s="517">
        <f t="shared" si="1079"/>
        <v>0</v>
      </c>
      <c r="H1337" s="517">
        <f t="shared" si="1079"/>
        <v>0</v>
      </c>
      <c r="I1337" s="517">
        <f t="shared" si="1079"/>
        <v>0</v>
      </c>
      <c r="J1337" s="517">
        <f t="shared" si="1079"/>
        <v>0</v>
      </c>
      <c r="K1337" s="517">
        <f t="shared" si="1079"/>
        <v>0</v>
      </c>
      <c r="L1337" s="517">
        <f t="shared" si="1079"/>
        <v>0</v>
      </c>
      <c r="M1337" s="517">
        <f t="shared" si="1079"/>
        <v>0</v>
      </c>
      <c r="N1337" s="517">
        <f t="shared" si="1079"/>
        <v>0</v>
      </c>
      <c r="O1337" s="517">
        <f t="shared" si="1079"/>
        <v>0</v>
      </c>
      <c r="P1337" s="511">
        <f t="shared" si="1061"/>
        <v>0</v>
      </c>
      <c r="Q1337" s="530">
        <v>34183</v>
      </c>
      <c r="R1337" s="480"/>
      <c r="U1337" s="513"/>
    </row>
    <row r="1338" spans="1:21" s="479" customFormat="1" ht="18" x14ac:dyDescent="0.15">
      <c r="A1338" s="579"/>
      <c r="B1338" s="528" t="s">
        <v>408</v>
      </c>
      <c r="C1338" s="519">
        <f>'FOND GASO Y D'!H102</f>
        <v>1107193.981084113</v>
      </c>
      <c r="D1338" s="517">
        <f t="shared" ref="D1338:O1338" si="1080">$C1338*D$30%</f>
        <v>86129.508444566251</v>
      </c>
      <c r="E1338" s="517">
        <f t="shared" si="1080"/>
        <v>94697.434316846338</v>
      </c>
      <c r="F1338" s="517">
        <f t="shared" si="1080"/>
        <v>92197.72301270657</v>
      </c>
      <c r="G1338" s="517">
        <f t="shared" si="1080"/>
        <v>85909.069384725866</v>
      </c>
      <c r="H1338" s="517">
        <f t="shared" si="1080"/>
        <v>94659.515058771387</v>
      </c>
      <c r="I1338" s="517">
        <f t="shared" si="1080"/>
        <v>91357.679839346529</v>
      </c>
      <c r="J1338" s="517">
        <f t="shared" si="1080"/>
        <v>93262.360604706453</v>
      </c>
      <c r="K1338" s="517">
        <f t="shared" si="1080"/>
        <v>93206.941292113916</v>
      </c>
      <c r="L1338" s="517">
        <f t="shared" si="1080"/>
        <v>96992.967436409337</v>
      </c>
      <c r="M1338" s="517">
        <f t="shared" si="1080"/>
        <v>96141.257560775717</v>
      </c>
      <c r="N1338" s="517">
        <f t="shared" si="1080"/>
        <v>89852.603932795028</v>
      </c>
      <c r="O1338" s="517">
        <f t="shared" si="1080"/>
        <v>92786.920201456815</v>
      </c>
      <c r="P1338" s="511">
        <f t="shared" si="1061"/>
        <v>-1.1072552297264338E-6</v>
      </c>
      <c r="Q1338" s="530">
        <v>67667</v>
      </c>
      <c r="R1338" s="480"/>
      <c r="U1338" s="513"/>
    </row>
    <row r="1339" spans="1:21" s="479" customFormat="1" x14ac:dyDescent="0.15">
      <c r="A1339" s="579"/>
      <c r="B1339" s="534"/>
      <c r="C1339" s="521"/>
      <c r="D1339" s="522"/>
      <c r="E1339" s="522"/>
      <c r="F1339" s="522"/>
      <c r="G1339" s="522"/>
      <c r="H1339" s="522"/>
      <c r="I1339" s="522"/>
      <c r="J1339" s="522"/>
      <c r="K1339" s="522"/>
      <c r="L1339" s="522"/>
      <c r="M1339" s="522"/>
      <c r="N1339" s="522"/>
      <c r="O1339" s="522"/>
      <c r="P1339" s="511">
        <f t="shared" si="1061"/>
        <v>0</v>
      </c>
      <c r="Q1339" s="530">
        <v>0</v>
      </c>
      <c r="R1339" s="480"/>
      <c r="U1339" s="513"/>
    </row>
    <row r="1340" spans="1:21" s="479" customFormat="1" x14ac:dyDescent="0.15">
      <c r="A1340" s="591"/>
      <c r="B1340" s="532"/>
      <c r="C1340" s="521"/>
      <c r="D1340" s="522"/>
      <c r="E1340" s="522"/>
      <c r="F1340" s="522"/>
      <c r="G1340" s="522"/>
      <c r="H1340" s="522"/>
      <c r="I1340" s="522"/>
      <c r="J1340" s="522"/>
      <c r="K1340" s="522"/>
      <c r="L1340" s="522"/>
      <c r="M1340" s="522"/>
      <c r="N1340" s="522"/>
      <c r="O1340" s="522"/>
      <c r="P1340" s="511">
        <f t="shared" si="1061"/>
        <v>0</v>
      </c>
      <c r="Q1340" s="530">
        <v>0</v>
      </c>
      <c r="R1340" s="480"/>
      <c r="U1340" s="513"/>
    </row>
    <row r="1341" spans="1:21" s="479" customFormat="1" x14ac:dyDescent="0.15">
      <c r="A1341" s="576">
        <v>88</v>
      </c>
      <c r="B1341" s="533" t="s">
        <v>99</v>
      </c>
      <c r="C1341" s="524">
        <f t="shared" ref="C1341:O1341" si="1081">SUM(C1342:C1353)</f>
        <v>175225588.14180303</v>
      </c>
      <c r="D1341" s="524">
        <f t="shared" si="1081"/>
        <v>13710330.933570329</v>
      </c>
      <c r="E1341" s="524">
        <f t="shared" si="1081"/>
        <v>18419814.787511166</v>
      </c>
      <c r="F1341" s="524">
        <f t="shared" si="1081"/>
        <v>12242600.978400996</v>
      </c>
      <c r="G1341" s="524">
        <f t="shared" si="1081"/>
        <v>15516592.613550646</v>
      </c>
      <c r="H1341" s="524">
        <f t="shared" si="1081"/>
        <v>17648190.943885896</v>
      </c>
      <c r="I1341" s="524">
        <f t="shared" si="1081"/>
        <v>17296600.904218912</v>
      </c>
      <c r="J1341" s="524">
        <f t="shared" si="1081"/>
        <v>15038782.908136046</v>
      </c>
      <c r="K1341" s="524">
        <f t="shared" si="1081"/>
        <v>14545767.138154274</v>
      </c>
      <c r="L1341" s="524">
        <f t="shared" si="1081"/>
        <v>13770530.007273847</v>
      </c>
      <c r="M1341" s="524">
        <f t="shared" si="1081"/>
        <v>10057625.191371594</v>
      </c>
      <c r="N1341" s="524">
        <f t="shared" si="1081"/>
        <v>13411282.826837249</v>
      </c>
      <c r="O1341" s="524">
        <f t="shared" si="1081"/>
        <v>13567468.908381674</v>
      </c>
      <c r="P1341" s="511">
        <f t="shared" si="1061"/>
        <v>5.1040202379226685E-4</v>
      </c>
      <c r="Q1341" s="530">
        <v>10387334</v>
      </c>
      <c r="R1341" s="480"/>
      <c r="T1341" s="512"/>
      <c r="U1341" s="513"/>
    </row>
    <row r="1342" spans="1:21" s="479" customFormat="1" x14ac:dyDescent="0.15">
      <c r="A1342" s="579"/>
      <c r="B1342" s="528" t="s">
        <v>294</v>
      </c>
      <c r="C1342" s="517">
        <f>'FG1'!I103</f>
        <v>120640726.50259304</v>
      </c>
      <c r="D1342" s="517">
        <f t="shared" ref="D1342:O1342" si="1082">$C1342*D$19%</f>
        <v>9124624.9863403272</v>
      </c>
      <c r="E1342" s="517">
        <f t="shared" si="1082"/>
        <v>13073303.784886057</v>
      </c>
      <c r="F1342" s="517">
        <f t="shared" si="1082"/>
        <v>8450528.1018481664</v>
      </c>
      <c r="G1342" s="517">
        <f t="shared" si="1082"/>
        <v>10380617.566174565</v>
      </c>
      <c r="H1342" s="517">
        <f t="shared" si="1082"/>
        <v>12677002.242474813</v>
      </c>
      <c r="I1342" s="517">
        <f t="shared" si="1082"/>
        <v>12427936.363229305</v>
      </c>
      <c r="J1342" s="517">
        <f t="shared" si="1082"/>
        <v>9634180.9379824661</v>
      </c>
      <c r="K1342" s="517">
        <f t="shared" si="1082"/>
        <v>10228944.48868881</v>
      </c>
      <c r="L1342" s="517">
        <f t="shared" si="1082"/>
        <v>9612670.706339594</v>
      </c>
      <c r="M1342" s="517">
        <f t="shared" si="1082"/>
        <v>6372461.9296454396</v>
      </c>
      <c r="N1342" s="517">
        <f t="shared" si="1082"/>
        <v>9300283.3781067878</v>
      </c>
      <c r="O1342" s="517">
        <f t="shared" si="1082"/>
        <v>9358172.0167560745</v>
      </c>
      <c r="P1342" s="511">
        <f t="shared" si="1061"/>
        <v>1.2062303721904755E-4</v>
      </c>
      <c r="Q1342" s="530">
        <v>7163847</v>
      </c>
      <c r="R1342" s="480"/>
      <c r="U1342" s="513"/>
    </row>
    <row r="1343" spans="1:21" s="479" customFormat="1" x14ac:dyDescent="0.15">
      <c r="A1343" s="579"/>
      <c r="B1343" s="528" t="s">
        <v>296</v>
      </c>
      <c r="C1343" s="517">
        <f>FFM!J103</f>
        <v>32427732.12645087</v>
      </c>
      <c r="D1343" s="517">
        <f t="shared" ref="D1343:O1343" si="1083">$C1343*D$20%</f>
        <v>2452286.9245354282</v>
      </c>
      <c r="E1343" s="517">
        <f t="shared" si="1083"/>
        <v>3515751.7554002507</v>
      </c>
      <c r="F1343" s="517">
        <f t="shared" si="1083"/>
        <v>2270738.0261826129</v>
      </c>
      <c r="G1343" s="517">
        <f t="shared" si="1083"/>
        <v>2790552.9720880343</v>
      </c>
      <c r="H1343" s="517">
        <f t="shared" si="1083"/>
        <v>3409019.1648670346</v>
      </c>
      <c r="I1343" s="517">
        <f t="shared" si="1083"/>
        <v>3341940.312520239</v>
      </c>
      <c r="J1343" s="517">
        <f t="shared" si="1083"/>
        <v>2589294.3599741957</v>
      </c>
      <c r="K1343" s="517">
        <f t="shared" si="1083"/>
        <v>2749477.0830220538</v>
      </c>
      <c r="L1343" s="517">
        <f t="shared" si="1083"/>
        <v>2583501.1742959204</v>
      </c>
      <c r="M1343" s="517">
        <f t="shared" si="1083"/>
        <v>1710842.6817609787</v>
      </c>
      <c r="N1343" s="517">
        <f t="shared" si="1083"/>
        <v>2499368.5000566891</v>
      </c>
      <c r="O1343" s="517">
        <f t="shared" si="1083"/>
        <v>2514959.1713583008</v>
      </c>
      <c r="P1343" s="511">
        <f t="shared" si="1061"/>
        <v>3.8912612944841385E-4</v>
      </c>
      <c r="Q1343" s="530">
        <v>2193337</v>
      </c>
      <c r="R1343" s="480"/>
      <c r="U1343" s="513"/>
    </row>
    <row r="1344" spans="1:21" s="479" customFormat="1" ht="18" x14ac:dyDescent="0.15">
      <c r="A1344" s="579"/>
      <c r="B1344" s="528" t="s">
        <v>297</v>
      </c>
      <c r="C1344" s="517">
        <f>IEPS!I102</f>
        <v>2917575.4036430325</v>
      </c>
      <c r="D1344" s="517">
        <f t="shared" ref="D1344:O1344" si="1084">$C1344*D$21%</f>
        <v>204929.97388998876</v>
      </c>
      <c r="E1344" s="517">
        <f t="shared" si="1084"/>
        <v>468409.80984539026</v>
      </c>
      <c r="F1344" s="517">
        <f t="shared" si="1084"/>
        <v>194558.61156426583</v>
      </c>
      <c r="G1344" s="517">
        <f t="shared" si="1084"/>
        <v>189083.7260633691</v>
      </c>
      <c r="H1344" s="517">
        <f t="shared" si="1084"/>
        <v>208758.83556689406</v>
      </c>
      <c r="I1344" s="517">
        <f t="shared" si="1084"/>
        <v>216487.07155410221</v>
      </c>
      <c r="J1344" s="517">
        <f t="shared" si="1084"/>
        <v>222941.66413011617</v>
      </c>
      <c r="K1344" s="517">
        <f t="shared" si="1084"/>
        <v>246954.09519508912</v>
      </c>
      <c r="L1344" s="517">
        <f t="shared" si="1084"/>
        <v>247471.57633073014</v>
      </c>
      <c r="M1344" s="517">
        <f t="shared" si="1084"/>
        <v>244721.1144383357</v>
      </c>
      <c r="N1344" s="517">
        <f t="shared" si="1084"/>
        <v>236809.06653841256</v>
      </c>
      <c r="O1344" s="517">
        <f t="shared" si="1084"/>
        <v>236449.85852342096</v>
      </c>
      <c r="P1344" s="511">
        <f t="shared" si="1061"/>
        <v>2.9176007956266403E-6</v>
      </c>
      <c r="Q1344" s="530">
        <v>185013</v>
      </c>
      <c r="R1344" s="480"/>
      <c r="U1344" s="513"/>
    </row>
    <row r="1345" spans="1:21" s="479" customFormat="1" x14ac:dyDescent="0.15">
      <c r="A1345" s="579"/>
      <c r="B1345" s="528" t="s">
        <v>236</v>
      </c>
      <c r="C1345" s="517">
        <f>ISR!C93</f>
        <v>6522271.0599999996</v>
      </c>
      <c r="D1345" s="517">
        <f>ISR!D93</f>
        <v>563791.1</v>
      </c>
      <c r="E1345" s="517">
        <f>ISR!E93</f>
        <v>538624.07999999984</v>
      </c>
      <c r="F1345" s="517">
        <f>ISR!F93</f>
        <v>555505.78</v>
      </c>
      <c r="G1345" s="517">
        <f>ISR!G93</f>
        <v>508798.36999999976</v>
      </c>
      <c r="H1345" s="517">
        <f>ISR!H93</f>
        <v>572739.73999999987</v>
      </c>
      <c r="I1345" s="517">
        <f>ISR!I93</f>
        <v>561208.89</v>
      </c>
      <c r="J1345" s="517">
        <f>ISR!J93</f>
        <v>631538.3200000003</v>
      </c>
      <c r="K1345" s="517">
        <f>ISR!K93</f>
        <v>549150.67999999982</v>
      </c>
      <c r="L1345" s="517">
        <f>ISR!L93</f>
        <v>544741.25000000012</v>
      </c>
      <c r="M1345" s="517">
        <f>ISR!M93</f>
        <v>333539.74999999983</v>
      </c>
      <c r="N1345" s="517">
        <f>ISR!N93</f>
        <v>581316.55000000016</v>
      </c>
      <c r="O1345" s="517">
        <f>ISR!O93</f>
        <v>581316.55000000016</v>
      </c>
      <c r="P1345" s="511">
        <f t="shared" si="1061"/>
        <v>0</v>
      </c>
      <c r="Q1345" s="530">
        <v>0</v>
      </c>
      <c r="R1345" s="480"/>
      <c r="U1345" s="513"/>
    </row>
    <row r="1346" spans="1:21" s="479" customFormat="1" ht="18" x14ac:dyDescent="0.15">
      <c r="A1346" s="579"/>
      <c r="B1346" s="528" t="s">
        <v>298</v>
      </c>
      <c r="C1346" s="517">
        <f>FOFIR!I102</f>
        <v>5642576.4713008665</v>
      </c>
      <c r="D1346" s="517">
        <f t="shared" ref="D1346:O1346" si="1085">$C1346*D$23%</f>
        <v>771427.63866144361</v>
      </c>
      <c r="E1346" s="517">
        <f t="shared" si="1085"/>
        <v>196267.24685817503</v>
      </c>
      <c r="F1346" s="517">
        <f t="shared" si="1085"/>
        <v>196267.24685817503</v>
      </c>
      <c r="G1346" s="517">
        <f t="shared" si="1085"/>
        <v>1107601.7076000203</v>
      </c>
      <c r="H1346" s="517">
        <f t="shared" si="1085"/>
        <v>196267.24685817503</v>
      </c>
      <c r="I1346" s="517">
        <f t="shared" si="1085"/>
        <v>196267.24685817503</v>
      </c>
      <c r="J1346" s="517">
        <f t="shared" si="1085"/>
        <v>1377678.0544386229</v>
      </c>
      <c r="K1346" s="517">
        <f t="shared" si="1085"/>
        <v>196267.24685817503</v>
      </c>
      <c r="L1346" s="517">
        <f t="shared" si="1085"/>
        <v>196267.24685817503</v>
      </c>
      <c r="M1346" s="517">
        <f t="shared" si="1085"/>
        <v>815731.09575794986</v>
      </c>
      <c r="N1346" s="517">
        <f t="shared" si="1085"/>
        <v>196267.24685817503</v>
      </c>
      <c r="O1346" s="517">
        <f t="shared" si="1085"/>
        <v>196267.24685817503</v>
      </c>
      <c r="P1346" s="511">
        <f t="shared" si="1061"/>
        <v>-2.2569671273231506E-5</v>
      </c>
      <c r="Q1346" s="530">
        <v>217931</v>
      </c>
      <c r="R1346" s="480"/>
      <c r="U1346" s="513"/>
    </row>
    <row r="1347" spans="1:21" s="479" customFormat="1" ht="27" x14ac:dyDescent="0.15">
      <c r="A1347" s="579"/>
      <c r="B1347" s="528" t="s">
        <v>407</v>
      </c>
      <c r="C1347" s="517">
        <f>FCISAN!I102</f>
        <v>358197.80082567409</v>
      </c>
      <c r="D1347" s="517">
        <f t="shared" ref="D1347:O1347" si="1086">$C1347*D$24%</f>
        <v>29849.816735353445</v>
      </c>
      <c r="E1347" s="517">
        <f t="shared" si="1086"/>
        <v>29849.816735353445</v>
      </c>
      <c r="F1347" s="517">
        <f t="shared" si="1086"/>
        <v>29849.816735353445</v>
      </c>
      <c r="G1347" s="517">
        <f t="shared" si="1086"/>
        <v>29849.816735353445</v>
      </c>
      <c r="H1347" s="517">
        <f t="shared" si="1086"/>
        <v>29849.816735353445</v>
      </c>
      <c r="I1347" s="517">
        <f t="shared" si="1086"/>
        <v>29849.816735353445</v>
      </c>
      <c r="J1347" s="517">
        <f t="shared" si="1086"/>
        <v>29849.816735353445</v>
      </c>
      <c r="K1347" s="517">
        <f t="shared" si="1086"/>
        <v>29849.816735353445</v>
      </c>
      <c r="L1347" s="517">
        <f t="shared" si="1086"/>
        <v>29849.816735353445</v>
      </c>
      <c r="M1347" s="517">
        <f t="shared" si="1086"/>
        <v>29849.816735353445</v>
      </c>
      <c r="N1347" s="517">
        <f t="shared" si="1086"/>
        <v>29849.816735353445</v>
      </c>
      <c r="O1347" s="517">
        <f t="shared" si="1086"/>
        <v>29849.816735353445</v>
      </c>
      <c r="P1347" s="511">
        <f t="shared" si="1061"/>
        <v>1.4328179531730711E-6</v>
      </c>
      <c r="Q1347" s="530">
        <v>25918</v>
      </c>
      <c r="R1347" s="480"/>
      <c r="U1347" s="513"/>
    </row>
    <row r="1348" spans="1:21" s="479" customFormat="1" ht="27" x14ac:dyDescent="0.15">
      <c r="A1348" s="579"/>
      <c r="B1348" s="528" t="s">
        <v>242</v>
      </c>
      <c r="C1348" s="517">
        <f>ISAN!I102</f>
        <v>1789240.0229285741</v>
      </c>
      <c r="D1348" s="517">
        <f t="shared" ref="D1348:O1348" si="1087">$C1348*D$25%</f>
        <v>172185.02213453042</v>
      </c>
      <c r="E1348" s="517">
        <f t="shared" si="1087"/>
        <v>192312.68923720517</v>
      </c>
      <c r="F1348" s="517">
        <f t="shared" si="1087"/>
        <v>149251.62657982414</v>
      </c>
      <c r="G1348" s="517">
        <f t="shared" si="1087"/>
        <v>138520.90487932347</v>
      </c>
      <c r="H1348" s="517">
        <f t="shared" si="1087"/>
        <v>148109.4725399148</v>
      </c>
      <c r="I1348" s="517">
        <f t="shared" si="1087"/>
        <v>128637.58351429513</v>
      </c>
      <c r="J1348" s="517">
        <f t="shared" si="1087"/>
        <v>139359.09853890783</v>
      </c>
      <c r="K1348" s="517">
        <f t="shared" si="1087"/>
        <v>143715.86272345035</v>
      </c>
      <c r="L1348" s="517">
        <f t="shared" si="1087"/>
        <v>141219.70266674767</v>
      </c>
      <c r="M1348" s="517">
        <f t="shared" si="1087"/>
        <v>144683.01041839764</v>
      </c>
      <c r="N1348" s="517">
        <f t="shared" si="1087"/>
        <v>140086.7590887582</v>
      </c>
      <c r="O1348" s="517">
        <f t="shared" si="1087"/>
        <v>151158.29058574844</v>
      </c>
      <c r="P1348" s="511">
        <f t="shared" si="1061"/>
        <v>2.1470943465828896E-5</v>
      </c>
      <c r="Q1348" s="530">
        <v>111361</v>
      </c>
      <c r="R1348" s="480"/>
      <c r="U1348" s="513"/>
    </row>
    <row r="1349" spans="1:21" s="479" customFormat="1" ht="18" x14ac:dyDescent="0.15">
      <c r="A1349" s="579"/>
      <c r="B1349" s="528" t="s">
        <v>403</v>
      </c>
      <c r="C1349" s="517">
        <f>LOT!I102</f>
        <v>86611.732884809608</v>
      </c>
      <c r="D1349" s="517">
        <f t="shared" ref="D1349:O1349" si="1088">$C1349*D$26%</f>
        <v>6548.7468104476775</v>
      </c>
      <c r="E1349" s="517">
        <f t="shared" si="1088"/>
        <v>6455.9226831681672</v>
      </c>
      <c r="F1349" s="517">
        <f t="shared" si="1088"/>
        <v>6345.379550527191</v>
      </c>
      <c r="G1349" s="517">
        <f t="shared" si="1088"/>
        <v>6981.3344086403958</v>
      </c>
      <c r="H1349" s="517">
        <f t="shared" si="1088"/>
        <v>5712.0022828752644</v>
      </c>
      <c r="I1349" s="517">
        <f t="shared" si="1088"/>
        <v>7751.4783193439334</v>
      </c>
      <c r="J1349" s="517">
        <f t="shared" si="1088"/>
        <v>17789.63440834211</v>
      </c>
      <c r="K1349" s="517">
        <f t="shared" si="1088"/>
        <v>6476.0649322924883</v>
      </c>
      <c r="L1349" s="517">
        <f t="shared" si="1088"/>
        <v>7857.9003941063465</v>
      </c>
      <c r="M1349" s="517">
        <f t="shared" si="1088"/>
        <v>4865.1171748000206</v>
      </c>
      <c r="N1349" s="517">
        <f t="shared" si="1088"/>
        <v>4914.0759596133366</v>
      </c>
      <c r="O1349" s="517">
        <f t="shared" si="1088"/>
        <v>4914.0759596133366</v>
      </c>
      <c r="P1349" s="511">
        <f t="shared" si="1061"/>
        <v>1.0393468983238563E-6</v>
      </c>
      <c r="Q1349" s="530">
        <v>5441</v>
      </c>
      <c r="R1349" s="480"/>
      <c r="U1349" s="513"/>
    </row>
    <row r="1350" spans="1:21" s="479" customFormat="1" ht="45" x14ac:dyDescent="0.15">
      <c r="A1350" s="579"/>
      <c r="B1350" s="518" t="s">
        <v>301</v>
      </c>
      <c r="C1350" s="517">
        <f>'ENAJENAC DE INMUE'!I102</f>
        <v>340567.61442521622</v>
      </c>
      <c r="D1350" s="517">
        <f t="shared" ref="D1350:O1350" si="1089">$C1350*D$27%</f>
        <v>14707.65683627975</v>
      </c>
      <c r="E1350" s="517">
        <f t="shared" si="1089"/>
        <v>14924.285885818941</v>
      </c>
      <c r="F1350" s="517">
        <f t="shared" si="1089"/>
        <v>14723.086552431923</v>
      </c>
      <c r="G1350" s="517">
        <f t="shared" si="1089"/>
        <v>14636.842812466075</v>
      </c>
      <c r="H1350" s="517">
        <f t="shared" si="1089"/>
        <v>20304.096263848311</v>
      </c>
      <c r="I1350" s="517">
        <f t="shared" si="1089"/>
        <v>14614.433463436895</v>
      </c>
      <c r="J1350" s="517">
        <f t="shared" si="1089"/>
        <v>16796.061521471296</v>
      </c>
      <c r="K1350" s="517">
        <f t="shared" si="1089"/>
        <v>16778.772706651875</v>
      </c>
      <c r="L1350" s="517">
        <f t="shared" si="1089"/>
        <v>16757.517280733762</v>
      </c>
      <c r="M1350" s="517">
        <f t="shared" si="1089"/>
        <v>14634.446819171715</v>
      </c>
      <c r="N1350" s="517">
        <f t="shared" si="1089"/>
        <v>60844.648056542101</v>
      </c>
      <c r="O1350" s="517">
        <f t="shared" si="1089"/>
        <v>120845.76622568244</v>
      </c>
      <c r="P1350" s="511">
        <f t="shared" si="1061"/>
        <v>6.8113149609416723E-7</v>
      </c>
      <c r="Q1350" s="530">
        <v>79372</v>
      </c>
      <c r="R1350" s="480"/>
      <c r="U1350" s="513"/>
    </row>
    <row r="1351" spans="1:21" s="479" customFormat="1" ht="27" x14ac:dyDescent="0.15">
      <c r="A1351" s="579"/>
      <c r="B1351" s="518" t="s">
        <v>248</v>
      </c>
      <c r="C1351" s="517">
        <f>'IMP BEBIDAS AL'!I102</f>
        <v>133111.82082375459</v>
      </c>
      <c r="D1351" s="517">
        <f t="shared" ref="D1351:O1351" si="1090">$C1351*D$28%</f>
        <v>30268.376193704098</v>
      </c>
      <c r="E1351" s="517">
        <f t="shared" si="1090"/>
        <v>10411.222211071954</v>
      </c>
      <c r="F1351" s="517">
        <f t="shared" si="1090"/>
        <v>11188.451899418073</v>
      </c>
      <c r="G1351" s="517">
        <f t="shared" si="1090"/>
        <v>11108.133728295707</v>
      </c>
      <c r="H1351" s="517">
        <f t="shared" si="1090"/>
        <v>7073.7130867245605</v>
      </c>
      <c r="I1351" s="517">
        <f t="shared" si="1090"/>
        <v>11576.142845726152</v>
      </c>
      <c r="J1351" s="517">
        <f t="shared" si="1090"/>
        <v>11510.982450130037</v>
      </c>
      <c r="K1351" s="517">
        <f t="shared" si="1090"/>
        <v>10527.633342059493</v>
      </c>
      <c r="L1351" s="517">
        <f t="shared" si="1090"/>
        <v>7634.9359417832957</v>
      </c>
      <c r="M1351" s="517">
        <f t="shared" si="1090"/>
        <v>7097.3492706265406</v>
      </c>
      <c r="N1351" s="517">
        <f t="shared" si="1090"/>
        <v>7147.5176560125501</v>
      </c>
      <c r="O1351" s="517">
        <f t="shared" si="1090"/>
        <v>7567.3621982021386</v>
      </c>
      <c r="P1351" s="511">
        <f t="shared" si="1061"/>
        <v>-1.0913936421275139E-11</v>
      </c>
      <c r="Q1351" s="530">
        <v>3397</v>
      </c>
      <c r="R1351" s="480"/>
      <c r="U1351" s="513"/>
    </row>
    <row r="1352" spans="1:21" s="479" customFormat="1" ht="18" x14ac:dyDescent="0.15">
      <c r="A1352" s="579"/>
      <c r="B1352" s="518" t="s">
        <v>253</v>
      </c>
      <c r="C1352" s="517">
        <f>'FOND GASO Y D'!Q103</f>
        <v>0</v>
      </c>
      <c r="D1352" s="517">
        <f t="shared" ref="D1352:O1352" si="1091">$C1352*D$29%</f>
        <v>0</v>
      </c>
      <c r="E1352" s="517">
        <f t="shared" si="1091"/>
        <v>0</v>
      </c>
      <c r="F1352" s="517">
        <f t="shared" si="1091"/>
        <v>0</v>
      </c>
      <c r="G1352" s="517">
        <f t="shared" si="1091"/>
        <v>0</v>
      </c>
      <c r="H1352" s="517">
        <f t="shared" si="1091"/>
        <v>0</v>
      </c>
      <c r="I1352" s="517">
        <f t="shared" si="1091"/>
        <v>0</v>
      </c>
      <c r="J1352" s="517">
        <f t="shared" si="1091"/>
        <v>0</v>
      </c>
      <c r="K1352" s="517">
        <f t="shared" si="1091"/>
        <v>0</v>
      </c>
      <c r="L1352" s="517">
        <f t="shared" si="1091"/>
        <v>0</v>
      </c>
      <c r="M1352" s="517">
        <f t="shared" si="1091"/>
        <v>0</v>
      </c>
      <c r="N1352" s="517">
        <f t="shared" si="1091"/>
        <v>0</v>
      </c>
      <c r="O1352" s="517">
        <f t="shared" si="1091"/>
        <v>0</v>
      </c>
      <c r="P1352" s="511">
        <f t="shared" si="1061"/>
        <v>0</v>
      </c>
      <c r="Q1352" s="530">
        <v>134832</v>
      </c>
      <c r="R1352" s="480"/>
      <c r="U1352" s="513"/>
    </row>
    <row r="1353" spans="1:21" s="479" customFormat="1" ht="18" x14ac:dyDescent="0.15">
      <c r="A1353" s="579"/>
      <c r="B1353" s="518" t="s">
        <v>408</v>
      </c>
      <c r="C1353" s="519">
        <f>'FOND GASO Y D'!H103</f>
        <v>4366977.5859271595</v>
      </c>
      <c r="D1353" s="517">
        <f t="shared" ref="D1353:O1353" si="1092">$C1353*D$30%</f>
        <v>339710.69143282378</v>
      </c>
      <c r="E1353" s="517">
        <f t="shared" si="1092"/>
        <v>373504.17376868019</v>
      </c>
      <c r="F1353" s="517">
        <f t="shared" si="1092"/>
        <v>363644.85063021939</v>
      </c>
      <c r="G1353" s="517">
        <f t="shared" si="1092"/>
        <v>338841.2390605816</v>
      </c>
      <c r="H1353" s="517">
        <f t="shared" si="1092"/>
        <v>373354.61321026192</v>
      </c>
      <c r="I1353" s="517">
        <f t="shared" si="1092"/>
        <v>360331.56517893611</v>
      </c>
      <c r="J1353" s="517">
        <f t="shared" si="1092"/>
        <v>367843.97795644152</v>
      </c>
      <c r="K1353" s="517">
        <f t="shared" si="1092"/>
        <v>367625.39395033795</v>
      </c>
      <c r="L1353" s="517">
        <f t="shared" si="1092"/>
        <v>382558.18043070118</v>
      </c>
      <c r="M1353" s="517">
        <f t="shared" si="1092"/>
        <v>379198.87935053912</v>
      </c>
      <c r="N1353" s="517">
        <f t="shared" si="1092"/>
        <v>354395.26778090134</v>
      </c>
      <c r="O1353" s="517">
        <f t="shared" si="1092"/>
        <v>365968.75318110234</v>
      </c>
      <c r="P1353" s="511">
        <f t="shared" si="1061"/>
        <v>-4.3667969293892384E-6</v>
      </c>
      <c r="Q1353" s="530">
        <v>266885</v>
      </c>
      <c r="R1353" s="480"/>
      <c r="U1353" s="513"/>
    </row>
    <row r="1354" spans="1:21" s="479" customFormat="1" x14ac:dyDescent="0.15">
      <c r="A1354" s="579"/>
      <c r="B1354" s="534"/>
      <c r="C1354" s="521"/>
      <c r="D1354" s="522"/>
      <c r="E1354" s="522"/>
      <c r="F1354" s="522"/>
      <c r="G1354" s="522"/>
      <c r="H1354" s="522"/>
      <c r="I1354" s="522"/>
      <c r="J1354" s="522"/>
      <c r="K1354" s="522"/>
      <c r="L1354" s="522"/>
      <c r="M1354" s="522"/>
      <c r="N1354" s="522"/>
      <c r="O1354" s="522"/>
      <c r="P1354" s="511">
        <f t="shared" si="1061"/>
        <v>0</v>
      </c>
      <c r="Q1354" s="530">
        <v>0</v>
      </c>
      <c r="R1354" s="480"/>
      <c r="U1354" s="513"/>
    </row>
    <row r="1355" spans="1:21" s="479" customFormat="1" x14ac:dyDescent="0.15">
      <c r="A1355" s="591"/>
      <c r="B1355" s="532"/>
      <c r="C1355" s="521"/>
      <c r="D1355" s="522"/>
      <c r="E1355" s="522"/>
      <c r="F1355" s="522"/>
      <c r="G1355" s="522"/>
      <c r="H1355" s="522"/>
      <c r="I1355" s="522"/>
      <c r="J1355" s="522"/>
      <c r="K1355" s="522"/>
      <c r="L1355" s="522"/>
      <c r="M1355" s="522"/>
      <c r="N1355" s="522"/>
      <c r="O1355" s="522"/>
      <c r="P1355" s="511">
        <f t="shared" si="1061"/>
        <v>0</v>
      </c>
      <c r="Q1355" s="530">
        <v>0</v>
      </c>
      <c r="R1355" s="480"/>
      <c r="U1355" s="513"/>
    </row>
    <row r="1356" spans="1:21" s="479" customFormat="1" x14ac:dyDescent="0.15">
      <c r="A1356" s="576">
        <v>89</v>
      </c>
      <c r="B1356" s="533" t="s">
        <v>55</v>
      </c>
      <c r="C1356" s="524">
        <f t="shared" ref="C1356:O1356" si="1093">SUM(C1357:C1368)</f>
        <v>63345168.540293552</v>
      </c>
      <c r="D1356" s="524">
        <f t="shared" si="1093"/>
        <v>4986155.9834502712</v>
      </c>
      <c r="E1356" s="524">
        <f t="shared" si="1093"/>
        <v>6690587.2314547068</v>
      </c>
      <c r="F1356" s="524">
        <f t="shared" si="1093"/>
        <v>4459215.0730627747</v>
      </c>
      <c r="G1356" s="524">
        <f t="shared" si="1093"/>
        <v>5655044.4398154747</v>
      </c>
      <c r="H1356" s="524">
        <f t="shared" si="1093"/>
        <v>6396482.2041809531</v>
      </c>
      <c r="I1356" s="524">
        <f t="shared" si="1093"/>
        <v>6008641.8210484805</v>
      </c>
      <c r="J1356" s="524">
        <f t="shared" si="1093"/>
        <v>5435232.7025706014</v>
      </c>
      <c r="K1356" s="524">
        <f t="shared" si="1093"/>
        <v>5287071.4936883328</v>
      </c>
      <c r="L1356" s="524">
        <f t="shared" si="1093"/>
        <v>4873558.4181639208</v>
      </c>
      <c r="M1356" s="524">
        <f t="shared" si="1093"/>
        <v>3754265.4744233014</v>
      </c>
      <c r="N1356" s="524">
        <f t="shared" si="1093"/>
        <v>4871630.5980210267</v>
      </c>
      <c r="O1356" s="524">
        <f t="shared" si="1093"/>
        <v>4927283.1002300875</v>
      </c>
      <c r="P1356" s="511">
        <f t="shared" si="1061"/>
        <v>1.836111769080162E-4</v>
      </c>
      <c r="Q1356" s="530">
        <v>3861434</v>
      </c>
      <c r="R1356" s="480"/>
      <c r="T1356" s="512"/>
      <c r="U1356" s="513"/>
    </row>
    <row r="1357" spans="1:21" s="479" customFormat="1" x14ac:dyDescent="0.15">
      <c r="A1357" s="579"/>
      <c r="B1357" s="528" t="s">
        <v>294</v>
      </c>
      <c r="C1357" s="517">
        <f>'FG1'!I104</f>
        <v>43361123.638570853</v>
      </c>
      <c r="D1357" s="517">
        <f t="shared" ref="D1357:O1357" si="1094">$C1357*D$19%</f>
        <v>3279605.5167969475</v>
      </c>
      <c r="E1357" s="517">
        <f t="shared" si="1094"/>
        <v>4698853.84658104</v>
      </c>
      <c r="F1357" s="517">
        <f t="shared" si="1094"/>
        <v>3037319.1911073243</v>
      </c>
      <c r="G1357" s="517">
        <f t="shared" si="1094"/>
        <v>3731038.8852966749</v>
      </c>
      <c r="H1357" s="517">
        <f t="shared" si="1094"/>
        <v>4556413.7214523098</v>
      </c>
      <c r="I1357" s="517">
        <f t="shared" si="1094"/>
        <v>4466893.5677098529</v>
      </c>
      <c r="J1357" s="517">
        <f t="shared" si="1094"/>
        <v>3462751.9488556888</v>
      </c>
      <c r="K1357" s="517">
        <f t="shared" si="1094"/>
        <v>3676524.0025024218</v>
      </c>
      <c r="L1357" s="517">
        <f t="shared" si="1094"/>
        <v>3455020.6640665443</v>
      </c>
      <c r="M1357" s="517">
        <f t="shared" si="1094"/>
        <v>2290413.1765776672</v>
      </c>
      <c r="N1357" s="517">
        <f t="shared" si="1094"/>
        <v>3342741.2874802765</v>
      </c>
      <c r="O1357" s="517">
        <f t="shared" si="1094"/>
        <v>3363547.830100744</v>
      </c>
      <c r="P1357" s="511">
        <f t="shared" si="1061"/>
        <v>4.3359119445085526E-5</v>
      </c>
      <c r="Q1357" s="530">
        <v>2678731</v>
      </c>
      <c r="R1357" s="480"/>
      <c r="U1357" s="513"/>
    </row>
    <row r="1358" spans="1:21" s="479" customFormat="1" x14ac:dyDescent="0.15">
      <c r="A1358" s="579"/>
      <c r="B1358" s="528" t="s">
        <v>296</v>
      </c>
      <c r="C1358" s="517">
        <f>FFM!J104</f>
        <v>11655292.062778398</v>
      </c>
      <c r="D1358" s="517">
        <f t="shared" ref="D1358:O1358" si="1095">$C1358*D$20%</f>
        <v>881409.78270506207</v>
      </c>
      <c r="E1358" s="517">
        <f t="shared" si="1095"/>
        <v>1263644.1355080542</v>
      </c>
      <c r="F1358" s="517">
        <f t="shared" si="1095"/>
        <v>816156.82496733207</v>
      </c>
      <c r="G1358" s="517">
        <f t="shared" si="1095"/>
        <v>1002990.5816265936</v>
      </c>
      <c r="H1358" s="517">
        <f t="shared" si="1095"/>
        <v>1225281.9241011436</v>
      </c>
      <c r="I1358" s="517">
        <f t="shared" si="1095"/>
        <v>1201172.2018335119</v>
      </c>
      <c r="J1358" s="517">
        <f t="shared" si="1095"/>
        <v>930653.48770990747</v>
      </c>
      <c r="K1358" s="517">
        <f t="shared" si="1095"/>
        <v>988226.93790536723</v>
      </c>
      <c r="L1358" s="517">
        <f t="shared" si="1095"/>
        <v>928571.2800861703</v>
      </c>
      <c r="M1358" s="517">
        <f t="shared" si="1095"/>
        <v>614917.22737915884</v>
      </c>
      <c r="N1358" s="517">
        <f t="shared" si="1095"/>
        <v>898332.01184326469</v>
      </c>
      <c r="O1358" s="517">
        <f t="shared" si="1095"/>
        <v>903935.66697296908</v>
      </c>
      <c r="P1358" s="511">
        <f t="shared" si="1061"/>
        <v>1.3986206613481045E-4</v>
      </c>
      <c r="Q1358" s="530">
        <v>820141</v>
      </c>
      <c r="R1358" s="480"/>
      <c r="U1358" s="513"/>
    </row>
    <row r="1359" spans="1:21" s="479" customFormat="1" ht="18" x14ac:dyDescent="0.15">
      <c r="A1359" s="579"/>
      <c r="B1359" s="528" t="s">
        <v>297</v>
      </c>
      <c r="C1359" s="517">
        <f>IEPS!I103</f>
        <v>1048645.4406381547</v>
      </c>
      <c r="D1359" s="517">
        <f t="shared" ref="D1359:O1359" si="1096">$C1359*D$21%</f>
        <v>73656.66796529034</v>
      </c>
      <c r="E1359" s="517">
        <f t="shared" si="1096"/>
        <v>168357.53784845513</v>
      </c>
      <c r="F1359" s="517">
        <f t="shared" si="1096"/>
        <v>69928.955631790581</v>
      </c>
      <c r="G1359" s="517">
        <f t="shared" si="1096"/>
        <v>67961.152602137081</v>
      </c>
      <c r="H1359" s="517">
        <f t="shared" si="1096"/>
        <v>75032.851194456394</v>
      </c>
      <c r="I1359" s="517">
        <f t="shared" si="1096"/>
        <v>77810.561556986271</v>
      </c>
      <c r="J1359" s="517">
        <f t="shared" si="1096"/>
        <v>80130.494425751996</v>
      </c>
      <c r="K1359" s="517">
        <f t="shared" si="1096"/>
        <v>88761.128726918716</v>
      </c>
      <c r="L1359" s="517">
        <f t="shared" si="1096"/>
        <v>88947.123657102391</v>
      </c>
      <c r="M1359" s="517">
        <f t="shared" si="1096"/>
        <v>87958.542755471892</v>
      </c>
      <c r="N1359" s="517">
        <f t="shared" si="1096"/>
        <v>85114.766054446402</v>
      </c>
      <c r="O1359" s="517">
        <f t="shared" si="1096"/>
        <v>84985.658218298864</v>
      </c>
      <c r="P1359" s="511">
        <f t="shared" si="1061"/>
        <v>1.0487274266779423E-6</v>
      </c>
      <c r="Q1359" s="530">
        <v>69183</v>
      </c>
      <c r="R1359" s="480"/>
      <c r="U1359" s="513"/>
    </row>
    <row r="1360" spans="1:21" s="479" customFormat="1" x14ac:dyDescent="0.15">
      <c r="A1360" s="579"/>
      <c r="B1360" s="528" t="s">
        <v>236</v>
      </c>
      <c r="C1360" s="517">
        <f>ISR!C94</f>
        <v>2892015.46</v>
      </c>
      <c r="D1360" s="517">
        <f>ISR!D94</f>
        <v>275199.50487681531</v>
      </c>
      <c r="E1360" s="517">
        <f>ISR!E94</f>
        <v>279300.09357793682</v>
      </c>
      <c r="F1360" s="517">
        <f>ISR!F94</f>
        <v>273819.30495266221</v>
      </c>
      <c r="G1360" s="517">
        <f>ISR!G94</f>
        <v>275072.81488377735</v>
      </c>
      <c r="H1360" s="517">
        <f>ISR!H94</f>
        <v>274790.5948992864</v>
      </c>
      <c r="I1360" s="517">
        <f>ISR!I94</f>
        <v>8630.3695257307154</v>
      </c>
      <c r="J1360" s="517">
        <f>ISR!J94</f>
        <v>272326.83503467863</v>
      </c>
      <c r="K1360" s="517">
        <f>ISR!K94</f>
        <v>271745.91506660217</v>
      </c>
      <c r="L1360" s="517">
        <f>ISR!L94</f>
        <v>135911.58253117843</v>
      </c>
      <c r="M1360" s="517">
        <f>ISR!M94</f>
        <v>275072.81488377735</v>
      </c>
      <c r="N1360" s="517">
        <f>ISR!N94</f>
        <v>275072.81488377735</v>
      </c>
      <c r="O1360" s="517">
        <f>ISR!O94</f>
        <v>275072.81488377735</v>
      </c>
      <c r="P1360" s="511">
        <f t="shared" si="1061"/>
        <v>0</v>
      </c>
      <c r="Q1360" s="530">
        <v>0</v>
      </c>
      <c r="R1360" s="480"/>
      <c r="U1360" s="513"/>
    </row>
    <row r="1361" spans="1:21" s="479" customFormat="1" ht="18" x14ac:dyDescent="0.15">
      <c r="A1361" s="579"/>
      <c r="B1361" s="528" t="s">
        <v>298</v>
      </c>
      <c r="C1361" s="517">
        <f>FOFIR!I103</f>
        <v>2028075.1211068744</v>
      </c>
      <c r="D1361" s="517">
        <f t="shared" ref="D1361:O1361" si="1097">$C1361*D$23%</f>
        <v>277269.29526979139</v>
      </c>
      <c r="E1361" s="517">
        <f t="shared" si="1097"/>
        <v>70543.079471892212</v>
      </c>
      <c r="F1361" s="517">
        <f t="shared" si="1097"/>
        <v>70543.079471892212</v>
      </c>
      <c r="G1361" s="517">
        <f t="shared" si="1097"/>
        <v>398098.18771693483</v>
      </c>
      <c r="H1361" s="517">
        <f t="shared" si="1097"/>
        <v>70543.079471892212</v>
      </c>
      <c r="I1361" s="517">
        <f t="shared" si="1097"/>
        <v>70543.079471892212</v>
      </c>
      <c r="J1361" s="517">
        <f t="shared" si="1097"/>
        <v>495169.99925704917</v>
      </c>
      <c r="K1361" s="517">
        <f t="shared" si="1097"/>
        <v>70543.079471892212</v>
      </c>
      <c r="L1361" s="517">
        <f t="shared" si="1097"/>
        <v>70543.079471892212</v>
      </c>
      <c r="M1361" s="517">
        <f t="shared" si="1097"/>
        <v>293193.00309607369</v>
      </c>
      <c r="N1361" s="517">
        <f t="shared" si="1097"/>
        <v>70543.079471892212</v>
      </c>
      <c r="O1361" s="517">
        <f t="shared" si="1097"/>
        <v>70543.079471892212</v>
      </c>
      <c r="P1361" s="511">
        <f t="shared" si="1061"/>
        <v>-8.1122270785272121E-6</v>
      </c>
      <c r="Q1361" s="530">
        <v>81486</v>
      </c>
      <c r="R1361" s="480"/>
      <c r="U1361" s="513"/>
    </row>
    <row r="1362" spans="1:21" s="479" customFormat="1" ht="27" x14ac:dyDescent="0.15">
      <c r="A1362" s="579"/>
      <c r="B1362" s="528" t="s">
        <v>407</v>
      </c>
      <c r="C1362" s="517">
        <f>FCISAN!I103</f>
        <v>128744.74134016746</v>
      </c>
      <c r="D1362" s="517">
        <f t="shared" ref="D1362:O1362" si="1098">$C1362*D$24%</f>
        <v>10728.728444971041</v>
      </c>
      <c r="E1362" s="517">
        <f t="shared" si="1098"/>
        <v>10728.728444971041</v>
      </c>
      <c r="F1362" s="517">
        <f t="shared" si="1098"/>
        <v>10728.728444971041</v>
      </c>
      <c r="G1362" s="517">
        <f t="shared" si="1098"/>
        <v>10728.728444971041</v>
      </c>
      <c r="H1362" s="517">
        <f t="shared" si="1098"/>
        <v>10728.728444971041</v>
      </c>
      <c r="I1362" s="517">
        <f t="shared" si="1098"/>
        <v>10728.728444971041</v>
      </c>
      <c r="J1362" s="517">
        <f t="shared" si="1098"/>
        <v>10728.728444971041</v>
      </c>
      <c r="K1362" s="517">
        <f t="shared" si="1098"/>
        <v>10728.728444971041</v>
      </c>
      <c r="L1362" s="517">
        <f t="shared" si="1098"/>
        <v>10728.728444971041</v>
      </c>
      <c r="M1362" s="517">
        <f t="shared" si="1098"/>
        <v>10728.728444971041</v>
      </c>
      <c r="N1362" s="517">
        <f t="shared" si="1098"/>
        <v>10728.728444971041</v>
      </c>
      <c r="O1362" s="517">
        <f t="shared" si="1098"/>
        <v>10728.728444971041</v>
      </c>
      <c r="P1362" s="511">
        <f t="shared" si="1061"/>
        <v>5.1495226216502488E-7</v>
      </c>
      <c r="Q1362" s="530">
        <v>9697</v>
      </c>
      <c r="R1362" s="480"/>
      <c r="U1362" s="513"/>
    </row>
    <row r="1363" spans="1:21" s="479" customFormat="1" ht="27" x14ac:dyDescent="0.15">
      <c r="A1363" s="579"/>
      <c r="B1363" s="528" t="s">
        <v>242</v>
      </c>
      <c r="C1363" s="517">
        <f>ISAN!I103</f>
        <v>643095.08159019297</v>
      </c>
      <c r="D1363" s="517">
        <f t="shared" ref="D1363:O1363" si="1099">$C1363*D$25%</f>
        <v>61887.359683008486</v>
      </c>
      <c r="E1363" s="517">
        <f t="shared" si="1099"/>
        <v>69121.718154617294</v>
      </c>
      <c r="F1363" s="517">
        <f t="shared" si="1099"/>
        <v>53644.556204213994</v>
      </c>
      <c r="G1363" s="517">
        <f t="shared" si="1099"/>
        <v>49787.6816322882</v>
      </c>
      <c r="H1363" s="517">
        <f t="shared" si="1099"/>
        <v>53234.03909299834</v>
      </c>
      <c r="I1363" s="517">
        <f t="shared" si="1099"/>
        <v>46235.38273545164</v>
      </c>
      <c r="J1363" s="517">
        <f t="shared" si="1099"/>
        <v>50088.948210830582</v>
      </c>
      <c r="K1363" s="517">
        <f t="shared" si="1099"/>
        <v>51654.87205716937</v>
      </c>
      <c r="L1363" s="517">
        <f t="shared" si="1099"/>
        <v>50757.693235571169</v>
      </c>
      <c r="M1363" s="517">
        <f t="shared" si="1099"/>
        <v>52002.487758708317</v>
      </c>
      <c r="N1363" s="517">
        <f t="shared" si="1099"/>
        <v>50350.486581691555</v>
      </c>
      <c r="O1363" s="517">
        <f t="shared" si="1099"/>
        <v>54329.856235926898</v>
      </c>
      <c r="P1363" s="511">
        <f t="shared" si="1061"/>
        <v>7.7170698205009103E-6</v>
      </c>
      <c r="Q1363" s="530">
        <v>41642</v>
      </c>
      <c r="R1363" s="480"/>
      <c r="U1363" s="513"/>
    </row>
    <row r="1364" spans="1:21" s="479" customFormat="1" ht="18" x14ac:dyDescent="0.15">
      <c r="A1364" s="579"/>
      <c r="B1364" s="528" t="s">
        <v>403</v>
      </c>
      <c r="C1364" s="517">
        <f>LOT!I103</f>
        <v>31130.300413835619</v>
      </c>
      <c r="D1364" s="517">
        <f t="shared" ref="D1364:O1364" si="1100">$C1364*D$26%</f>
        <v>2353.7741222025452</v>
      </c>
      <c r="E1364" s="517">
        <f t="shared" si="1100"/>
        <v>2320.410940661005</v>
      </c>
      <c r="F1364" s="517">
        <f t="shared" si="1100"/>
        <v>2280.6791305103316</v>
      </c>
      <c r="G1364" s="517">
        <f t="shared" si="1100"/>
        <v>2509.2563119533147</v>
      </c>
      <c r="H1364" s="517">
        <f t="shared" si="1100"/>
        <v>2053.0283958977129</v>
      </c>
      <c r="I1364" s="517">
        <f t="shared" si="1100"/>
        <v>2786.0642051053073</v>
      </c>
      <c r="J1364" s="517">
        <f t="shared" si="1100"/>
        <v>6394.0143550819594</v>
      </c>
      <c r="K1364" s="517">
        <f t="shared" si="1100"/>
        <v>2327.650540255258</v>
      </c>
      <c r="L1364" s="517">
        <f t="shared" si="1100"/>
        <v>2824.3148098175311</v>
      </c>
      <c r="M1364" s="517">
        <f t="shared" si="1100"/>
        <v>1748.6379056918554</v>
      </c>
      <c r="N1364" s="517">
        <f t="shared" si="1100"/>
        <v>1766.2348481426184</v>
      </c>
      <c r="O1364" s="517">
        <f t="shared" si="1100"/>
        <v>1766.2348481426184</v>
      </c>
      <c r="P1364" s="511">
        <f t="shared" si="1061"/>
        <v>3.7356358006945811E-7</v>
      </c>
      <c r="Q1364" s="530">
        <v>2035</v>
      </c>
      <c r="R1364" s="480"/>
      <c r="U1364" s="513"/>
    </row>
    <row r="1365" spans="1:21" s="479" customFormat="1" ht="45" x14ac:dyDescent="0.15">
      <c r="A1365" s="579"/>
      <c r="B1365" s="518" t="s">
        <v>301</v>
      </c>
      <c r="C1365" s="517">
        <f>'ENAJENAC DE INMUE'!I103</f>
        <v>122408.03636131548</v>
      </c>
      <c r="D1365" s="517">
        <f t="shared" ref="D1365:O1365" si="1101">$C1365*D$27%</f>
        <v>5286.2788960234784</v>
      </c>
      <c r="E1365" s="517">
        <f t="shared" si="1101"/>
        <v>5364.1404878182948</v>
      </c>
      <c r="F1365" s="517">
        <f t="shared" si="1101"/>
        <v>5291.8247000747178</v>
      </c>
      <c r="G1365" s="517">
        <f t="shared" si="1101"/>
        <v>5260.8266649987963</v>
      </c>
      <c r="H1365" s="517">
        <f t="shared" si="1101"/>
        <v>7297.7712750034498</v>
      </c>
      <c r="I1365" s="517">
        <f t="shared" si="1101"/>
        <v>5252.7722162062228</v>
      </c>
      <c r="J1365" s="517">
        <f t="shared" si="1101"/>
        <v>6036.9008160598678</v>
      </c>
      <c r="K1365" s="517">
        <f t="shared" si="1101"/>
        <v>6030.6868080819477</v>
      </c>
      <c r="L1365" s="517">
        <f t="shared" si="1101"/>
        <v>6023.0471064824542</v>
      </c>
      <c r="M1365" s="517">
        <f t="shared" si="1101"/>
        <v>5259.9654884750325</v>
      </c>
      <c r="N1365" s="517">
        <f t="shared" si="1101"/>
        <v>21869.002148858446</v>
      </c>
      <c r="O1365" s="517">
        <f t="shared" si="1101"/>
        <v>43434.819752987954</v>
      </c>
      <c r="P1365" s="511">
        <f t="shared" si="1061"/>
        <v>2.4480686988681555E-7</v>
      </c>
      <c r="Q1365" s="530">
        <v>29678</v>
      </c>
      <c r="R1365" s="480"/>
      <c r="U1365" s="513"/>
    </row>
    <row r="1366" spans="1:21" s="479" customFormat="1" ht="27" x14ac:dyDescent="0.15">
      <c r="A1366" s="579"/>
      <c r="B1366" s="518" t="s">
        <v>248</v>
      </c>
      <c r="C1366" s="517">
        <f>'IMP BEBIDAS AL'!I103</f>
        <v>47843.529194679148</v>
      </c>
      <c r="D1366" s="517">
        <f t="shared" ref="D1366:O1366" si="1102">$C1366*D$28%</f>
        <v>10879.168590266801</v>
      </c>
      <c r="E1366" s="517">
        <f t="shared" si="1102"/>
        <v>3742.0389167933495</v>
      </c>
      <c r="F1366" s="517">
        <f t="shared" si="1102"/>
        <v>4021.3936056199254</v>
      </c>
      <c r="G1366" s="517">
        <f t="shared" si="1102"/>
        <v>3992.5253598009153</v>
      </c>
      <c r="H1366" s="517">
        <f t="shared" si="1102"/>
        <v>2542.4593885436161</v>
      </c>
      <c r="I1366" s="517">
        <f t="shared" si="1102"/>
        <v>4160.7388793410501</v>
      </c>
      <c r="J1366" s="517">
        <f t="shared" si="1102"/>
        <v>4137.318695695848</v>
      </c>
      <c r="K1366" s="517">
        <f t="shared" si="1102"/>
        <v>3783.8798240059564</v>
      </c>
      <c r="L1366" s="517">
        <f t="shared" si="1102"/>
        <v>2744.176124777548</v>
      </c>
      <c r="M1366" s="517">
        <f t="shared" si="1102"/>
        <v>2550.9547907368024</v>
      </c>
      <c r="N1366" s="517">
        <f t="shared" si="1102"/>
        <v>2568.9864921740736</v>
      </c>
      <c r="O1366" s="517">
        <f t="shared" si="1102"/>
        <v>2719.8885269232646</v>
      </c>
      <c r="P1366" s="511">
        <f t="shared" si="1061"/>
        <v>0</v>
      </c>
      <c r="Q1366" s="530">
        <v>1269</v>
      </c>
      <c r="R1366" s="480"/>
      <c r="U1366" s="513"/>
    </row>
    <row r="1367" spans="1:21" s="479" customFormat="1" ht="18" x14ac:dyDescent="0.15">
      <c r="A1367" s="579"/>
      <c r="B1367" s="518" t="s">
        <v>253</v>
      </c>
      <c r="C1367" s="517">
        <f>'FOND GASO Y D'!Q104</f>
        <v>0</v>
      </c>
      <c r="D1367" s="517">
        <f t="shared" ref="D1367:O1367" si="1103">$C1367*D$29%</f>
        <v>0</v>
      </c>
      <c r="E1367" s="517">
        <f t="shared" si="1103"/>
        <v>0</v>
      </c>
      <c r="F1367" s="517">
        <f t="shared" si="1103"/>
        <v>0</v>
      </c>
      <c r="G1367" s="517">
        <f t="shared" si="1103"/>
        <v>0</v>
      </c>
      <c r="H1367" s="517">
        <f t="shared" si="1103"/>
        <v>0</v>
      </c>
      <c r="I1367" s="517">
        <f t="shared" si="1103"/>
        <v>0</v>
      </c>
      <c r="J1367" s="517">
        <f t="shared" si="1103"/>
        <v>0</v>
      </c>
      <c r="K1367" s="517">
        <f t="shared" si="1103"/>
        <v>0</v>
      </c>
      <c r="L1367" s="517">
        <f t="shared" si="1103"/>
        <v>0</v>
      </c>
      <c r="M1367" s="517">
        <f t="shared" si="1103"/>
        <v>0</v>
      </c>
      <c r="N1367" s="517">
        <f t="shared" si="1103"/>
        <v>0</v>
      </c>
      <c r="O1367" s="517">
        <f t="shared" si="1103"/>
        <v>0</v>
      </c>
      <c r="P1367" s="511">
        <f t="shared" si="1061"/>
        <v>0</v>
      </c>
      <c r="Q1367" s="530">
        <v>42818</v>
      </c>
      <c r="R1367" s="480"/>
      <c r="U1367" s="513"/>
    </row>
    <row r="1368" spans="1:21" s="479" customFormat="1" ht="18" x14ac:dyDescent="0.15">
      <c r="A1368" s="579"/>
      <c r="B1368" s="528" t="s">
        <v>408</v>
      </c>
      <c r="C1368" s="519">
        <f>'FOND GASO Y D'!H104</f>
        <v>1386795.1282990784</v>
      </c>
      <c r="D1368" s="517">
        <f t="shared" ref="D1368:O1368" si="1104">$C1368*D$30%</f>
        <v>107879.90609989119</v>
      </c>
      <c r="E1368" s="517">
        <f t="shared" si="1104"/>
        <v>118611.5015224669</v>
      </c>
      <c r="F1368" s="517">
        <f t="shared" si="1104"/>
        <v>115480.53484638289</v>
      </c>
      <c r="G1368" s="517">
        <f t="shared" si="1104"/>
        <v>107603.79927534529</v>
      </c>
      <c r="H1368" s="517">
        <f t="shared" si="1104"/>
        <v>118564.00646445045</v>
      </c>
      <c r="I1368" s="517">
        <f t="shared" si="1104"/>
        <v>114428.3544694304</v>
      </c>
      <c r="J1368" s="517">
        <f t="shared" si="1104"/>
        <v>116814.02676488469</v>
      </c>
      <c r="K1368" s="517">
        <f t="shared" si="1104"/>
        <v>116744.61234064643</v>
      </c>
      <c r="L1368" s="517">
        <f t="shared" si="1104"/>
        <v>121486.72862941169</v>
      </c>
      <c r="M1368" s="517">
        <f t="shared" si="1104"/>
        <v>120419.93534256924</v>
      </c>
      <c r="N1368" s="517">
        <f t="shared" si="1104"/>
        <v>112543.19977153165</v>
      </c>
      <c r="O1368" s="517">
        <f t="shared" si="1104"/>
        <v>116218.52277345442</v>
      </c>
      <c r="P1368" s="511">
        <f t="shared" si="1061"/>
        <v>-1.3871031114831567E-6</v>
      </c>
      <c r="Q1368" s="530">
        <v>84754</v>
      </c>
      <c r="R1368" s="480"/>
      <c r="U1368" s="513"/>
    </row>
    <row r="1369" spans="1:21" s="479" customFormat="1" x14ac:dyDescent="0.15">
      <c r="A1369" s="579"/>
      <c r="B1369" s="534"/>
      <c r="C1369" s="521"/>
      <c r="D1369" s="522"/>
      <c r="E1369" s="522"/>
      <c r="F1369" s="522"/>
      <c r="G1369" s="522"/>
      <c r="H1369" s="522"/>
      <c r="I1369" s="522"/>
      <c r="J1369" s="522"/>
      <c r="K1369" s="522"/>
      <c r="L1369" s="522"/>
      <c r="M1369" s="522"/>
      <c r="N1369" s="522"/>
      <c r="O1369" s="522"/>
      <c r="P1369" s="511">
        <f t="shared" si="1061"/>
        <v>0</v>
      </c>
      <c r="Q1369" s="530">
        <v>0</v>
      </c>
      <c r="R1369" s="480"/>
      <c r="U1369" s="513"/>
    </row>
    <row r="1370" spans="1:21" s="479" customFormat="1" x14ac:dyDescent="0.15">
      <c r="A1370" s="591"/>
      <c r="B1370" s="532"/>
      <c r="C1370" s="521"/>
      <c r="D1370" s="522"/>
      <c r="E1370" s="522"/>
      <c r="F1370" s="522"/>
      <c r="G1370" s="522"/>
      <c r="H1370" s="522"/>
      <c r="I1370" s="522"/>
      <c r="J1370" s="522"/>
      <c r="K1370" s="522"/>
      <c r="L1370" s="522"/>
      <c r="M1370" s="522"/>
      <c r="N1370" s="522"/>
      <c r="O1370" s="522"/>
      <c r="P1370" s="511">
        <f t="shared" si="1061"/>
        <v>0</v>
      </c>
      <c r="Q1370" s="530">
        <v>0</v>
      </c>
      <c r="R1370" s="480"/>
      <c r="U1370" s="513"/>
    </row>
    <row r="1371" spans="1:21" s="479" customFormat="1" x14ac:dyDescent="0.15">
      <c r="A1371" s="576">
        <v>90</v>
      </c>
      <c r="B1371" s="533" t="s">
        <v>147</v>
      </c>
      <c r="C1371" s="524">
        <f t="shared" ref="C1371:O1371" si="1105">SUM(C1372:C1383)</f>
        <v>38530626.812170155</v>
      </c>
      <c r="D1371" s="524">
        <f t="shared" si="1105"/>
        <v>3009390.8440773138</v>
      </c>
      <c r="E1371" s="524">
        <f t="shared" si="1105"/>
        <v>4051769.4295965875</v>
      </c>
      <c r="F1371" s="524">
        <f t="shared" si="1105"/>
        <v>2689427.1398980943</v>
      </c>
      <c r="G1371" s="524">
        <f t="shared" si="1105"/>
        <v>3418608.7598990295</v>
      </c>
      <c r="H1371" s="524">
        <f t="shared" si="1105"/>
        <v>3874597.8274898739</v>
      </c>
      <c r="I1371" s="524">
        <f t="shared" si="1105"/>
        <v>3799315.0664455653</v>
      </c>
      <c r="J1371" s="524">
        <f t="shared" si="1105"/>
        <v>3287697.3504018947</v>
      </c>
      <c r="K1371" s="524">
        <f t="shared" si="1105"/>
        <v>3197400.0008906666</v>
      </c>
      <c r="L1371" s="524">
        <f t="shared" si="1105"/>
        <v>3028496.2015248677</v>
      </c>
      <c r="M1371" s="524">
        <f t="shared" si="1105"/>
        <v>2258411.1014520624</v>
      </c>
      <c r="N1371" s="524">
        <f t="shared" si="1105"/>
        <v>2940358.5640258663</v>
      </c>
      <c r="O1371" s="524">
        <f t="shared" si="1105"/>
        <v>2975154.5263562906</v>
      </c>
      <c r="P1371" s="511">
        <f t="shared" si="1061"/>
        <v>1.1203810572624207E-4</v>
      </c>
      <c r="Q1371" s="530">
        <v>2310924</v>
      </c>
      <c r="R1371" s="480"/>
      <c r="T1371" s="512"/>
      <c r="U1371" s="513"/>
    </row>
    <row r="1372" spans="1:21" s="479" customFormat="1" x14ac:dyDescent="0.15">
      <c r="A1372" s="579"/>
      <c r="B1372" s="528" t="s">
        <v>294</v>
      </c>
      <c r="C1372" s="517">
        <f>'FG1'!I105</f>
        <v>26526443.340763055</v>
      </c>
      <c r="D1372" s="517">
        <f t="shared" ref="D1372:O1372" si="1106">$C1372*D$19%</f>
        <v>2006319.5466637472</v>
      </c>
      <c r="E1372" s="517">
        <f t="shared" si="1106"/>
        <v>2874553.7446586029</v>
      </c>
      <c r="F1372" s="517">
        <f t="shared" si="1106"/>
        <v>1858099.3449868129</v>
      </c>
      <c r="G1372" s="517">
        <f t="shared" si="1106"/>
        <v>2282486.7828140999</v>
      </c>
      <c r="H1372" s="517">
        <f t="shared" si="1106"/>
        <v>2787415.0916067837</v>
      </c>
      <c r="I1372" s="517">
        <f t="shared" si="1106"/>
        <v>2732650.5678389221</v>
      </c>
      <c r="J1372" s="517">
        <f t="shared" si="1106"/>
        <v>2118360.5420393283</v>
      </c>
      <c r="K1372" s="517">
        <f t="shared" si="1106"/>
        <v>2249136.9563261219</v>
      </c>
      <c r="L1372" s="517">
        <f t="shared" si="1106"/>
        <v>2113630.8793668388</v>
      </c>
      <c r="M1372" s="517">
        <f t="shared" si="1106"/>
        <v>1401174.8372078647</v>
      </c>
      <c r="N1372" s="517">
        <f t="shared" si="1106"/>
        <v>2044943.2561821276</v>
      </c>
      <c r="O1372" s="517">
        <f t="shared" si="1106"/>
        <v>2057671.7910452797</v>
      </c>
      <c r="P1372" s="511">
        <f t="shared" si="1061"/>
        <v>2.6525463908910751E-5</v>
      </c>
      <c r="Q1372" s="530">
        <v>1583229</v>
      </c>
      <c r="R1372" s="480"/>
      <c r="U1372" s="513"/>
    </row>
    <row r="1373" spans="1:21" s="479" customFormat="1" x14ac:dyDescent="0.15">
      <c r="A1373" s="579"/>
      <c r="B1373" s="528" t="s">
        <v>296</v>
      </c>
      <c r="C1373" s="517">
        <f>FFM!J105</f>
        <v>7130199.0949403979</v>
      </c>
      <c r="D1373" s="517">
        <f t="shared" ref="D1373:O1373" si="1107">$C1373*D$20%</f>
        <v>539208.04395673901</v>
      </c>
      <c r="E1373" s="517">
        <f t="shared" si="1107"/>
        <v>773042.34186461475</v>
      </c>
      <c r="F1373" s="517">
        <f t="shared" si="1107"/>
        <v>499289.13178382209</v>
      </c>
      <c r="G1373" s="517">
        <f t="shared" si="1107"/>
        <v>613585.87145030277</v>
      </c>
      <c r="H1373" s="517">
        <f t="shared" si="1107"/>
        <v>749574.01489518641</v>
      </c>
      <c r="I1373" s="517">
        <f t="shared" si="1107"/>
        <v>734824.73886109004</v>
      </c>
      <c r="J1373" s="517">
        <f t="shared" si="1107"/>
        <v>569333.19388570287</v>
      </c>
      <c r="K1373" s="517">
        <f t="shared" si="1107"/>
        <v>604554.11844642169</v>
      </c>
      <c r="L1373" s="517">
        <f t="shared" si="1107"/>
        <v>568059.39012048766</v>
      </c>
      <c r="M1373" s="517">
        <f t="shared" si="1107"/>
        <v>376179.5272487544</v>
      </c>
      <c r="N1373" s="517">
        <f t="shared" si="1107"/>
        <v>549560.32532692584</v>
      </c>
      <c r="O1373" s="517">
        <f t="shared" si="1107"/>
        <v>552988.397014788</v>
      </c>
      <c r="P1373" s="511">
        <f t="shared" si="1061"/>
        <v>8.5561885498464108E-5</v>
      </c>
      <c r="Q1373" s="530">
        <v>484734</v>
      </c>
      <c r="R1373" s="480"/>
      <c r="U1373" s="513"/>
    </row>
    <row r="1374" spans="1:21" s="479" customFormat="1" ht="18" x14ac:dyDescent="0.15">
      <c r="A1374" s="579"/>
      <c r="B1374" s="528" t="s">
        <v>297</v>
      </c>
      <c r="C1374" s="517">
        <f>IEPS!I104</f>
        <v>641515.52200307208</v>
      </c>
      <c r="D1374" s="517">
        <f t="shared" ref="D1374:O1374" si="1108">$C1374*D$21%</f>
        <v>45059.935386745194</v>
      </c>
      <c r="E1374" s="517">
        <f t="shared" si="1108"/>
        <v>102993.7952243207</v>
      </c>
      <c r="F1374" s="517">
        <f t="shared" si="1108"/>
        <v>42779.483643163381</v>
      </c>
      <c r="G1374" s="517">
        <f t="shared" si="1108"/>
        <v>41575.667616462153</v>
      </c>
      <c r="H1374" s="517">
        <f t="shared" si="1108"/>
        <v>45901.824235366017</v>
      </c>
      <c r="I1374" s="517">
        <f t="shared" si="1108"/>
        <v>47601.106227291988</v>
      </c>
      <c r="J1374" s="517">
        <f t="shared" si="1108"/>
        <v>49020.339924062406</v>
      </c>
      <c r="K1374" s="517">
        <f t="shared" si="1108"/>
        <v>54300.185384088654</v>
      </c>
      <c r="L1374" s="517">
        <f t="shared" si="1108"/>
        <v>54413.968966320317</v>
      </c>
      <c r="M1374" s="517">
        <f t="shared" si="1108"/>
        <v>53809.198308312378</v>
      </c>
      <c r="N1374" s="517">
        <f t="shared" si="1108"/>
        <v>52069.499813358401</v>
      </c>
      <c r="O1374" s="517">
        <f t="shared" si="1108"/>
        <v>51990.51727293896</v>
      </c>
      <c r="P1374" s="511">
        <f t="shared" si="1061"/>
        <v>6.4149207901209593E-7</v>
      </c>
      <c r="Q1374" s="530">
        <v>40889</v>
      </c>
      <c r="R1374" s="480"/>
      <c r="U1374" s="513"/>
    </row>
    <row r="1375" spans="1:21" s="479" customFormat="1" x14ac:dyDescent="0.15">
      <c r="A1375" s="579"/>
      <c r="B1375" s="528" t="s">
        <v>236</v>
      </c>
      <c r="C1375" s="517">
        <f>ISR!C95</f>
        <v>1264959.48</v>
      </c>
      <c r="D1375" s="517">
        <f>ISR!D95</f>
        <v>105413.28999999996</v>
      </c>
      <c r="E1375" s="517">
        <f>ISR!E95</f>
        <v>105413.28999999996</v>
      </c>
      <c r="F1375" s="517">
        <f>ISR!F95</f>
        <v>105413.28999999996</v>
      </c>
      <c r="G1375" s="517">
        <f>ISR!G95</f>
        <v>105413.28999999996</v>
      </c>
      <c r="H1375" s="517">
        <f>ISR!H95</f>
        <v>105413.28999999996</v>
      </c>
      <c r="I1375" s="517">
        <f>ISR!I95</f>
        <v>105413.28999999996</v>
      </c>
      <c r="J1375" s="517">
        <f>ISR!J95</f>
        <v>105413.28999999996</v>
      </c>
      <c r="K1375" s="517">
        <f>ISR!K95</f>
        <v>105413.28999999996</v>
      </c>
      <c r="L1375" s="517">
        <f>ISR!L95</f>
        <v>105413.28999999996</v>
      </c>
      <c r="M1375" s="517">
        <f>ISR!M95</f>
        <v>105413.28999999996</v>
      </c>
      <c r="N1375" s="517">
        <f>ISR!N95</f>
        <v>105413.28999999996</v>
      </c>
      <c r="O1375" s="517">
        <f>ISR!O95</f>
        <v>105413.28999999996</v>
      </c>
      <c r="P1375" s="511">
        <f t="shared" si="1061"/>
        <v>4.3655745685100555E-10</v>
      </c>
      <c r="Q1375" s="530">
        <v>0</v>
      </c>
      <c r="R1375" s="480"/>
      <c r="U1375" s="513"/>
    </row>
    <row r="1376" spans="1:21" s="479" customFormat="1" ht="18" x14ac:dyDescent="0.15">
      <c r="A1376" s="579"/>
      <c r="B1376" s="528" t="s">
        <v>298</v>
      </c>
      <c r="C1376" s="517">
        <f>FOFIR!I104</f>
        <v>1240687.8622259295</v>
      </c>
      <c r="D1376" s="517">
        <f t="shared" ref="D1376:O1376" si="1109">$C1376*D$23%</f>
        <v>169621.25595299352</v>
      </c>
      <c r="E1376" s="517">
        <f t="shared" si="1109"/>
        <v>43155.177810695903</v>
      </c>
      <c r="F1376" s="517">
        <f t="shared" si="1109"/>
        <v>43155.177810695903</v>
      </c>
      <c r="G1376" s="517">
        <f t="shared" si="1109"/>
        <v>243539.09987563649</v>
      </c>
      <c r="H1376" s="517">
        <f t="shared" si="1109"/>
        <v>43155.177810695903</v>
      </c>
      <c r="I1376" s="517">
        <f t="shared" si="1109"/>
        <v>43155.177810695903</v>
      </c>
      <c r="J1376" s="517">
        <f t="shared" si="1109"/>
        <v>302923.39836077933</v>
      </c>
      <c r="K1376" s="517">
        <f t="shared" si="1109"/>
        <v>43155.177810695903</v>
      </c>
      <c r="L1376" s="517">
        <f t="shared" si="1109"/>
        <v>43155.177810695903</v>
      </c>
      <c r="M1376" s="517">
        <f t="shared" si="1109"/>
        <v>179362.68555591573</v>
      </c>
      <c r="N1376" s="517">
        <f t="shared" si="1109"/>
        <v>43155.177810695903</v>
      </c>
      <c r="O1376" s="517">
        <f t="shared" si="1109"/>
        <v>43155.177810695903</v>
      </c>
      <c r="P1376" s="511">
        <f t="shared" si="1061"/>
        <v>-4.9631198635324836E-6</v>
      </c>
      <c r="Q1376" s="530">
        <v>48164</v>
      </c>
      <c r="R1376" s="480"/>
      <c r="U1376" s="513"/>
    </row>
    <row r="1377" spans="1:21" s="479" customFormat="1" ht="27" x14ac:dyDescent="0.15">
      <c r="A1377" s="579"/>
      <c r="B1377" s="528" t="s">
        <v>407</v>
      </c>
      <c r="C1377" s="517">
        <f>FCISAN!I104</f>
        <v>78760.414860266479</v>
      </c>
      <c r="D1377" s="517">
        <f t="shared" ref="D1377:O1377" si="1110">$C1377*D$24%</f>
        <v>6563.3679049959537</v>
      </c>
      <c r="E1377" s="517">
        <f t="shared" si="1110"/>
        <v>6563.3679049959537</v>
      </c>
      <c r="F1377" s="517">
        <f t="shared" si="1110"/>
        <v>6563.3679049959537</v>
      </c>
      <c r="G1377" s="517">
        <f t="shared" si="1110"/>
        <v>6563.3679049959537</v>
      </c>
      <c r="H1377" s="517">
        <f t="shared" si="1110"/>
        <v>6563.3679049959537</v>
      </c>
      <c r="I1377" s="517">
        <f t="shared" si="1110"/>
        <v>6563.3679049959537</v>
      </c>
      <c r="J1377" s="517">
        <f t="shared" si="1110"/>
        <v>6563.3679049959537</v>
      </c>
      <c r="K1377" s="517">
        <f t="shared" si="1110"/>
        <v>6563.3679049959537</v>
      </c>
      <c r="L1377" s="517">
        <f t="shared" si="1110"/>
        <v>6563.3679049959537</v>
      </c>
      <c r="M1377" s="517">
        <f t="shared" si="1110"/>
        <v>6563.3679049959537</v>
      </c>
      <c r="N1377" s="517">
        <f t="shared" si="1110"/>
        <v>6563.3679049959537</v>
      </c>
      <c r="O1377" s="517">
        <f t="shared" si="1110"/>
        <v>6563.3679049959537</v>
      </c>
      <c r="P1377" s="511">
        <f t="shared" si="1061"/>
        <v>3.1503441277891397E-7</v>
      </c>
      <c r="Q1377" s="530">
        <v>5724</v>
      </c>
      <c r="R1377" s="480"/>
      <c r="U1377" s="513"/>
    </row>
    <row r="1378" spans="1:21" s="479" customFormat="1" ht="27" x14ac:dyDescent="0.15">
      <c r="A1378" s="579"/>
      <c r="B1378" s="528" t="s">
        <v>242</v>
      </c>
      <c r="C1378" s="517">
        <f>ISAN!I104</f>
        <v>393417.50888925785</v>
      </c>
      <c r="D1378" s="517">
        <f t="shared" ref="D1378:O1378" si="1111">$C1378*D$25%</f>
        <v>37859.986143912036</v>
      </c>
      <c r="E1378" s="517">
        <f t="shared" si="1111"/>
        <v>42285.650979156271</v>
      </c>
      <c r="F1378" s="517">
        <f t="shared" si="1111"/>
        <v>32817.398657669182</v>
      </c>
      <c r="G1378" s="517">
        <f t="shared" si="1111"/>
        <v>30457.931092727838</v>
      </c>
      <c r="H1378" s="517">
        <f t="shared" si="1111"/>
        <v>32566.262202307833</v>
      </c>
      <c r="I1378" s="517">
        <f t="shared" si="1111"/>
        <v>28284.789635374771</v>
      </c>
      <c r="J1378" s="517">
        <f t="shared" si="1111"/>
        <v>30642.232839444136</v>
      </c>
      <c r="K1378" s="517">
        <f t="shared" si="1111"/>
        <v>31600.196718150131</v>
      </c>
      <c r="L1378" s="517">
        <f t="shared" si="1111"/>
        <v>31051.341864294649</v>
      </c>
      <c r="M1378" s="517">
        <f t="shared" si="1111"/>
        <v>31812.852835830396</v>
      </c>
      <c r="N1378" s="517">
        <f t="shared" si="1111"/>
        <v>30802.230602276737</v>
      </c>
      <c r="O1378" s="517">
        <f t="shared" si="1111"/>
        <v>33236.635313392864</v>
      </c>
      <c r="P1378" s="511">
        <f t="shared" si="1061"/>
        <v>4.7210196498781443E-6</v>
      </c>
      <c r="Q1378" s="530">
        <v>24610</v>
      </c>
      <c r="R1378" s="480"/>
      <c r="U1378" s="513"/>
    </row>
    <row r="1379" spans="1:21" s="479" customFormat="1" ht="18" x14ac:dyDescent="0.15">
      <c r="A1379" s="579"/>
      <c r="B1379" s="528" t="s">
        <v>403</v>
      </c>
      <c r="C1379" s="517">
        <f>LOT!I104</f>
        <v>19044.159394753184</v>
      </c>
      <c r="D1379" s="517">
        <f t="shared" ref="D1379:O1379" si="1112">$C1379*D$26%</f>
        <v>1439.9362989297756</v>
      </c>
      <c r="E1379" s="517">
        <f t="shared" si="1112"/>
        <v>1419.5261602948531</v>
      </c>
      <c r="F1379" s="517">
        <f t="shared" si="1112"/>
        <v>1395.2199725776538</v>
      </c>
      <c r="G1379" s="517">
        <f t="shared" si="1112"/>
        <v>1535.0535180152333</v>
      </c>
      <c r="H1379" s="517">
        <f t="shared" si="1112"/>
        <v>1255.9531868845568</v>
      </c>
      <c r="I1379" s="517">
        <f t="shared" si="1112"/>
        <v>1704.3925082862506</v>
      </c>
      <c r="J1379" s="517">
        <f t="shared" si="1112"/>
        <v>3911.5789739183401</v>
      </c>
      <c r="K1379" s="517">
        <f t="shared" si="1112"/>
        <v>1423.9550314202299</v>
      </c>
      <c r="L1379" s="517">
        <f t="shared" si="1112"/>
        <v>1727.7925591499275</v>
      </c>
      <c r="M1379" s="517">
        <f t="shared" si="1112"/>
        <v>1069.7403673272154</v>
      </c>
      <c r="N1379" s="517">
        <f t="shared" si="1112"/>
        <v>1080.5054088603092</v>
      </c>
      <c r="O1379" s="517">
        <f t="shared" si="1112"/>
        <v>1080.5054088603092</v>
      </c>
      <c r="P1379" s="511">
        <f t="shared" si="1061"/>
        <v>2.2852873371448368E-7</v>
      </c>
      <c r="Q1379" s="530">
        <v>1200</v>
      </c>
      <c r="R1379" s="480"/>
      <c r="U1379" s="513"/>
    </row>
    <row r="1380" spans="1:21" s="479" customFormat="1" ht="45" x14ac:dyDescent="0.15">
      <c r="A1380" s="579"/>
      <c r="B1380" s="518" t="s">
        <v>301</v>
      </c>
      <c r="C1380" s="517">
        <f>'ENAJENAC DE INMUE'!I104</f>
        <v>74883.89526197988</v>
      </c>
      <c r="D1380" s="517">
        <f t="shared" ref="D1380:O1380" si="1113">$C1380*D$27%</f>
        <v>3233.9147570913838</v>
      </c>
      <c r="E1380" s="517">
        <f t="shared" si="1113"/>
        <v>3281.5470813914299</v>
      </c>
      <c r="F1380" s="517">
        <f t="shared" si="1113"/>
        <v>3237.3074380138241</v>
      </c>
      <c r="G1380" s="517">
        <f t="shared" si="1113"/>
        <v>3218.3441927812914</v>
      </c>
      <c r="H1380" s="517">
        <f t="shared" si="1113"/>
        <v>4464.4580212868213</v>
      </c>
      <c r="I1380" s="517">
        <f t="shared" si="1113"/>
        <v>3213.4168324730531</v>
      </c>
      <c r="J1380" s="517">
        <f t="shared" si="1113"/>
        <v>3693.1124937124987</v>
      </c>
      <c r="K1380" s="517">
        <f t="shared" si="1113"/>
        <v>3689.311034785389</v>
      </c>
      <c r="L1380" s="517">
        <f t="shared" si="1113"/>
        <v>3684.6373987120141</v>
      </c>
      <c r="M1380" s="517">
        <f t="shared" si="1113"/>
        <v>3217.817362562258</v>
      </c>
      <c r="N1380" s="517">
        <f t="shared" si="1113"/>
        <v>13378.501241252407</v>
      </c>
      <c r="O1380" s="517">
        <f t="shared" si="1113"/>
        <v>26571.527407767742</v>
      </c>
      <c r="P1380" s="511">
        <f t="shared" ref="P1380:P1443" si="1114">C1380-D1380-E1380-F1380-G1380-H1380-I1380-J1380-K1380-L1380-M1380-N1380-O1380</f>
        <v>1.4976467355154455E-7</v>
      </c>
      <c r="Q1380" s="530">
        <v>17542</v>
      </c>
      <c r="R1380" s="480"/>
      <c r="U1380" s="513"/>
    </row>
    <row r="1381" spans="1:21" s="479" customFormat="1" ht="27" x14ac:dyDescent="0.15">
      <c r="A1381" s="579"/>
      <c r="B1381" s="518" t="s">
        <v>248</v>
      </c>
      <c r="C1381" s="517">
        <f>'IMP BEBIDAS AL'!I104</f>
        <v>29268.5834662247</v>
      </c>
      <c r="D1381" s="517">
        <f t="shared" ref="D1381:O1381" si="1115">$C1381*D$28%</f>
        <v>6655.4006212979448</v>
      </c>
      <c r="E1381" s="517">
        <f t="shared" si="1115"/>
        <v>2289.2161220875778</v>
      </c>
      <c r="F1381" s="517">
        <f t="shared" si="1115"/>
        <v>2460.1131308206041</v>
      </c>
      <c r="G1381" s="517">
        <f t="shared" si="1115"/>
        <v>2442.4527977201947</v>
      </c>
      <c r="H1381" s="517">
        <f t="shared" si="1115"/>
        <v>1555.3657114273105</v>
      </c>
      <c r="I1381" s="517">
        <f t="shared" si="1115"/>
        <v>2545.3584888278519</v>
      </c>
      <c r="J1381" s="517">
        <f t="shared" si="1115"/>
        <v>2531.0310424343252</v>
      </c>
      <c r="K1381" s="517">
        <f t="shared" si="1115"/>
        <v>2314.8125633549362</v>
      </c>
      <c r="L1381" s="517">
        <f t="shared" si="1115"/>
        <v>1678.7672085654833</v>
      </c>
      <c r="M1381" s="517">
        <f t="shared" si="1115"/>
        <v>1560.5628277846483</v>
      </c>
      <c r="N1381" s="517">
        <f t="shared" si="1115"/>
        <v>1571.5938358945916</v>
      </c>
      <c r="O1381" s="517">
        <f t="shared" si="1115"/>
        <v>1663.909116009233</v>
      </c>
      <c r="P1381" s="511">
        <f t="shared" si="1114"/>
        <v>0</v>
      </c>
      <c r="Q1381" s="530">
        <v>750</v>
      </c>
      <c r="R1381" s="480"/>
      <c r="U1381" s="513"/>
    </row>
    <row r="1382" spans="1:21" s="479" customFormat="1" ht="18" x14ac:dyDescent="0.15">
      <c r="A1382" s="579"/>
      <c r="B1382" s="518" t="s">
        <v>253</v>
      </c>
      <c r="C1382" s="517">
        <f>'FOND GASO Y D'!Q105</f>
        <v>0</v>
      </c>
      <c r="D1382" s="517">
        <f t="shared" ref="D1382:O1382" si="1116">$C1382*D$29%</f>
        <v>0</v>
      </c>
      <c r="E1382" s="517">
        <f t="shared" si="1116"/>
        <v>0</v>
      </c>
      <c r="F1382" s="517">
        <f t="shared" si="1116"/>
        <v>0</v>
      </c>
      <c r="G1382" s="517">
        <f t="shared" si="1116"/>
        <v>0</v>
      </c>
      <c r="H1382" s="517">
        <f t="shared" si="1116"/>
        <v>0</v>
      </c>
      <c r="I1382" s="517">
        <f t="shared" si="1116"/>
        <v>0</v>
      </c>
      <c r="J1382" s="517">
        <f t="shared" si="1116"/>
        <v>0</v>
      </c>
      <c r="K1382" s="517">
        <f t="shared" si="1116"/>
        <v>0</v>
      </c>
      <c r="L1382" s="517">
        <f t="shared" si="1116"/>
        <v>0</v>
      </c>
      <c r="M1382" s="517">
        <f t="shared" si="1116"/>
        <v>0</v>
      </c>
      <c r="N1382" s="517">
        <f t="shared" si="1116"/>
        <v>0</v>
      </c>
      <c r="O1382" s="517">
        <f t="shared" si="1116"/>
        <v>0</v>
      </c>
      <c r="P1382" s="511">
        <f t="shared" si="1114"/>
        <v>0</v>
      </c>
      <c r="Q1382" s="530">
        <v>34935</v>
      </c>
      <c r="R1382" s="480"/>
      <c r="U1382" s="513"/>
    </row>
    <row r="1383" spans="1:21" s="479" customFormat="1" ht="18" x14ac:dyDescent="0.15">
      <c r="A1383" s="579"/>
      <c r="B1383" s="528" t="s">
        <v>408</v>
      </c>
      <c r="C1383" s="519">
        <f>'FOND GASO Y D'!H105</f>
        <v>1131446.9503652228</v>
      </c>
      <c r="D1383" s="517">
        <f t="shared" ref="D1383:O1383" si="1117">$C1383*D$30%</f>
        <v>88016.166390861981</v>
      </c>
      <c r="E1383" s="517">
        <f t="shared" si="1117"/>
        <v>96771.771790427578</v>
      </c>
      <c r="F1383" s="517">
        <f t="shared" si="1117"/>
        <v>94217.304569522821</v>
      </c>
      <c r="G1383" s="517">
        <f t="shared" si="1117"/>
        <v>87790.898636286976</v>
      </c>
      <c r="H1383" s="517">
        <f t="shared" si="1117"/>
        <v>96733.021914938727</v>
      </c>
      <c r="I1383" s="517">
        <f t="shared" si="1117"/>
        <v>93358.860337607213</v>
      </c>
      <c r="J1383" s="517">
        <f t="shared" si="1117"/>
        <v>95305.26293751628</v>
      </c>
      <c r="K1383" s="517">
        <f t="shared" si="1117"/>
        <v>95248.629670631301</v>
      </c>
      <c r="L1383" s="517">
        <f t="shared" si="1117"/>
        <v>99117.588324806493</v>
      </c>
      <c r="M1383" s="517">
        <f t="shared" si="1117"/>
        <v>98247.221832714451</v>
      </c>
      <c r="N1383" s="517">
        <f t="shared" si="1117"/>
        <v>91820.815899478621</v>
      </c>
      <c r="O1383" s="517">
        <f t="shared" si="1117"/>
        <v>94819.408061561742</v>
      </c>
      <c r="P1383" s="511">
        <f t="shared" si="1114"/>
        <v>-1.1314259609207511E-6</v>
      </c>
      <c r="Q1383" s="530">
        <v>69147</v>
      </c>
      <c r="R1383" s="480"/>
      <c r="U1383" s="513"/>
    </row>
    <row r="1384" spans="1:21" s="479" customFormat="1" x14ac:dyDescent="0.15">
      <c r="A1384" s="579"/>
      <c r="B1384" s="534"/>
      <c r="C1384" s="521"/>
      <c r="D1384" s="522"/>
      <c r="E1384" s="522"/>
      <c r="F1384" s="522"/>
      <c r="G1384" s="522"/>
      <c r="H1384" s="522"/>
      <c r="I1384" s="522"/>
      <c r="J1384" s="522"/>
      <c r="K1384" s="522"/>
      <c r="L1384" s="522"/>
      <c r="M1384" s="522"/>
      <c r="N1384" s="522"/>
      <c r="O1384" s="522"/>
      <c r="P1384" s="511">
        <f t="shared" si="1114"/>
        <v>0</v>
      </c>
      <c r="Q1384" s="530">
        <v>0</v>
      </c>
      <c r="R1384" s="480"/>
      <c r="U1384" s="513"/>
    </row>
    <row r="1385" spans="1:21" s="479" customFormat="1" x14ac:dyDescent="0.15">
      <c r="A1385" s="591"/>
      <c r="B1385" s="532"/>
      <c r="C1385" s="521"/>
      <c r="D1385" s="522"/>
      <c r="E1385" s="522"/>
      <c r="F1385" s="522"/>
      <c r="G1385" s="522"/>
      <c r="H1385" s="522"/>
      <c r="I1385" s="522"/>
      <c r="J1385" s="522"/>
      <c r="K1385" s="522"/>
      <c r="L1385" s="522"/>
      <c r="M1385" s="522"/>
      <c r="N1385" s="522"/>
      <c r="O1385" s="522"/>
      <c r="P1385" s="511">
        <f t="shared" si="1114"/>
        <v>0</v>
      </c>
      <c r="Q1385" s="530">
        <v>0</v>
      </c>
      <c r="R1385" s="480"/>
      <c r="U1385" s="513"/>
    </row>
    <row r="1386" spans="1:21" s="479" customFormat="1" x14ac:dyDescent="0.15">
      <c r="A1386" s="576">
        <v>91</v>
      </c>
      <c r="B1386" s="533" t="s">
        <v>151</v>
      </c>
      <c r="C1386" s="524">
        <f t="shared" ref="C1386:O1386" si="1118">SUM(C1387:C1398)</f>
        <v>39201328.629517674</v>
      </c>
      <c r="D1386" s="524">
        <f t="shared" si="1118"/>
        <v>3102446.6011271272</v>
      </c>
      <c r="E1386" s="524">
        <f t="shared" si="1118"/>
        <v>4084049.7666852353</v>
      </c>
      <c r="F1386" s="524">
        <f t="shared" si="1118"/>
        <v>2742971.5549039184</v>
      </c>
      <c r="G1386" s="524">
        <f t="shared" si="1118"/>
        <v>3468515.9548057411</v>
      </c>
      <c r="H1386" s="524">
        <f t="shared" si="1118"/>
        <v>3918486.446942653</v>
      </c>
      <c r="I1386" s="524">
        <f t="shared" si="1118"/>
        <v>3844468.7865731521</v>
      </c>
      <c r="J1386" s="524">
        <f t="shared" si="1118"/>
        <v>3340635.5630507553</v>
      </c>
      <c r="K1386" s="524">
        <f t="shared" si="1118"/>
        <v>3251931.0944026122</v>
      </c>
      <c r="L1386" s="524">
        <f t="shared" si="1118"/>
        <v>3085912.6046716101</v>
      </c>
      <c r="M1386" s="524">
        <f t="shared" si="1118"/>
        <v>2329462.0244823829</v>
      </c>
      <c r="N1386" s="524">
        <f t="shared" si="1118"/>
        <v>2999086.7150069638</v>
      </c>
      <c r="O1386" s="524">
        <f t="shared" si="1118"/>
        <v>3033361.5167548442</v>
      </c>
      <c r="P1386" s="511">
        <f t="shared" si="1114"/>
        <v>1.1067977175116539E-4</v>
      </c>
      <c r="Q1386" s="530">
        <v>2280393</v>
      </c>
      <c r="R1386" s="480"/>
      <c r="T1386" s="512"/>
      <c r="U1386" s="513"/>
    </row>
    <row r="1387" spans="1:21" s="479" customFormat="1" x14ac:dyDescent="0.15">
      <c r="A1387" s="579"/>
      <c r="B1387" s="528" t="s">
        <v>294</v>
      </c>
      <c r="C1387" s="517">
        <f>'FG1'!I106</f>
        <v>26193014.545403659</v>
      </c>
      <c r="D1387" s="517">
        <f t="shared" ref="D1387:O1387" si="1119">$C1387*D$19%</f>
        <v>1981100.7602265128</v>
      </c>
      <c r="E1387" s="517">
        <f t="shared" si="1119"/>
        <v>2838421.5357542713</v>
      </c>
      <c r="F1387" s="517">
        <f t="shared" si="1119"/>
        <v>1834743.6384452961</v>
      </c>
      <c r="G1387" s="517">
        <f t="shared" si="1119"/>
        <v>2253796.6637264816</v>
      </c>
      <c r="H1387" s="517">
        <f t="shared" si="1119"/>
        <v>2752378.1873289743</v>
      </c>
      <c r="I1387" s="517">
        <f t="shared" si="1119"/>
        <v>2698302.0358752515</v>
      </c>
      <c r="J1387" s="517">
        <f t="shared" si="1119"/>
        <v>2091733.436603612</v>
      </c>
      <c r="K1387" s="517">
        <f t="shared" si="1119"/>
        <v>2220866.0337485103</v>
      </c>
      <c r="L1387" s="517">
        <f t="shared" si="1119"/>
        <v>2087063.224257994</v>
      </c>
      <c r="M1387" s="517">
        <f t="shared" si="1119"/>
        <v>1383562.5236362151</v>
      </c>
      <c r="N1387" s="517">
        <f t="shared" si="1119"/>
        <v>2019238.9822345027</v>
      </c>
      <c r="O1387" s="517">
        <f t="shared" si="1119"/>
        <v>2031807.5235398456</v>
      </c>
      <c r="P1387" s="511">
        <f t="shared" si="1114"/>
        <v>2.6192283257842064E-5</v>
      </c>
      <c r="Q1387" s="530">
        <v>1564346</v>
      </c>
      <c r="R1387" s="480"/>
      <c r="U1387" s="513"/>
    </row>
    <row r="1388" spans="1:21" s="479" customFormat="1" x14ac:dyDescent="0.15">
      <c r="A1388" s="579"/>
      <c r="B1388" s="528" t="s">
        <v>296</v>
      </c>
      <c r="C1388" s="517">
        <f>FFM!J106</f>
        <v>7040574.8032719679</v>
      </c>
      <c r="D1388" s="517">
        <f t="shared" ref="D1388:O1388" si="1120">$C1388*D$20%</f>
        <v>532430.37360587402</v>
      </c>
      <c r="E1388" s="517">
        <f t="shared" si="1120"/>
        <v>763325.45017662749</v>
      </c>
      <c r="F1388" s="517">
        <f t="shared" si="1120"/>
        <v>493013.22922092956</v>
      </c>
      <c r="G1388" s="517">
        <f t="shared" si="1120"/>
        <v>605873.29591429676</v>
      </c>
      <c r="H1388" s="517">
        <f t="shared" si="1120"/>
        <v>740152.11247093102</v>
      </c>
      <c r="I1388" s="517">
        <f t="shared" si="1120"/>
        <v>725588.23005622404</v>
      </c>
      <c r="J1388" s="517">
        <f t="shared" si="1120"/>
        <v>562176.86016403453</v>
      </c>
      <c r="K1388" s="517">
        <f t="shared" si="1120"/>
        <v>596955.06911841047</v>
      </c>
      <c r="L1388" s="517">
        <f t="shared" si="1120"/>
        <v>560919.06769929803</v>
      </c>
      <c r="M1388" s="517">
        <f t="shared" si="1120"/>
        <v>371451.07251405303</v>
      </c>
      <c r="N1388" s="517">
        <f t="shared" si="1120"/>
        <v>542652.53015449527</v>
      </c>
      <c r="O1388" s="517">
        <f t="shared" si="1120"/>
        <v>546037.51209230674</v>
      </c>
      <c r="P1388" s="511">
        <f t="shared" si="1114"/>
        <v>8.4486790001392365E-5</v>
      </c>
      <c r="Q1388" s="530">
        <v>478951</v>
      </c>
      <c r="R1388" s="480"/>
      <c r="U1388" s="513"/>
    </row>
    <row r="1389" spans="1:21" s="479" customFormat="1" ht="18" x14ac:dyDescent="0.15">
      <c r="A1389" s="579"/>
      <c r="B1389" s="528" t="s">
        <v>297</v>
      </c>
      <c r="C1389" s="517">
        <f>IEPS!I105</f>
        <v>633451.87981184234</v>
      </c>
      <c r="D1389" s="517">
        <f t="shared" ref="D1389:O1389" si="1121">$C1389*D$21%</f>
        <v>44493.546603221876</v>
      </c>
      <c r="E1389" s="517">
        <f t="shared" si="1121"/>
        <v>101699.19659946975</v>
      </c>
      <c r="F1389" s="517">
        <f t="shared" si="1121"/>
        <v>42241.759398944108</v>
      </c>
      <c r="G1389" s="517">
        <f t="shared" si="1121"/>
        <v>41053.074949532042</v>
      </c>
      <c r="H1389" s="517">
        <f t="shared" si="1121"/>
        <v>45324.853181878498</v>
      </c>
      <c r="I1389" s="517">
        <f t="shared" si="1121"/>
        <v>47002.775749916946</v>
      </c>
      <c r="J1389" s="517">
        <f t="shared" si="1121"/>
        <v>48404.170139104033</v>
      </c>
      <c r="K1389" s="517">
        <f t="shared" si="1121"/>
        <v>53617.649652938198</v>
      </c>
      <c r="L1389" s="517">
        <f t="shared" si="1121"/>
        <v>53730.00301241938</v>
      </c>
      <c r="M1389" s="517">
        <f t="shared" si="1121"/>
        <v>53132.834125571564</v>
      </c>
      <c r="N1389" s="517">
        <f t="shared" si="1121"/>
        <v>51415.003076848865</v>
      </c>
      <c r="O1389" s="517">
        <f t="shared" si="1121"/>
        <v>51337.013321363615</v>
      </c>
      <c r="P1389" s="511">
        <f t="shared" si="1114"/>
        <v>6.3343031797558069E-7</v>
      </c>
      <c r="Q1389" s="530">
        <v>40400</v>
      </c>
      <c r="R1389" s="480"/>
      <c r="U1389" s="513"/>
    </row>
    <row r="1390" spans="1:21" s="479" customFormat="1" x14ac:dyDescent="0.15">
      <c r="A1390" s="579"/>
      <c r="B1390" s="528" t="s">
        <v>236</v>
      </c>
      <c r="C1390" s="517">
        <f>ISR!C96</f>
        <v>2435693.5299999998</v>
      </c>
      <c r="D1390" s="517">
        <f>ISR!D96</f>
        <v>237430.45000000007</v>
      </c>
      <c r="E1390" s="517">
        <f>ISR!E96</f>
        <v>190002.04000000004</v>
      </c>
      <c r="F1390" s="517">
        <f>ISR!F96</f>
        <v>194070.53999999995</v>
      </c>
      <c r="G1390" s="517">
        <f>ISR!G96</f>
        <v>199419.32999999987</v>
      </c>
      <c r="H1390" s="517">
        <f>ISR!H96</f>
        <v>199382.25000000006</v>
      </c>
      <c r="I1390" s="517">
        <f>ISR!I96</f>
        <v>199606.78999999995</v>
      </c>
      <c r="J1390" s="517">
        <f>ISR!J96</f>
        <v>201014.79999999987</v>
      </c>
      <c r="K1390" s="517">
        <f>ISR!K96</f>
        <v>201471.09000000003</v>
      </c>
      <c r="L1390" s="517">
        <f>ISR!L96</f>
        <v>202341.44000000006</v>
      </c>
      <c r="M1390" s="517">
        <f>ISR!M96</f>
        <v>206271.9199999999</v>
      </c>
      <c r="N1390" s="517">
        <f>ISR!N96</f>
        <v>202341.44000000006</v>
      </c>
      <c r="O1390" s="517">
        <f>ISR!O96</f>
        <v>202341.44000000006</v>
      </c>
      <c r="P1390" s="511">
        <f t="shared" si="1114"/>
        <v>-3.4924596548080444E-10</v>
      </c>
      <c r="Q1390" s="530">
        <v>0</v>
      </c>
      <c r="R1390" s="480"/>
      <c r="U1390" s="513"/>
    </row>
    <row r="1391" spans="1:21" s="479" customFormat="1" ht="18" x14ac:dyDescent="0.15">
      <c r="A1391" s="579"/>
      <c r="B1391" s="528" t="s">
        <v>298</v>
      </c>
      <c r="C1391" s="517">
        <f>FOFIR!I105</f>
        <v>1225092.817914681</v>
      </c>
      <c r="D1391" s="517">
        <f t="shared" ref="D1391:O1391" si="1122">$C1391*D$23%</f>
        <v>167489.17174127998</v>
      </c>
      <c r="E1391" s="517">
        <f t="shared" si="1122"/>
        <v>42612.731212556253</v>
      </c>
      <c r="F1391" s="517">
        <f t="shared" si="1122"/>
        <v>42612.731212556253</v>
      </c>
      <c r="G1391" s="517">
        <f t="shared" si="1122"/>
        <v>240477.892323184</v>
      </c>
      <c r="H1391" s="517">
        <f t="shared" si="1122"/>
        <v>42612.731212556253</v>
      </c>
      <c r="I1391" s="517">
        <f t="shared" si="1122"/>
        <v>42612.731212556253</v>
      </c>
      <c r="J1391" s="517">
        <f t="shared" si="1122"/>
        <v>299115.74942329817</v>
      </c>
      <c r="K1391" s="517">
        <f t="shared" si="1122"/>
        <v>42612.731212556253</v>
      </c>
      <c r="L1391" s="517">
        <f t="shared" si="1122"/>
        <v>42612.731212556253</v>
      </c>
      <c r="M1391" s="517">
        <f t="shared" si="1122"/>
        <v>177108.15473136923</v>
      </c>
      <c r="N1391" s="517">
        <f t="shared" si="1122"/>
        <v>42612.731212556253</v>
      </c>
      <c r="O1391" s="517">
        <f t="shared" si="1122"/>
        <v>42612.731212556253</v>
      </c>
      <c r="P1391" s="511">
        <f t="shared" si="1114"/>
        <v>-4.9004011088982224E-6</v>
      </c>
      <c r="Q1391" s="530">
        <v>47586</v>
      </c>
      <c r="R1391" s="480"/>
      <c r="U1391" s="513"/>
    </row>
    <row r="1392" spans="1:21" s="479" customFormat="1" ht="27" x14ac:dyDescent="0.15">
      <c r="A1392" s="579"/>
      <c r="B1392" s="528" t="s">
        <v>407</v>
      </c>
      <c r="C1392" s="517">
        <f>FCISAN!I105</f>
        <v>77770.421972357915</v>
      </c>
      <c r="D1392" s="517">
        <f t="shared" ref="D1392:O1392" si="1123">$C1392*D$24%</f>
        <v>6480.8684976705708</v>
      </c>
      <c r="E1392" s="517">
        <f t="shared" si="1123"/>
        <v>6480.8684976705708</v>
      </c>
      <c r="F1392" s="517">
        <f t="shared" si="1123"/>
        <v>6480.8684976705708</v>
      </c>
      <c r="G1392" s="517">
        <f t="shared" si="1123"/>
        <v>6480.8684976705708</v>
      </c>
      <c r="H1392" s="517">
        <f t="shared" si="1123"/>
        <v>6480.8684976705708</v>
      </c>
      <c r="I1392" s="517">
        <f t="shared" si="1123"/>
        <v>6480.8684976705708</v>
      </c>
      <c r="J1392" s="517">
        <f t="shared" si="1123"/>
        <v>6480.8684976705708</v>
      </c>
      <c r="K1392" s="517">
        <f t="shared" si="1123"/>
        <v>6480.8684976705708</v>
      </c>
      <c r="L1392" s="517">
        <f t="shared" si="1123"/>
        <v>6480.8684976705708</v>
      </c>
      <c r="M1392" s="517">
        <f t="shared" si="1123"/>
        <v>6480.8684976705708</v>
      </c>
      <c r="N1392" s="517">
        <f t="shared" si="1123"/>
        <v>6480.8684976705708</v>
      </c>
      <c r="O1392" s="517">
        <f t="shared" si="1123"/>
        <v>6480.8684976705708</v>
      </c>
      <c r="P1392" s="511">
        <f t="shared" si="1114"/>
        <v>3.1107447284739465E-7</v>
      </c>
      <c r="Q1392" s="530">
        <v>5663</v>
      </c>
      <c r="R1392" s="480"/>
      <c r="U1392" s="513"/>
    </row>
    <row r="1393" spans="1:21" s="479" customFormat="1" ht="27" x14ac:dyDescent="0.15">
      <c r="A1393" s="579"/>
      <c r="B1393" s="528" t="s">
        <v>242</v>
      </c>
      <c r="C1393" s="517">
        <f>ISAN!I105</f>
        <v>388472.37831230403</v>
      </c>
      <c r="D1393" s="517">
        <f t="shared" ref="D1393:O1393" si="1124">$C1393*D$25%</f>
        <v>37384.098388809587</v>
      </c>
      <c r="E1393" s="517">
        <f t="shared" si="1124"/>
        <v>41754.134051468427</v>
      </c>
      <c r="F1393" s="517">
        <f t="shared" si="1124"/>
        <v>32404.894592925571</v>
      </c>
      <c r="G1393" s="517">
        <f t="shared" si="1124"/>
        <v>30075.084770553098</v>
      </c>
      <c r="H1393" s="517">
        <f t="shared" si="1124"/>
        <v>32156.91484141277</v>
      </c>
      <c r="I1393" s="517">
        <f t="shared" si="1124"/>
        <v>27929.258996986304</v>
      </c>
      <c r="J1393" s="517">
        <f t="shared" si="1124"/>
        <v>30257.069904046853</v>
      </c>
      <c r="K1393" s="517">
        <f t="shared" si="1124"/>
        <v>31202.992487281324</v>
      </c>
      <c r="L1393" s="517">
        <f t="shared" si="1124"/>
        <v>30661.036561050525</v>
      </c>
      <c r="M1393" s="517">
        <f t="shared" si="1124"/>
        <v>31412.975586485911</v>
      </c>
      <c r="N1393" s="517">
        <f t="shared" si="1124"/>
        <v>30415.056546857209</v>
      </c>
      <c r="O1393" s="517">
        <f t="shared" si="1124"/>
        <v>32818.861579764787</v>
      </c>
      <c r="P1393" s="511">
        <f t="shared" si="1114"/>
        <v>4.6616405597887933E-6</v>
      </c>
      <c r="Q1393" s="530">
        <v>24318</v>
      </c>
      <c r="R1393" s="480"/>
      <c r="U1393" s="513"/>
    </row>
    <row r="1394" spans="1:21" s="479" customFormat="1" ht="18" x14ac:dyDescent="0.15">
      <c r="A1394" s="579"/>
      <c r="B1394" s="528" t="s">
        <v>403</v>
      </c>
      <c r="C1394" s="517">
        <f>LOT!I105</f>
        <v>18804.780483526622</v>
      </c>
      <c r="D1394" s="517">
        <f t="shared" ref="D1394:O1394" si="1125">$C1394*D$26%</f>
        <v>1421.8367663471834</v>
      </c>
      <c r="E1394" s="517">
        <f t="shared" si="1125"/>
        <v>1401.6831765398115</v>
      </c>
      <c r="F1394" s="517">
        <f t="shared" si="1125"/>
        <v>1377.6825097243861</v>
      </c>
      <c r="G1394" s="517">
        <f t="shared" si="1125"/>
        <v>1515.7583928169938</v>
      </c>
      <c r="H1394" s="517">
        <f t="shared" si="1125"/>
        <v>1240.1662623899642</v>
      </c>
      <c r="I1394" s="517">
        <f t="shared" si="1125"/>
        <v>1682.9688468644356</v>
      </c>
      <c r="J1394" s="517">
        <f t="shared" si="1125"/>
        <v>3862.4116939904447</v>
      </c>
      <c r="K1394" s="517">
        <f t="shared" si="1125"/>
        <v>1406.0563781905751</v>
      </c>
      <c r="L1394" s="517">
        <f t="shared" si="1125"/>
        <v>1706.074766672901</v>
      </c>
      <c r="M1394" s="517">
        <f t="shared" si="1125"/>
        <v>1056.2940776213834</v>
      </c>
      <c r="N1394" s="517">
        <f t="shared" si="1125"/>
        <v>1066.9238060714431</v>
      </c>
      <c r="O1394" s="517">
        <f t="shared" si="1125"/>
        <v>1066.9238060714431</v>
      </c>
      <c r="P1394" s="511">
        <f t="shared" si="1114"/>
        <v>2.2565609469893388E-7</v>
      </c>
      <c r="Q1394" s="530">
        <v>1188</v>
      </c>
      <c r="R1394" s="480"/>
      <c r="U1394" s="513"/>
    </row>
    <row r="1395" spans="1:21" s="479" customFormat="1" ht="45" x14ac:dyDescent="0.15">
      <c r="A1395" s="579"/>
      <c r="B1395" s="518" t="s">
        <v>301</v>
      </c>
      <c r="C1395" s="517">
        <f>'ENAJENAC DE INMUE'!I105</f>
        <v>73942.628969010548</v>
      </c>
      <c r="D1395" s="517">
        <f t="shared" ref="D1395:O1395" si="1126">$C1395*D$27%</f>
        <v>3193.2654967325716</v>
      </c>
      <c r="E1395" s="517">
        <f t="shared" si="1126"/>
        <v>3240.2990981541866</v>
      </c>
      <c r="F1395" s="517">
        <f t="shared" si="1126"/>
        <v>3196.6155327554125</v>
      </c>
      <c r="G1395" s="517">
        <f t="shared" si="1126"/>
        <v>3177.8906493693116</v>
      </c>
      <c r="H1395" s="517">
        <f t="shared" si="1126"/>
        <v>4408.3412309260584</v>
      </c>
      <c r="I1395" s="517">
        <f t="shared" si="1126"/>
        <v>3173.025224383151</v>
      </c>
      <c r="J1395" s="517">
        <f t="shared" si="1126"/>
        <v>3646.6912666340454</v>
      </c>
      <c r="K1395" s="517">
        <f t="shared" si="1126"/>
        <v>3642.9375908135657</v>
      </c>
      <c r="L1395" s="517">
        <f t="shared" si="1126"/>
        <v>3638.3227008308704</v>
      </c>
      <c r="M1395" s="517">
        <f t="shared" si="1126"/>
        <v>3177.3704412353818</v>
      </c>
      <c r="N1395" s="517">
        <f t="shared" si="1126"/>
        <v>13210.3378167299</v>
      </c>
      <c r="O1395" s="517">
        <f t="shared" si="1126"/>
        <v>26237.531920298206</v>
      </c>
      <c r="P1395" s="511">
        <f t="shared" si="1114"/>
        <v>1.478983904235065E-7</v>
      </c>
      <c r="Q1395" s="530">
        <v>17334</v>
      </c>
      <c r="R1395" s="480"/>
      <c r="U1395" s="513"/>
    </row>
    <row r="1396" spans="1:21" s="479" customFormat="1" ht="27" x14ac:dyDescent="0.15">
      <c r="A1396" s="579"/>
      <c r="B1396" s="518" t="s">
        <v>248</v>
      </c>
      <c r="C1396" s="517">
        <f>'IMP BEBIDAS AL'!I105</f>
        <v>28900.686858237954</v>
      </c>
      <c r="D1396" s="517">
        <f t="shared" ref="D1396:O1396" si="1127">$C1396*D$28%</f>
        <v>6571.7443925571888</v>
      </c>
      <c r="E1396" s="517">
        <f t="shared" si="1127"/>
        <v>2260.4414173863247</v>
      </c>
      <c r="F1396" s="517">
        <f t="shared" si="1127"/>
        <v>2429.1903061086741</v>
      </c>
      <c r="G1396" s="517">
        <f t="shared" si="1127"/>
        <v>2411.7519576714808</v>
      </c>
      <c r="H1396" s="517">
        <f t="shared" si="1127"/>
        <v>1535.8152685412269</v>
      </c>
      <c r="I1396" s="517">
        <f t="shared" si="1127"/>
        <v>2513.3641575944785</v>
      </c>
      <c r="J1396" s="517">
        <f t="shared" si="1127"/>
        <v>2499.216802558477</v>
      </c>
      <c r="K1396" s="517">
        <f t="shared" si="1127"/>
        <v>2285.7161196829652</v>
      </c>
      <c r="L1396" s="517">
        <f t="shared" si="1127"/>
        <v>1657.6656488557921</v>
      </c>
      <c r="M1396" s="517">
        <f t="shared" si="1127"/>
        <v>1540.9470588303802</v>
      </c>
      <c r="N1396" s="517">
        <f t="shared" si="1127"/>
        <v>1551.83941074362</v>
      </c>
      <c r="O1396" s="517">
        <f t="shared" si="1127"/>
        <v>1642.9943177073465</v>
      </c>
      <c r="P1396" s="511">
        <f t="shared" si="1114"/>
        <v>-2.9558577807620168E-12</v>
      </c>
      <c r="Q1396" s="530">
        <v>742</v>
      </c>
      <c r="R1396" s="480"/>
      <c r="U1396" s="513"/>
    </row>
    <row r="1397" spans="1:21" s="479" customFormat="1" ht="18" x14ac:dyDescent="0.15">
      <c r="A1397" s="579"/>
      <c r="B1397" s="518" t="s">
        <v>253</v>
      </c>
      <c r="C1397" s="517">
        <f>'FOND GASO Y D'!Q106</f>
        <v>0</v>
      </c>
      <c r="D1397" s="517">
        <f t="shared" ref="D1397:O1397" si="1128">$C1397*D$29%</f>
        <v>0</v>
      </c>
      <c r="E1397" s="517">
        <f t="shared" si="1128"/>
        <v>0</v>
      </c>
      <c r="F1397" s="517">
        <f t="shared" si="1128"/>
        <v>0</v>
      </c>
      <c r="G1397" s="517">
        <f t="shared" si="1128"/>
        <v>0</v>
      </c>
      <c r="H1397" s="517">
        <f t="shared" si="1128"/>
        <v>0</v>
      </c>
      <c r="I1397" s="517">
        <f t="shared" si="1128"/>
        <v>0</v>
      </c>
      <c r="J1397" s="517">
        <f t="shared" si="1128"/>
        <v>0</v>
      </c>
      <c r="K1397" s="517">
        <f t="shared" si="1128"/>
        <v>0</v>
      </c>
      <c r="L1397" s="517">
        <f t="shared" si="1128"/>
        <v>0</v>
      </c>
      <c r="M1397" s="517">
        <f t="shared" si="1128"/>
        <v>0</v>
      </c>
      <c r="N1397" s="517">
        <f t="shared" si="1128"/>
        <v>0</v>
      </c>
      <c r="O1397" s="517">
        <f t="shared" si="1128"/>
        <v>0</v>
      </c>
      <c r="P1397" s="511">
        <f t="shared" si="1114"/>
        <v>0</v>
      </c>
      <c r="Q1397" s="530">
        <v>33519</v>
      </c>
      <c r="R1397" s="480"/>
      <c r="U1397" s="513"/>
    </row>
    <row r="1398" spans="1:21" s="479" customFormat="1" ht="18" x14ac:dyDescent="0.15">
      <c r="A1398" s="579"/>
      <c r="B1398" s="528" t="s">
        <v>408</v>
      </c>
      <c r="C1398" s="519">
        <f>'FOND GASO Y D'!H106</f>
        <v>1085610.1565200821</v>
      </c>
      <c r="D1398" s="517">
        <f t="shared" ref="D1398:O1398" si="1129">$C1398*D$30%</f>
        <v>84450.485408121021</v>
      </c>
      <c r="E1398" s="517">
        <f t="shared" si="1129"/>
        <v>92851.386701091309</v>
      </c>
      <c r="F1398" s="517">
        <f t="shared" si="1129"/>
        <v>90400.405187007345</v>
      </c>
      <c r="G1398" s="517">
        <f t="shared" si="1129"/>
        <v>84234.343624165384</v>
      </c>
      <c r="H1398" s="517">
        <f t="shared" si="1129"/>
        <v>92814.20664737247</v>
      </c>
      <c r="I1398" s="517">
        <f t="shared" si="1129"/>
        <v>89576.73795570423</v>
      </c>
      <c r="J1398" s="517">
        <f t="shared" si="1129"/>
        <v>91444.28855580643</v>
      </c>
      <c r="K1398" s="517">
        <f t="shared" si="1129"/>
        <v>91389.949596558377</v>
      </c>
      <c r="L1398" s="517">
        <f t="shared" si="1129"/>
        <v>95102.170314262432</v>
      </c>
      <c r="M1398" s="517">
        <f t="shared" si="1129"/>
        <v>94267.063813330271</v>
      </c>
      <c r="N1398" s="517">
        <f t="shared" si="1129"/>
        <v>88101.002250488324</v>
      </c>
      <c r="O1398" s="517">
        <f t="shared" si="1129"/>
        <v>90978.116467260188</v>
      </c>
      <c r="P1398" s="511">
        <f t="shared" si="1114"/>
        <v>-1.0857038432732224E-6</v>
      </c>
      <c r="Q1398" s="530">
        <v>66346</v>
      </c>
      <c r="R1398" s="480"/>
      <c r="U1398" s="513"/>
    </row>
    <row r="1399" spans="1:21" s="479" customFormat="1" x14ac:dyDescent="0.15">
      <c r="A1399" s="579"/>
      <c r="B1399" s="534"/>
      <c r="C1399" s="521"/>
      <c r="D1399" s="522"/>
      <c r="E1399" s="522"/>
      <c r="F1399" s="522"/>
      <c r="G1399" s="522"/>
      <c r="H1399" s="522"/>
      <c r="I1399" s="522"/>
      <c r="J1399" s="522"/>
      <c r="K1399" s="522"/>
      <c r="L1399" s="522"/>
      <c r="M1399" s="522"/>
      <c r="N1399" s="522"/>
      <c r="O1399" s="522"/>
      <c r="P1399" s="511">
        <f t="shared" si="1114"/>
        <v>0</v>
      </c>
      <c r="Q1399" s="530">
        <v>0</v>
      </c>
      <c r="R1399" s="480"/>
      <c r="U1399" s="513"/>
    </row>
    <row r="1400" spans="1:21" s="479" customFormat="1" x14ac:dyDescent="0.15">
      <c r="A1400" s="591"/>
      <c r="B1400" s="532"/>
      <c r="C1400" s="521"/>
      <c r="D1400" s="521"/>
      <c r="E1400" s="521"/>
      <c r="F1400" s="521"/>
      <c r="G1400" s="521"/>
      <c r="H1400" s="521"/>
      <c r="I1400" s="521"/>
      <c r="J1400" s="521"/>
      <c r="K1400" s="521"/>
      <c r="L1400" s="521"/>
      <c r="M1400" s="521"/>
      <c r="N1400" s="521"/>
      <c r="O1400" s="521"/>
      <c r="P1400" s="511">
        <f t="shared" si="1114"/>
        <v>0</v>
      </c>
      <c r="Q1400" s="530">
        <v>0</v>
      </c>
      <c r="R1400" s="480"/>
      <c r="U1400" s="513"/>
    </row>
    <row r="1401" spans="1:21" s="479" customFormat="1" x14ac:dyDescent="0.15">
      <c r="A1401" s="576">
        <v>92</v>
      </c>
      <c r="B1401" s="533" t="s">
        <v>56</v>
      </c>
      <c r="C1401" s="524">
        <f t="shared" ref="C1401:O1401" si="1130">SUM(C1402:C1413)</f>
        <v>71771766.890614241</v>
      </c>
      <c r="D1401" s="524">
        <f t="shared" si="1130"/>
        <v>5641693.2300656065</v>
      </c>
      <c r="E1401" s="524">
        <f t="shared" si="1130"/>
        <v>7493364.485145485</v>
      </c>
      <c r="F1401" s="524">
        <f t="shared" si="1130"/>
        <v>5006644.5641852859</v>
      </c>
      <c r="G1401" s="524">
        <f t="shared" si="1130"/>
        <v>6379517.1990697365</v>
      </c>
      <c r="H1401" s="524">
        <f t="shared" si="1130"/>
        <v>7225387.5030986713</v>
      </c>
      <c r="I1401" s="524">
        <f t="shared" si="1130"/>
        <v>7087588.0916011576</v>
      </c>
      <c r="J1401" s="524">
        <f t="shared" si="1130"/>
        <v>6126836.1589066973</v>
      </c>
      <c r="K1401" s="524">
        <f t="shared" si="1130"/>
        <v>5957659.8758354336</v>
      </c>
      <c r="L1401" s="524">
        <f t="shared" si="1130"/>
        <v>5637332.1624512775</v>
      </c>
      <c r="M1401" s="524">
        <f t="shared" si="1130"/>
        <v>4194919.9134600116</v>
      </c>
      <c r="N1401" s="524">
        <f t="shared" si="1130"/>
        <v>5479268.2511590282</v>
      </c>
      <c r="O1401" s="524">
        <f t="shared" si="1130"/>
        <v>5541555.4554247539</v>
      </c>
      <c r="P1401" s="511">
        <f t="shared" si="1114"/>
        <v>2.1109078079462051E-4</v>
      </c>
      <c r="Q1401" s="530">
        <v>4379846</v>
      </c>
      <c r="R1401" s="480"/>
      <c r="T1401" s="512"/>
      <c r="U1401" s="513"/>
    </row>
    <row r="1402" spans="1:21" s="479" customFormat="1" x14ac:dyDescent="0.15">
      <c r="A1402" s="579"/>
      <c r="B1402" s="528" t="s">
        <v>294</v>
      </c>
      <c r="C1402" s="517">
        <f>'FG1'!I107</f>
        <v>49714759.010848589</v>
      </c>
      <c r="D1402" s="517">
        <f t="shared" ref="D1402:O1402" si="1131">$C1402*D$19%</f>
        <v>3760160.8131108754</v>
      </c>
      <c r="E1402" s="517">
        <f t="shared" si="1131"/>
        <v>5387369.3070578063</v>
      </c>
      <c r="F1402" s="517">
        <f t="shared" si="1131"/>
        <v>3482372.6636688933</v>
      </c>
      <c r="G1402" s="517">
        <f t="shared" si="1131"/>
        <v>4277741.9835502878</v>
      </c>
      <c r="H1402" s="517">
        <f t="shared" si="1131"/>
        <v>5224057.6605867529</v>
      </c>
      <c r="I1402" s="517">
        <f t="shared" si="1131"/>
        <v>5121420.2633869816</v>
      </c>
      <c r="J1402" s="517">
        <f t="shared" si="1131"/>
        <v>3970143.395882275</v>
      </c>
      <c r="K1402" s="517">
        <f t="shared" si="1131"/>
        <v>4215239.1230798969</v>
      </c>
      <c r="L1402" s="517">
        <f t="shared" si="1131"/>
        <v>3961279.2584272516</v>
      </c>
      <c r="M1402" s="517">
        <f t="shared" si="1131"/>
        <v>2626023.7178803859</v>
      </c>
      <c r="N1402" s="517">
        <f t="shared" si="1131"/>
        <v>3832547.7662407961</v>
      </c>
      <c r="O1402" s="517">
        <f t="shared" si="1131"/>
        <v>3856403.057926673</v>
      </c>
      <c r="P1402" s="511">
        <f t="shared" si="1114"/>
        <v>4.9720983952283859E-5</v>
      </c>
      <c r="Q1402" s="530">
        <v>3075096</v>
      </c>
      <c r="R1402" s="480"/>
      <c r="U1402" s="513"/>
    </row>
    <row r="1403" spans="1:21" s="479" customFormat="1" x14ac:dyDescent="0.15">
      <c r="A1403" s="579"/>
      <c r="B1403" s="528" t="s">
        <v>296</v>
      </c>
      <c r="C1403" s="517">
        <f>FFM!J107</f>
        <v>13363123.173004158</v>
      </c>
      <c r="D1403" s="517">
        <f t="shared" ref="D1403:O1403" si="1132">$C1403*D$20%</f>
        <v>1010561.3337475503</v>
      </c>
      <c r="E1403" s="517">
        <f t="shared" si="1132"/>
        <v>1448803.8685504317</v>
      </c>
      <c r="F1403" s="517">
        <f t="shared" si="1132"/>
        <v>935746.96556566388</v>
      </c>
      <c r="G1403" s="517">
        <f t="shared" si="1132"/>
        <v>1149957.1706523339</v>
      </c>
      <c r="H1403" s="517">
        <f t="shared" si="1132"/>
        <v>1404820.5043019713</v>
      </c>
      <c r="I1403" s="517">
        <f t="shared" si="1132"/>
        <v>1377178.0233933907</v>
      </c>
      <c r="J1403" s="517">
        <f t="shared" si="1132"/>
        <v>1067020.6392656278</v>
      </c>
      <c r="K1403" s="517">
        <f t="shared" si="1132"/>
        <v>1133030.2340756741</v>
      </c>
      <c r="L1403" s="517">
        <f t="shared" si="1132"/>
        <v>1064633.3291237715</v>
      </c>
      <c r="M1403" s="517">
        <f t="shared" si="1132"/>
        <v>705020.05495957332</v>
      </c>
      <c r="N1403" s="517">
        <f t="shared" si="1132"/>
        <v>1029963.1497739172</v>
      </c>
      <c r="O1403" s="517">
        <f t="shared" si="1132"/>
        <v>1036387.8994338949</v>
      </c>
      <c r="P1403" s="511">
        <f t="shared" si="1114"/>
        <v>1.6035756561905146E-4</v>
      </c>
      <c r="Q1403" s="530">
        <v>941495</v>
      </c>
      <c r="R1403" s="480"/>
      <c r="U1403" s="513"/>
    </row>
    <row r="1404" spans="1:21" s="479" customFormat="1" ht="18" x14ac:dyDescent="0.15">
      <c r="A1404" s="579"/>
      <c r="B1404" s="528" t="s">
        <v>297</v>
      </c>
      <c r="C1404" s="517">
        <f>IEPS!I106</f>
        <v>1202301.7623735471</v>
      </c>
      <c r="D1404" s="517">
        <f t="shared" ref="D1404:O1404" si="1133">$C1404*D$21%</f>
        <v>84449.460488132143</v>
      </c>
      <c r="E1404" s="517">
        <f t="shared" si="1133"/>
        <v>193026.69579232408</v>
      </c>
      <c r="F1404" s="517">
        <f t="shared" si="1133"/>
        <v>80175.532490637634</v>
      </c>
      <c r="G1404" s="517">
        <f t="shared" si="1133"/>
        <v>77919.390463150601</v>
      </c>
      <c r="H1404" s="517">
        <f t="shared" si="1133"/>
        <v>86027.293621863559</v>
      </c>
      <c r="I1404" s="517">
        <f t="shared" si="1133"/>
        <v>89212.017394848823</v>
      </c>
      <c r="J1404" s="517">
        <f t="shared" si="1133"/>
        <v>91871.886277707788</v>
      </c>
      <c r="K1404" s="517">
        <f t="shared" si="1133"/>
        <v>101767.15347534097</v>
      </c>
      <c r="L1404" s="517">
        <f t="shared" si="1133"/>
        <v>101980.40194206419</v>
      </c>
      <c r="M1404" s="517">
        <f t="shared" si="1133"/>
        <v>100846.96587853077</v>
      </c>
      <c r="N1404" s="517">
        <f t="shared" si="1133"/>
        <v>97586.495173237752</v>
      </c>
      <c r="O1404" s="517">
        <f t="shared" si="1133"/>
        <v>97438.469374506443</v>
      </c>
      <c r="P1404" s="511">
        <f t="shared" si="1114"/>
        <v>1.2022210285067558E-6</v>
      </c>
      <c r="Q1404" s="530">
        <v>79416</v>
      </c>
      <c r="R1404" s="480"/>
      <c r="U1404" s="513"/>
    </row>
    <row r="1405" spans="1:21" s="479" customFormat="1" x14ac:dyDescent="0.15">
      <c r="A1405" s="579"/>
      <c r="B1405" s="528" t="s">
        <v>236</v>
      </c>
      <c r="C1405" s="517">
        <f>ISR!C97</f>
        <v>3034034.95</v>
      </c>
      <c r="D1405" s="517">
        <f>ISR!D97</f>
        <v>285062.80140415049</v>
      </c>
      <c r="E1405" s="517">
        <f>ISR!E97</f>
        <v>191694.85963771475</v>
      </c>
      <c r="F1405" s="517">
        <f>ISR!F97</f>
        <v>255727.72889581355</v>
      </c>
      <c r="G1405" s="517">
        <f>ISR!G97</f>
        <v>255727.72889581355</v>
      </c>
      <c r="H1405" s="517">
        <f>ISR!H97</f>
        <v>255727.72889581355</v>
      </c>
      <c r="I1405" s="517">
        <f>ISR!I97</f>
        <v>255727.72889581355</v>
      </c>
      <c r="J1405" s="517">
        <f>ISR!J97</f>
        <v>255727.72889581355</v>
      </c>
      <c r="K1405" s="517">
        <f>ISR!K97</f>
        <v>255727.72889581355</v>
      </c>
      <c r="L1405" s="517">
        <f>ISR!L97</f>
        <v>255727.72889581355</v>
      </c>
      <c r="M1405" s="517">
        <f>ISR!M97</f>
        <v>255727.72889581355</v>
      </c>
      <c r="N1405" s="517">
        <f>ISR!N97</f>
        <v>255727.72889581355</v>
      </c>
      <c r="O1405" s="517">
        <f>ISR!O97</f>
        <v>255727.72889581355</v>
      </c>
      <c r="P1405" s="511">
        <f t="shared" si="1114"/>
        <v>-7.5669959187507629E-10</v>
      </c>
      <c r="Q1405" s="530">
        <v>0</v>
      </c>
      <c r="R1405" s="480"/>
      <c r="U1405" s="513"/>
    </row>
    <row r="1406" spans="1:21" s="479" customFormat="1" ht="18" x14ac:dyDescent="0.15">
      <c r="A1406" s="579"/>
      <c r="B1406" s="528" t="s">
        <v>298</v>
      </c>
      <c r="C1406" s="517">
        <f>FOFIR!I106</f>
        <v>2325245.6910973391</v>
      </c>
      <c r="D1406" s="517">
        <f t="shared" ref="D1406:O1406" si="1134">$C1406*D$23%</f>
        <v>317897.11701990903</v>
      </c>
      <c r="E1406" s="517">
        <f t="shared" si="1134"/>
        <v>80879.642904564054</v>
      </c>
      <c r="F1406" s="517">
        <f t="shared" si="1134"/>
        <v>80879.642904564054</v>
      </c>
      <c r="G1406" s="517">
        <f t="shared" si="1134"/>
        <v>456430.87180974375</v>
      </c>
      <c r="H1406" s="517">
        <f t="shared" si="1134"/>
        <v>80879.642904564054</v>
      </c>
      <c r="I1406" s="517">
        <f t="shared" si="1134"/>
        <v>80879.642904564054</v>
      </c>
      <c r="J1406" s="517">
        <f t="shared" si="1134"/>
        <v>567726.45902027749</v>
      </c>
      <c r="K1406" s="517">
        <f t="shared" si="1134"/>
        <v>80879.642904564054</v>
      </c>
      <c r="L1406" s="517">
        <f t="shared" si="1134"/>
        <v>80879.642904564054</v>
      </c>
      <c r="M1406" s="517">
        <f t="shared" si="1134"/>
        <v>336154.10002019739</v>
      </c>
      <c r="N1406" s="517">
        <f t="shared" si="1134"/>
        <v>80879.642904564054</v>
      </c>
      <c r="O1406" s="517">
        <f t="shared" si="1134"/>
        <v>80879.642904564054</v>
      </c>
      <c r="P1406" s="511">
        <f t="shared" si="1114"/>
        <v>-9.3008566182106733E-6</v>
      </c>
      <c r="Q1406" s="530">
        <v>93548</v>
      </c>
      <c r="R1406" s="480"/>
      <c r="U1406" s="513"/>
    </row>
    <row r="1407" spans="1:21" s="479" customFormat="1" ht="27" x14ac:dyDescent="0.15">
      <c r="A1407" s="579"/>
      <c r="B1407" s="528" t="s">
        <v>407</v>
      </c>
      <c r="C1407" s="517">
        <f>FCISAN!I106</f>
        <v>147609.5002286112</v>
      </c>
      <c r="D1407" s="517">
        <f t="shared" ref="D1407:O1407" si="1135">$C1407*D$24%</f>
        <v>12300.791685668399</v>
      </c>
      <c r="E1407" s="517">
        <f t="shared" si="1135"/>
        <v>12300.791685668399</v>
      </c>
      <c r="F1407" s="517">
        <f t="shared" si="1135"/>
        <v>12300.791685668399</v>
      </c>
      <c r="G1407" s="517">
        <f t="shared" si="1135"/>
        <v>12300.791685668399</v>
      </c>
      <c r="H1407" s="517">
        <f t="shared" si="1135"/>
        <v>12300.791685668399</v>
      </c>
      <c r="I1407" s="517">
        <f t="shared" si="1135"/>
        <v>12300.791685668399</v>
      </c>
      <c r="J1407" s="517">
        <f t="shared" si="1135"/>
        <v>12300.791685668399</v>
      </c>
      <c r="K1407" s="517">
        <f t="shared" si="1135"/>
        <v>12300.791685668399</v>
      </c>
      <c r="L1407" s="517">
        <f t="shared" si="1135"/>
        <v>12300.791685668399</v>
      </c>
      <c r="M1407" s="517">
        <f t="shared" si="1135"/>
        <v>12300.791685668399</v>
      </c>
      <c r="N1407" s="517">
        <f t="shared" si="1135"/>
        <v>12300.791685668399</v>
      </c>
      <c r="O1407" s="517">
        <f t="shared" si="1135"/>
        <v>12300.791685668399</v>
      </c>
      <c r="P1407" s="511">
        <f t="shared" si="1114"/>
        <v>5.9038211475126445E-7</v>
      </c>
      <c r="Q1407" s="530">
        <v>11122</v>
      </c>
      <c r="R1407" s="480"/>
      <c r="U1407" s="513"/>
    </row>
    <row r="1408" spans="1:21" s="479" customFormat="1" ht="27" x14ac:dyDescent="0.15">
      <c r="A1408" s="579"/>
      <c r="B1408" s="528" t="s">
        <v>242</v>
      </c>
      <c r="C1408" s="517">
        <f>ISAN!I106</f>
        <v>737326.76461084932</v>
      </c>
      <c r="D1408" s="517">
        <f t="shared" ref="D1408:O1408" si="1136">$C1408*D$25%</f>
        <v>70955.614483238533</v>
      </c>
      <c r="E1408" s="517">
        <f t="shared" si="1136"/>
        <v>79250.011810484022</v>
      </c>
      <c r="F1408" s="517">
        <f t="shared" si="1136"/>
        <v>61505.006331619174</v>
      </c>
      <c r="G1408" s="517">
        <f t="shared" si="1136"/>
        <v>57082.99016163691</v>
      </c>
      <c r="H1408" s="517">
        <f t="shared" si="1136"/>
        <v>61034.336811520254</v>
      </c>
      <c r="I1408" s="517">
        <f t="shared" si="1136"/>
        <v>53010.178648199988</v>
      </c>
      <c r="J1408" s="517">
        <f t="shared" si="1136"/>
        <v>57428.40084506612</v>
      </c>
      <c r="K1408" s="517">
        <f t="shared" si="1136"/>
        <v>59223.776981971037</v>
      </c>
      <c r="L1408" s="517">
        <f t="shared" si="1136"/>
        <v>58195.135997545163</v>
      </c>
      <c r="M1408" s="517">
        <f t="shared" si="1136"/>
        <v>59622.328250486215</v>
      </c>
      <c r="N1408" s="517">
        <f t="shared" si="1136"/>
        <v>57728.262010745813</v>
      </c>
      <c r="O1408" s="517">
        <f t="shared" si="1136"/>
        <v>62290.722269488193</v>
      </c>
      <c r="P1408" s="511">
        <f t="shared" si="1114"/>
        <v>8.8478336692787707E-6</v>
      </c>
      <c r="Q1408" s="530">
        <v>47802</v>
      </c>
      <c r="R1408" s="480"/>
      <c r="U1408" s="513"/>
    </row>
    <row r="1409" spans="1:21" s="479" customFormat="1" ht="18" x14ac:dyDescent="0.15">
      <c r="A1409" s="579"/>
      <c r="B1409" s="528" t="s">
        <v>403</v>
      </c>
      <c r="C1409" s="517">
        <f>LOT!I106</f>
        <v>35691.773024823</v>
      </c>
      <c r="D1409" s="517">
        <f t="shared" ref="D1409:O1409" si="1137">$C1409*D$26%</f>
        <v>2698.6688404721426</v>
      </c>
      <c r="E1409" s="517">
        <f t="shared" si="1137"/>
        <v>2660.4170058564582</v>
      </c>
      <c r="F1409" s="517">
        <f t="shared" si="1137"/>
        <v>2614.863357773675</v>
      </c>
      <c r="G1409" s="517">
        <f t="shared" si="1137"/>
        <v>2876.9335842174528</v>
      </c>
      <c r="H1409" s="517">
        <f t="shared" si="1137"/>
        <v>2353.8553289171141</v>
      </c>
      <c r="I1409" s="517">
        <f t="shared" si="1137"/>
        <v>3194.3016906128987</v>
      </c>
      <c r="J1409" s="517">
        <f t="shared" si="1137"/>
        <v>7330.9189453763665</v>
      </c>
      <c r="K1409" s="517">
        <f t="shared" si="1137"/>
        <v>2668.7174122795791</v>
      </c>
      <c r="L1409" s="517">
        <f t="shared" si="1137"/>
        <v>3238.1570946180641</v>
      </c>
      <c r="M1409" s="517">
        <f t="shared" si="1137"/>
        <v>2004.8629920968262</v>
      </c>
      <c r="N1409" s="517">
        <f t="shared" si="1137"/>
        <v>2025.0383860870611</v>
      </c>
      <c r="O1409" s="517">
        <f t="shared" si="1137"/>
        <v>2025.0383860870611</v>
      </c>
      <c r="P1409" s="511">
        <f t="shared" si="1114"/>
        <v>4.2830106394831091E-7</v>
      </c>
      <c r="Q1409" s="530">
        <v>2334</v>
      </c>
      <c r="R1409" s="480"/>
      <c r="U1409" s="513"/>
    </row>
    <row r="1410" spans="1:21" s="479" customFormat="1" ht="45" x14ac:dyDescent="0.15">
      <c r="A1410" s="579"/>
      <c r="B1410" s="518" t="s">
        <v>301</v>
      </c>
      <c r="C1410" s="517">
        <f>'ENAJENAC DE INMUE'!I106</f>
        <v>140344.28810974798</v>
      </c>
      <c r="D1410" s="517">
        <f t="shared" ref="D1410:O1410" si="1138">$C1410*D$27%</f>
        <v>6060.8687996767949</v>
      </c>
      <c r="E1410" s="517">
        <f t="shared" si="1138"/>
        <v>6150.1393246877542</v>
      </c>
      <c r="F1410" s="517">
        <f t="shared" si="1138"/>
        <v>6067.2272214332706</v>
      </c>
      <c r="G1410" s="517">
        <f t="shared" si="1138"/>
        <v>6031.6870943725771</v>
      </c>
      <c r="H1410" s="517">
        <f t="shared" si="1138"/>
        <v>8367.1019062421983</v>
      </c>
      <c r="I1410" s="517">
        <f t="shared" si="1138"/>
        <v>6022.4524402149564</v>
      </c>
      <c r="J1410" s="517">
        <f t="shared" si="1138"/>
        <v>6921.4781366007837</v>
      </c>
      <c r="K1410" s="517">
        <f t="shared" si="1138"/>
        <v>6914.3536000761114</v>
      </c>
      <c r="L1410" s="517">
        <f t="shared" si="1138"/>
        <v>6905.5944653475153</v>
      </c>
      <c r="M1410" s="517">
        <f t="shared" si="1138"/>
        <v>6030.6997310445049</v>
      </c>
      <c r="N1410" s="517">
        <f t="shared" si="1138"/>
        <v>25073.431691957452</v>
      </c>
      <c r="O1410" s="517">
        <f t="shared" si="1138"/>
        <v>49799.253697813372</v>
      </c>
      <c r="P1410" s="511">
        <f t="shared" si="1114"/>
        <v>2.806918928399682E-7</v>
      </c>
      <c r="Q1410" s="530">
        <v>34070</v>
      </c>
      <c r="R1410" s="480"/>
      <c r="U1410" s="513"/>
    </row>
    <row r="1411" spans="1:21" s="479" customFormat="1" ht="27" x14ac:dyDescent="0.15">
      <c r="A1411" s="579"/>
      <c r="B1411" s="518" t="s">
        <v>248</v>
      </c>
      <c r="C1411" s="517">
        <f>'IMP BEBIDAS AL'!I106</f>
        <v>54853.964209225625</v>
      </c>
      <c r="D1411" s="517">
        <f t="shared" ref="D1411:O1411" si="1139">$C1411*D$28%</f>
        <v>12473.275582332984</v>
      </c>
      <c r="E1411" s="517">
        <f t="shared" si="1139"/>
        <v>4290.3538318853816</v>
      </c>
      <c r="F1411" s="517">
        <f t="shared" si="1139"/>
        <v>4610.6419118098156</v>
      </c>
      <c r="G1411" s="517">
        <f t="shared" si="1139"/>
        <v>4577.5436485839664</v>
      </c>
      <c r="H1411" s="517">
        <f t="shared" si="1139"/>
        <v>2915.0018539621333</v>
      </c>
      <c r="I1411" s="517">
        <f t="shared" si="1139"/>
        <v>4770.4052232979939</v>
      </c>
      <c r="J1411" s="517">
        <f t="shared" si="1139"/>
        <v>4743.5533179918466</v>
      </c>
      <c r="K1411" s="517">
        <f t="shared" si="1139"/>
        <v>4338.3256196141419</v>
      </c>
      <c r="L1411" s="517">
        <f t="shared" si="1139"/>
        <v>3146.2758175686581</v>
      </c>
      <c r="M1411" s="517">
        <f t="shared" si="1139"/>
        <v>2924.7420737095485</v>
      </c>
      <c r="N1411" s="517">
        <f t="shared" si="1139"/>
        <v>2945.415931217985</v>
      </c>
      <c r="O1411" s="517">
        <f t="shared" si="1139"/>
        <v>3118.4293972511723</v>
      </c>
      <c r="P1411" s="511">
        <f t="shared" si="1114"/>
        <v>0</v>
      </c>
      <c r="Q1411" s="530">
        <v>1459</v>
      </c>
      <c r="R1411" s="480"/>
      <c r="U1411" s="513"/>
    </row>
    <row r="1412" spans="1:21" s="479" customFormat="1" ht="18" x14ac:dyDescent="0.15">
      <c r="A1412" s="579"/>
      <c r="B1412" s="518" t="s">
        <v>253</v>
      </c>
      <c r="C1412" s="517">
        <f>'FOND GASO Y D'!Q107</f>
        <v>0</v>
      </c>
      <c r="D1412" s="517">
        <f t="shared" ref="D1412:O1412" si="1140">$C1412*D$29%</f>
        <v>0</v>
      </c>
      <c r="E1412" s="517">
        <f t="shared" si="1140"/>
        <v>0</v>
      </c>
      <c r="F1412" s="517">
        <f t="shared" si="1140"/>
        <v>0</v>
      </c>
      <c r="G1412" s="517">
        <f t="shared" si="1140"/>
        <v>0</v>
      </c>
      <c r="H1412" s="517">
        <f t="shared" si="1140"/>
        <v>0</v>
      </c>
      <c r="I1412" s="517">
        <f t="shared" si="1140"/>
        <v>0</v>
      </c>
      <c r="J1412" s="517">
        <f t="shared" si="1140"/>
        <v>0</v>
      </c>
      <c r="K1412" s="517">
        <f t="shared" si="1140"/>
        <v>0</v>
      </c>
      <c r="L1412" s="517">
        <f t="shared" si="1140"/>
        <v>0</v>
      </c>
      <c r="M1412" s="517">
        <f t="shared" si="1140"/>
        <v>0</v>
      </c>
      <c r="N1412" s="517">
        <f t="shared" si="1140"/>
        <v>0</v>
      </c>
      <c r="O1412" s="517">
        <f t="shared" si="1140"/>
        <v>0</v>
      </c>
      <c r="P1412" s="511">
        <f t="shared" si="1114"/>
        <v>0</v>
      </c>
      <c r="Q1412" s="530">
        <v>31384</v>
      </c>
      <c r="R1412" s="480"/>
      <c r="U1412" s="513"/>
    </row>
    <row r="1413" spans="1:21" s="479" customFormat="1" ht="18" x14ac:dyDescent="0.15">
      <c r="A1413" s="579"/>
      <c r="B1413" s="528" t="s">
        <v>408</v>
      </c>
      <c r="C1413" s="519">
        <f>'FOND GASO Y D'!H107</f>
        <v>1016476.0131073542</v>
      </c>
      <c r="D1413" s="517">
        <f t="shared" ref="D1413:O1413" si="1141">$C1413*D$30%</f>
        <v>79072.484903598728</v>
      </c>
      <c r="E1413" s="517">
        <f t="shared" si="1141"/>
        <v>86938.397544062202</v>
      </c>
      <c r="F1413" s="517">
        <f t="shared" si="1141"/>
        <v>84643.500151408894</v>
      </c>
      <c r="G1413" s="517">
        <f t="shared" si="1141"/>
        <v>78870.107523927378</v>
      </c>
      <c r="H1413" s="517">
        <f t="shared" si="1141"/>
        <v>86903.585201395501</v>
      </c>
      <c r="I1413" s="517">
        <f t="shared" si="1141"/>
        <v>83872.285937564462</v>
      </c>
      <c r="J1413" s="517">
        <f t="shared" si="1141"/>
        <v>85620.906634291532</v>
      </c>
      <c r="K1413" s="517">
        <f t="shared" si="1141"/>
        <v>85570.028104534664</v>
      </c>
      <c r="L1413" s="517">
        <f t="shared" si="1141"/>
        <v>89045.84609706515</v>
      </c>
      <c r="M1413" s="517">
        <f t="shared" si="1141"/>
        <v>88263.921092504956</v>
      </c>
      <c r="N1413" s="517">
        <f t="shared" si="1141"/>
        <v>82490.528465023453</v>
      </c>
      <c r="O1413" s="517">
        <f t="shared" si="1141"/>
        <v>85184.421452993716</v>
      </c>
      <c r="P1413" s="511">
        <f t="shared" si="1114"/>
        <v>-1.0164803825318813E-6</v>
      </c>
      <c r="Q1413" s="530">
        <v>62120</v>
      </c>
      <c r="R1413" s="480"/>
      <c r="U1413" s="513"/>
    </row>
    <row r="1414" spans="1:21" s="479" customFormat="1" x14ac:dyDescent="0.15">
      <c r="A1414" s="579"/>
      <c r="B1414" s="534"/>
      <c r="C1414" s="521"/>
      <c r="D1414" s="522"/>
      <c r="E1414" s="522"/>
      <c r="F1414" s="522"/>
      <c r="G1414" s="522"/>
      <c r="H1414" s="522"/>
      <c r="I1414" s="522"/>
      <c r="J1414" s="522"/>
      <c r="K1414" s="522"/>
      <c r="L1414" s="522"/>
      <c r="M1414" s="522"/>
      <c r="N1414" s="522"/>
      <c r="O1414" s="522"/>
      <c r="P1414" s="511">
        <f t="shared" si="1114"/>
        <v>0</v>
      </c>
      <c r="Q1414" s="530">
        <v>0</v>
      </c>
      <c r="R1414" s="480"/>
      <c r="U1414" s="513"/>
    </row>
    <row r="1415" spans="1:21" s="479" customFormat="1" x14ac:dyDescent="0.15">
      <c r="A1415" s="591"/>
      <c r="B1415" s="532"/>
      <c r="C1415" s="521"/>
      <c r="D1415" s="521"/>
      <c r="E1415" s="521"/>
      <c r="F1415" s="521"/>
      <c r="G1415" s="521"/>
      <c r="H1415" s="521"/>
      <c r="I1415" s="521"/>
      <c r="J1415" s="521"/>
      <c r="K1415" s="521"/>
      <c r="L1415" s="521"/>
      <c r="M1415" s="521"/>
      <c r="N1415" s="521"/>
      <c r="O1415" s="521"/>
      <c r="P1415" s="511">
        <f t="shared" si="1114"/>
        <v>0</v>
      </c>
      <c r="Q1415" s="530">
        <v>0</v>
      </c>
      <c r="R1415" s="480"/>
      <c r="U1415" s="513"/>
    </row>
    <row r="1416" spans="1:21" s="479" customFormat="1" x14ac:dyDescent="0.15">
      <c r="A1416" s="584">
        <v>93</v>
      </c>
      <c r="B1416" s="533" t="s">
        <v>155</v>
      </c>
      <c r="C1416" s="524">
        <f t="shared" ref="C1416:O1416" si="1142">SUM(C1417:C1428)</f>
        <v>61927412.718749814</v>
      </c>
      <c r="D1416" s="524">
        <f t="shared" si="1142"/>
        <v>4822199.0324390102</v>
      </c>
      <c r="E1416" s="524">
        <f t="shared" si="1142"/>
        <v>6488003.4379503755</v>
      </c>
      <c r="F1416" s="524">
        <f t="shared" si="1142"/>
        <v>4308744.0141672408</v>
      </c>
      <c r="G1416" s="524">
        <f t="shared" si="1142"/>
        <v>5477074.0118396264</v>
      </c>
      <c r="H1416" s="524">
        <f t="shared" si="1142"/>
        <v>6245427.2510723965</v>
      </c>
      <c r="I1416" s="524">
        <f t="shared" si="1142"/>
        <v>6122467.5035764091</v>
      </c>
      <c r="J1416" s="524">
        <f t="shared" si="1142"/>
        <v>5308840.6722163912</v>
      </c>
      <c r="K1416" s="524">
        <f t="shared" si="1142"/>
        <v>5164004.1435823934</v>
      </c>
      <c r="L1416" s="524">
        <f t="shared" si="1142"/>
        <v>4895926.9301735908</v>
      </c>
      <c r="M1416" s="524">
        <f t="shared" si="1142"/>
        <v>3618092.8980674627</v>
      </c>
      <c r="N1416" s="524">
        <f t="shared" si="1142"/>
        <v>4710843.5719658257</v>
      </c>
      <c r="O1416" s="524">
        <f t="shared" si="1142"/>
        <v>4765789.2515195273</v>
      </c>
      <c r="P1416" s="511">
        <f t="shared" si="1114"/>
        <v>1.7956551164388657E-4</v>
      </c>
      <c r="Q1416" s="530">
        <v>3641019</v>
      </c>
      <c r="R1416" s="480"/>
      <c r="T1416" s="512"/>
      <c r="U1416" s="513"/>
    </row>
    <row r="1417" spans="1:21" s="479" customFormat="1" x14ac:dyDescent="0.15">
      <c r="A1417" s="579"/>
      <c r="B1417" s="527" t="s">
        <v>294</v>
      </c>
      <c r="C1417" s="515">
        <f>'FG1'!I108</f>
        <v>42444933.053326622</v>
      </c>
      <c r="D1417" s="515">
        <f t="shared" ref="D1417:O1417" si="1143">$C1417*D$19%</f>
        <v>3210309.7180337529</v>
      </c>
      <c r="E1417" s="515">
        <f t="shared" si="1143"/>
        <v>4599570.3111367067</v>
      </c>
      <c r="F1417" s="515">
        <f t="shared" si="1143"/>
        <v>2973142.735015702</v>
      </c>
      <c r="G1417" s="515">
        <f t="shared" si="1143"/>
        <v>3652204.6113423849</v>
      </c>
      <c r="H1417" s="515">
        <f t="shared" si="1143"/>
        <v>4460139.847443223</v>
      </c>
      <c r="I1417" s="515">
        <f t="shared" si="1143"/>
        <v>4372511.1927018547</v>
      </c>
      <c r="J1417" s="515">
        <f t="shared" si="1143"/>
        <v>3389586.3925149017</v>
      </c>
      <c r="K1417" s="515">
        <f t="shared" si="1143"/>
        <v>3598841.5903584505</v>
      </c>
      <c r="L1417" s="515">
        <f t="shared" si="1143"/>
        <v>3382018.4644319783</v>
      </c>
      <c r="M1417" s="515">
        <f t="shared" si="1143"/>
        <v>2242018.328552254</v>
      </c>
      <c r="N1417" s="515">
        <f t="shared" si="1143"/>
        <v>3272111.4735016474</v>
      </c>
      <c r="O1417" s="515">
        <f t="shared" si="1143"/>
        <v>3292478.3882513228</v>
      </c>
      <c r="P1417" s="511">
        <f t="shared" si="1114"/>
        <v>4.2442232370376587E-5</v>
      </c>
      <c r="Q1417" s="530">
        <v>2510861</v>
      </c>
      <c r="R1417" s="480"/>
      <c r="U1417" s="513"/>
    </row>
    <row r="1418" spans="1:21" s="479" customFormat="1" x14ac:dyDescent="0.15">
      <c r="A1418" s="579"/>
      <c r="B1418" s="528" t="s">
        <v>296</v>
      </c>
      <c r="C1418" s="517">
        <f>FFM!J108</f>
        <v>11409023.793874716</v>
      </c>
      <c r="D1418" s="517">
        <f t="shared" ref="D1418:O1418" si="1144">$C1418*D$20%</f>
        <v>862786.20294297743</v>
      </c>
      <c r="E1418" s="517">
        <f t="shared" si="1144"/>
        <v>1236944.2079484805</v>
      </c>
      <c r="F1418" s="517">
        <f t="shared" si="1144"/>
        <v>798911.99512042408</v>
      </c>
      <c r="G1418" s="517">
        <f t="shared" si="1144"/>
        <v>981798.08358077484</v>
      </c>
      <c r="H1418" s="517">
        <f t="shared" si="1144"/>
        <v>1199392.5635649967</v>
      </c>
      <c r="I1418" s="517">
        <f t="shared" si="1144"/>
        <v>1175792.2630720076</v>
      </c>
      <c r="J1418" s="517">
        <f t="shared" si="1144"/>
        <v>910989.42248245422</v>
      </c>
      <c r="K1418" s="517">
        <f t="shared" si="1144"/>
        <v>967346.38545150391</v>
      </c>
      <c r="L1418" s="517">
        <f t="shared" si="1144"/>
        <v>908951.21046725544</v>
      </c>
      <c r="M1418" s="517">
        <f t="shared" si="1144"/>
        <v>601924.45119731361</v>
      </c>
      <c r="N1418" s="517">
        <f t="shared" si="1144"/>
        <v>879350.87707068259</v>
      </c>
      <c r="O1418" s="517">
        <f t="shared" si="1144"/>
        <v>884836.13083893736</v>
      </c>
      <c r="P1418" s="511">
        <f t="shared" si="1114"/>
        <v>1.3690791092813015E-4</v>
      </c>
      <c r="Q1418" s="530">
        <v>768742</v>
      </c>
      <c r="R1418" s="480"/>
      <c r="U1418" s="513"/>
    </row>
    <row r="1419" spans="1:21" s="479" customFormat="1" ht="18" x14ac:dyDescent="0.15">
      <c r="A1419" s="579"/>
      <c r="B1419" s="528" t="s">
        <v>297</v>
      </c>
      <c r="C1419" s="517">
        <f>IEPS!I107</f>
        <v>1026488.2869633515</v>
      </c>
      <c r="D1419" s="517">
        <f t="shared" ref="D1419:O1419" si="1145">$C1419*D$21%</f>
        <v>72100.353458942307</v>
      </c>
      <c r="E1419" s="517">
        <f t="shared" si="1145"/>
        <v>164800.25938820679</v>
      </c>
      <c r="F1419" s="517">
        <f t="shared" si="1145"/>
        <v>68451.405111655607</v>
      </c>
      <c r="G1419" s="517">
        <f t="shared" si="1145"/>
        <v>66525.180400507204</v>
      </c>
      <c r="H1419" s="517">
        <f t="shared" si="1145"/>
        <v>73447.458887250556</v>
      </c>
      <c r="I1419" s="517">
        <f t="shared" si="1145"/>
        <v>76166.478148878668</v>
      </c>
      <c r="J1419" s="517">
        <f t="shared" si="1145"/>
        <v>78437.392438917552</v>
      </c>
      <c r="K1419" s="517">
        <f t="shared" si="1145"/>
        <v>86885.667400014456</v>
      </c>
      <c r="L1419" s="517">
        <f t="shared" si="1145"/>
        <v>87067.732385823139</v>
      </c>
      <c r="M1419" s="517">
        <f t="shared" si="1145"/>
        <v>86100.039515655459</v>
      </c>
      <c r="N1419" s="517">
        <f t="shared" si="1145"/>
        <v>83316.349851620369</v>
      </c>
      <c r="O1419" s="517">
        <f t="shared" si="1145"/>
        <v>83189.969974852895</v>
      </c>
      <c r="P1419" s="511">
        <f t="shared" si="1114"/>
        <v>1.0266812751069665E-6</v>
      </c>
      <c r="Q1419" s="530">
        <v>64846</v>
      </c>
      <c r="R1419" s="480"/>
      <c r="U1419" s="513"/>
    </row>
    <row r="1420" spans="1:21" s="479" customFormat="1" x14ac:dyDescent="0.15">
      <c r="A1420" s="579"/>
      <c r="B1420" s="528" t="s">
        <v>236</v>
      </c>
      <c r="C1420" s="517">
        <f>ISR!C98</f>
        <v>2574598.2999999998</v>
      </c>
      <c r="D1420" s="517">
        <f>ISR!D98</f>
        <v>197013.25000000006</v>
      </c>
      <c r="E1420" s="517">
        <f>ISR!E98</f>
        <v>197044.15000000014</v>
      </c>
      <c r="F1420" s="517">
        <f>ISR!F98</f>
        <v>197044.15000000014</v>
      </c>
      <c r="G1420" s="517">
        <f>ISR!G98</f>
        <v>197044.15000000014</v>
      </c>
      <c r="H1420" s="517">
        <f>ISR!H98</f>
        <v>237950.60000000006</v>
      </c>
      <c r="I1420" s="517">
        <f>ISR!I98</f>
        <v>234627.82</v>
      </c>
      <c r="J1420" s="517">
        <f>ISR!J98</f>
        <v>240114.62999999992</v>
      </c>
      <c r="K1420" s="517">
        <f>ISR!K98</f>
        <v>239748.98000000007</v>
      </c>
      <c r="L1420" s="517">
        <f>ISR!L98</f>
        <v>242878.11999999997</v>
      </c>
      <c r="M1420" s="517">
        <f>ISR!M98</f>
        <v>197044.15000000014</v>
      </c>
      <c r="N1420" s="517">
        <f>ISR!N98</f>
        <v>197044.15000000014</v>
      </c>
      <c r="O1420" s="517">
        <f>ISR!O98</f>
        <v>197044.15000000014</v>
      </c>
      <c r="P1420" s="511">
        <f t="shared" si="1114"/>
        <v>-1.3969838619232178E-9</v>
      </c>
      <c r="Q1420" s="530">
        <v>0</v>
      </c>
      <c r="R1420" s="480"/>
      <c r="U1420" s="513"/>
    </row>
    <row r="1421" spans="1:21" s="479" customFormat="1" ht="18" x14ac:dyDescent="0.15">
      <c r="A1421" s="579"/>
      <c r="B1421" s="528" t="s">
        <v>298</v>
      </c>
      <c r="C1421" s="517">
        <f>FOFIR!I107</f>
        <v>1985223.2949500142</v>
      </c>
      <c r="D1421" s="517">
        <f t="shared" ref="D1421:O1421" si="1146">$C1421*D$23%</f>
        <v>271410.78661994828</v>
      </c>
      <c r="E1421" s="517">
        <f t="shared" si="1146"/>
        <v>69052.552939300425</v>
      </c>
      <c r="F1421" s="517">
        <f t="shared" si="1146"/>
        <v>69052.552939300425</v>
      </c>
      <c r="G1421" s="517">
        <f t="shared" si="1146"/>
        <v>389686.64804768591</v>
      </c>
      <c r="H1421" s="517">
        <f t="shared" si="1146"/>
        <v>69052.552939300425</v>
      </c>
      <c r="I1421" s="517">
        <f t="shared" si="1146"/>
        <v>69052.552939300425</v>
      </c>
      <c r="J1421" s="517">
        <f t="shared" si="1146"/>
        <v>484707.3992747197</v>
      </c>
      <c r="K1421" s="517">
        <f t="shared" si="1146"/>
        <v>69052.552939300425</v>
      </c>
      <c r="L1421" s="517">
        <f t="shared" si="1146"/>
        <v>69052.552939300425</v>
      </c>
      <c r="M1421" s="517">
        <f t="shared" si="1146"/>
        <v>286998.03750119789</v>
      </c>
      <c r="N1421" s="517">
        <f t="shared" si="1146"/>
        <v>69052.552939300425</v>
      </c>
      <c r="O1421" s="517">
        <f t="shared" si="1146"/>
        <v>69052.552939300425</v>
      </c>
      <c r="P1421" s="511">
        <f t="shared" si="1114"/>
        <v>-7.9408055171370506E-6</v>
      </c>
      <c r="Q1421" s="530">
        <v>76381</v>
      </c>
      <c r="R1421" s="480"/>
      <c r="U1421" s="513"/>
    </row>
    <row r="1422" spans="1:21" s="479" customFormat="1" ht="27" x14ac:dyDescent="0.15">
      <c r="A1422" s="579"/>
      <c r="B1422" s="528" t="s">
        <v>407</v>
      </c>
      <c r="C1422" s="517">
        <f>FCISAN!I107</f>
        <v>126024.45390253657</v>
      </c>
      <c r="D1422" s="517">
        <f t="shared" ref="D1422:O1422" si="1147">$C1422*D$24%</f>
        <v>10502.037825169375</v>
      </c>
      <c r="E1422" s="517">
        <f t="shared" si="1147"/>
        <v>10502.037825169375</v>
      </c>
      <c r="F1422" s="517">
        <f t="shared" si="1147"/>
        <v>10502.037825169375</v>
      </c>
      <c r="G1422" s="517">
        <f t="shared" si="1147"/>
        <v>10502.037825169375</v>
      </c>
      <c r="H1422" s="517">
        <f t="shared" si="1147"/>
        <v>10502.037825169375</v>
      </c>
      <c r="I1422" s="517">
        <f t="shared" si="1147"/>
        <v>10502.037825169375</v>
      </c>
      <c r="J1422" s="517">
        <f t="shared" si="1147"/>
        <v>10502.037825169375</v>
      </c>
      <c r="K1422" s="517">
        <f t="shared" si="1147"/>
        <v>10502.037825169375</v>
      </c>
      <c r="L1422" s="517">
        <f t="shared" si="1147"/>
        <v>10502.037825169375</v>
      </c>
      <c r="M1422" s="517">
        <f t="shared" si="1147"/>
        <v>10502.037825169375</v>
      </c>
      <c r="N1422" s="517">
        <f t="shared" si="1147"/>
        <v>10502.037825169375</v>
      </c>
      <c r="O1422" s="517">
        <f t="shared" si="1147"/>
        <v>10502.037825169375</v>
      </c>
      <c r="P1422" s="511">
        <f t="shared" si="1114"/>
        <v>5.040528776589781E-7</v>
      </c>
      <c r="Q1422" s="530">
        <v>9085</v>
      </c>
      <c r="R1422" s="480"/>
      <c r="U1422" s="513"/>
    </row>
    <row r="1423" spans="1:21" s="479" customFormat="1" ht="27" x14ac:dyDescent="0.15">
      <c r="A1423" s="579"/>
      <c r="B1423" s="528" t="s">
        <v>242</v>
      </c>
      <c r="C1423" s="517">
        <f>ISAN!I107</f>
        <v>629506.92681632342</v>
      </c>
      <c r="D1423" s="517">
        <f t="shared" ref="D1423:O1423" si="1148">$C1423*D$25%</f>
        <v>60579.722529510967</v>
      </c>
      <c r="E1423" s="517">
        <f t="shared" si="1148"/>
        <v>67661.224004672535</v>
      </c>
      <c r="F1423" s="517">
        <f t="shared" si="1148"/>
        <v>52511.083793453261</v>
      </c>
      <c r="G1423" s="517">
        <f t="shared" si="1148"/>
        <v>48735.70231660315</v>
      </c>
      <c r="H1423" s="517">
        <f t="shared" si="1148"/>
        <v>52109.240625180428</v>
      </c>
      <c r="I1423" s="517">
        <f t="shared" si="1148"/>
        <v>45258.461041252209</v>
      </c>
      <c r="J1423" s="517">
        <f t="shared" si="1148"/>
        <v>49030.603340479327</v>
      </c>
      <c r="K1423" s="517">
        <f t="shared" si="1148"/>
        <v>50563.440297807036</v>
      </c>
      <c r="L1423" s="517">
        <f t="shared" si="1148"/>
        <v>49685.218244868251</v>
      </c>
      <c r="M1423" s="517">
        <f t="shared" si="1148"/>
        <v>50903.711119732448</v>
      </c>
      <c r="N1423" s="517">
        <f t="shared" si="1148"/>
        <v>49286.615586255073</v>
      </c>
      <c r="O1423" s="517">
        <f t="shared" si="1148"/>
        <v>53181.903908954671</v>
      </c>
      <c r="P1423" s="511">
        <f t="shared" si="1114"/>
        <v>7.5541247497312725E-6</v>
      </c>
      <c r="Q1423" s="530">
        <v>39032</v>
      </c>
      <c r="R1423" s="480"/>
      <c r="U1423" s="513"/>
    </row>
    <row r="1424" spans="1:21" s="479" customFormat="1" ht="18" x14ac:dyDescent="0.15">
      <c r="A1424" s="579"/>
      <c r="B1424" s="528" t="s">
        <v>403</v>
      </c>
      <c r="C1424" s="517">
        <f>LOT!I107</f>
        <v>30472.538673325507</v>
      </c>
      <c r="D1424" s="517">
        <f t="shared" ref="D1424:O1424" si="1149">$C1424*D$26%</f>
        <v>2304.0405011707508</v>
      </c>
      <c r="E1424" s="517">
        <f t="shared" si="1149"/>
        <v>2271.3822606053013</v>
      </c>
      <c r="F1424" s="517">
        <f t="shared" si="1149"/>
        <v>2232.4899561532852</v>
      </c>
      <c r="G1424" s="517">
        <f t="shared" si="1149"/>
        <v>2456.2374596712834</v>
      </c>
      <c r="H1424" s="517">
        <f t="shared" si="1149"/>
        <v>2009.6493242841864</v>
      </c>
      <c r="I1424" s="517">
        <f t="shared" si="1149"/>
        <v>2727.1965932814096</v>
      </c>
      <c r="J1424" s="517">
        <f t="shared" si="1149"/>
        <v>6258.9132492418066</v>
      </c>
      <c r="K1424" s="517">
        <f t="shared" si="1149"/>
        <v>2278.4688924618067</v>
      </c>
      <c r="L1424" s="517">
        <f t="shared" si="1149"/>
        <v>2764.6389891425592</v>
      </c>
      <c r="M1424" s="517">
        <f t="shared" si="1149"/>
        <v>1711.6903948397389</v>
      </c>
      <c r="N1424" s="517">
        <f t="shared" si="1149"/>
        <v>1728.9155260538548</v>
      </c>
      <c r="O1424" s="517">
        <f t="shared" si="1149"/>
        <v>1728.9155260538548</v>
      </c>
      <c r="P1424" s="511">
        <f t="shared" si="1114"/>
        <v>3.6567143979482353E-7</v>
      </c>
      <c r="Q1424" s="530">
        <v>1905</v>
      </c>
      <c r="R1424" s="480"/>
      <c r="U1424" s="513"/>
    </row>
    <row r="1425" spans="1:21" s="479" customFormat="1" ht="45" x14ac:dyDescent="0.15">
      <c r="A1425" s="579"/>
      <c r="B1425" s="518" t="s">
        <v>301</v>
      </c>
      <c r="C1425" s="517">
        <f>'ENAJENAC DE INMUE'!I107</f>
        <v>119821.63912199877</v>
      </c>
      <c r="D1425" s="517">
        <f t="shared" ref="D1425:O1425" si="1150">$C1425*D$27%</f>
        <v>5174.583475123367</v>
      </c>
      <c r="E1425" s="517">
        <f t="shared" si="1150"/>
        <v>5250.7999052764062</v>
      </c>
      <c r="F1425" s="517">
        <f t="shared" si="1150"/>
        <v>5180.0121001664766</v>
      </c>
      <c r="G1425" s="517">
        <f t="shared" si="1150"/>
        <v>5149.6690321558544</v>
      </c>
      <c r="H1425" s="517">
        <f t="shared" si="1150"/>
        <v>7143.5744098309706</v>
      </c>
      <c r="I1425" s="517">
        <f t="shared" si="1150"/>
        <v>5141.7847683016271</v>
      </c>
      <c r="J1425" s="517">
        <f t="shared" si="1150"/>
        <v>5909.3452725774268</v>
      </c>
      <c r="K1425" s="517">
        <f t="shared" si="1150"/>
        <v>5903.262562294959</v>
      </c>
      <c r="L1425" s="517">
        <f t="shared" si="1150"/>
        <v>5895.7842823121637</v>
      </c>
      <c r="M1425" s="517">
        <f t="shared" si="1150"/>
        <v>5148.8260516970695</v>
      </c>
      <c r="N1425" s="517">
        <f t="shared" si="1150"/>
        <v>21406.925242261699</v>
      </c>
      <c r="O1425" s="517">
        <f t="shared" si="1150"/>
        <v>42517.072019761101</v>
      </c>
      <c r="P1425" s="511">
        <f t="shared" si="1114"/>
        <v>2.3965549189597368E-7</v>
      </c>
      <c r="Q1425" s="530">
        <v>27818</v>
      </c>
      <c r="R1425" s="480"/>
      <c r="U1425" s="513"/>
    </row>
    <row r="1426" spans="1:21" s="479" customFormat="1" ht="27" x14ac:dyDescent="0.15">
      <c r="A1426" s="579"/>
      <c r="B1426" s="518" t="s">
        <v>248</v>
      </c>
      <c r="C1426" s="517">
        <f>'IMP BEBIDAS AL'!I107</f>
        <v>46832.628476828948</v>
      </c>
      <c r="D1426" s="517">
        <f t="shared" ref="D1426:O1426" si="1151">$C1426*D$28%</f>
        <v>10649.299274130792</v>
      </c>
      <c r="E1426" s="517">
        <f t="shared" si="1151"/>
        <v>3662.9722197732121</v>
      </c>
      <c r="F1426" s="517">
        <f t="shared" si="1151"/>
        <v>3936.4243370248423</v>
      </c>
      <c r="G1426" s="517">
        <f t="shared" si="1151"/>
        <v>3908.1660572955575</v>
      </c>
      <c r="H1426" s="517">
        <f t="shared" si="1151"/>
        <v>2488.7389781925008</v>
      </c>
      <c r="I1426" s="517">
        <f t="shared" si="1151"/>
        <v>4072.8253413827988</v>
      </c>
      <c r="J1426" s="517">
        <f t="shared" si="1151"/>
        <v>4049.9000100375342</v>
      </c>
      <c r="K1426" s="517">
        <f t="shared" si="1151"/>
        <v>3703.9290575233722</v>
      </c>
      <c r="L1426" s="517">
        <f t="shared" si="1151"/>
        <v>2686.1935791514302</v>
      </c>
      <c r="M1426" s="517">
        <f t="shared" si="1151"/>
        <v>2497.0548784066305</v>
      </c>
      <c r="N1426" s="517">
        <f t="shared" si="1151"/>
        <v>2514.7055824502345</v>
      </c>
      <c r="O1426" s="517">
        <f t="shared" si="1151"/>
        <v>2662.4191614600445</v>
      </c>
      <c r="P1426" s="511">
        <f t="shared" si="1114"/>
        <v>0</v>
      </c>
      <c r="Q1426" s="530">
        <v>1192</v>
      </c>
      <c r="R1426" s="480"/>
      <c r="U1426" s="513"/>
    </row>
    <row r="1427" spans="1:21" s="479" customFormat="1" ht="18" x14ac:dyDescent="0.15">
      <c r="A1427" s="579"/>
      <c r="B1427" s="518" t="s">
        <v>253</v>
      </c>
      <c r="C1427" s="517">
        <f>'FOND GASO Y D'!Q108</f>
        <v>0</v>
      </c>
      <c r="D1427" s="517">
        <f t="shared" ref="D1427:O1427" si="1152">$C1427*D$29%</f>
        <v>0</v>
      </c>
      <c r="E1427" s="517">
        <f t="shared" si="1152"/>
        <v>0</v>
      </c>
      <c r="F1427" s="517">
        <f t="shared" si="1152"/>
        <v>0</v>
      </c>
      <c r="G1427" s="517">
        <f t="shared" si="1152"/>
        <v>0</v>
      </c>
      <c r="H1427" s="517">
        <f t="shared" si="1152"/>
        <v>0</v>
      </c>
      <c r="I1427" s="517">
        <f t="shared" si="1152"/>
        <v>0</v>
      </c>
      <c r="J1427" s="517">
        <f t="shared" si="1152"/>
        <v>0</v>
      </c>
      <c r="K1427" s="517">
        <f t="shared" si="1152"/>
        <v>0</v>
      </c>
      <c r="L1427" s="517">
        <f t="shared" si="1152"/>
        <v>0</v>
      </c>
      <c r="M1427" s="517">
        <f t="shared" si="1152"/>
        <v>0</v>
      </c>
      <c r="N1427" s="517">
        <f t="shared" si="1152"/>
        <v>0</v>
      </c>
      <c r="O1427" s="517">
        <f t="shared" si="1152"/>
        <v>0</v>
      </c>
      <c r="P1427" s="511">
        <f t="shared" si="1114"/>
        <v>0</v>
      </c>
      <c r="Q1427" s="530">
        <v>47378</v>
      </c>
      <c r="R1427" s="480"/>
      <c r="U1427" s="513"/>
    </row>
    <row r="1428" spans="1:21" s="479" customFormat="1" ht="18" x14ac:dyDescent="0.15">
      <c r="A1428" s="579"/>
      <c r="B1428" s="528" t="s">
        <v>408</v>
      </c>
      <c r="C1428" s="519">
        <f>'FOND GASO Y D'!H108</f>
        <v>1534487.8026440963</v>
      </c>
      <c r="D1428" s="517">
        <f t="shared" ref="D1428:O1428" si="1153">$C1428*D$30%</f>
        <v>119369.03777828442</v>
      </c>
      <c r="E1428" s="517">
        <f t="shared" si="1153"/>
        <v>131243.54032218305</v>
      </c>
      <c r="F1428" s="517">
        <f t="shared" si="1153"/>
        <v>127779.12796819047</v>
      </c>
      <c r="G1428" s="517">
        <f t="shared" si="1153"/>
        <v>119063.52577737902</v>
      </c>
      <c r="H1428" s="517">
        <f t="shared" si="1153"/>
        <v>131190.98707496945</v>
      </c>
      <c r="I1428" s="517">
        <f t="shared" si="1153"/>
        <v>126614.89114497973</v>
      </c>
      <c r="J1428" s="517">
        <f t="shared" si="1153"/>
        <v>129254.63580789222</v>
      </c>
      <c r="K1428" s="517">
        <f t="shared" si="1153"/>
        <v>129177.82879786774</v>
      </c>
      <c r="L1428" s="517">
        <f t="shared" si="1153"/>
        <v>134424.97702859103</v>
      </c>
      <c r="M1428" s="517">
        <f t="shared" si="1153"/>
        <v>133244.57103119607</v>
      </c>
      <c r="N1428" s="517">
        <f t="shared" si="1153"/>
        <v>124528.96884038465</v>
      </c>
      <c r="O1428" s="517">
        <f t="shared" si="1153"/>
        <v>128595.71107371293</v>
      </c>
      <c r="P1428" s="511">
        <f t="shared" si="1114"/>
        <v>-1.5346013242378831E-6</v>
      </c>
      <c r="Q1428" s="530">
        <v>93779</v>
      </c>
      <c r="R1428" s="480"/>
      <c r="U1428" s="513"/>
    </row>
    <row r="1429" spans="1:21" s="479" customFormat="1" x14ac:dyDescent="0.15">
      <c r="A1429" s="579"/>
      <c r="B1429" s="534"/>
      <c r="C1429" s="521"/>
      <c r="D1429" s="522"/>
      <c r="E1429" s="522"/>
      <c r="F1429" s="522"/>
      <c r="G1429" s="522"/>
      <c r="H1429" s="522"/>
      <c r="I1429" s="522"/>
      <c r="J1429" s="522"/>
      <c r="K1429" s="522"/>
      <c r="L1429" s="522"/>
      <c r="M1429" s="522"/>
      <c r="N1429" s="522"/>
      <c r="O1429" s="522"/>
      <c r="P1429" s="511">
        <f t="shared" si="1114"/>
        <v>0</v>
      </c>
      <c r="Q1429" s="530">
        <v>0</v>
      </c>
      <c r="R1429" s="480"/>
      <c r="U1429" s="513"/>
    </row>
    <row r="1430" spans="1:21" s="479" customFormat="1" x14ac:dyDescent="0.15">
      <c r="A1430" s="591"/>
      <c r="B1430" s="532"/>
      <c r="C1430" s="521"/>
      <c r="D1430" s="521"/>
      <c r="E1430" s="521"/>
      <c r="F1430" s="521"/>
      <c r="G1430" s="521"/>
      <c r="H1430" s="521"/>
      <c r="I1430" s="521"/>
      <c r="J1430" s="521"/>
      <c r="K1430" s="521"/>
      <c r="L1430" s="521"/>
      <c r="M1430" s="521"/>
      <c r="N1430" s="521"/>
      <c r="O1430" s="521"/>
      <c r="P1430" s="511">
        <f t="shared" si="1114"/>
        <v>0</v>
      </c>
      <c r="Q1430" s="530">
        <v>0</v>
      </c>
      <c r="R1430" s="480"/>
      <c r="U1430" s="513"/>
    </row>
    <row r="1431" spans="1:21" s="479" customFormat="1" x14ac:dyDescent="0.15">
      <c r="A1431" s="576">
        <v>94</v>
      </c>
      <c r="B1431" s="533" t="s">
        <v>76</v>
      </c>
      <c r="C1431" s="524">
        <f t="shared" ref="C1431:O1431" si="1154">SUM(C1432:C1443)</f>
        <v>24389720.807009567</v>
      </c>
      <c r="D1431" s="524">
        <f t="shared" si="1154"/>
        <v>1908447.7600365342</v>
      </c>
      <c r="E1431" s="524">
        <f t="shared" si="1154"/>
        <v>2551304.606839865</v>
      </c>
      <c r="F1431" s="524">
        <f t="shared" si="1154"/>
        <v>1711092.8631496096</v>
      </c>
      <c r="G1431" s="524">
        <f t="shared" si="1154"/>
        <v>2158080.9625360854</v>
      </c>
      <c r="H1431" s="524">
        <f t="shared" si="1154"/>
        <v>2442192.2716373685</v>
      </c>
      <c r="I1431" s="524">
        <f t="shared" si="1154"/>
        <v>2395500.4463710007</v>
      </c>
      <c r="J1431" s="524">
        <f t="shared" si="1154"/>
        <v>2075305.0973044375</v>
      </c>
      <c r="K1431" s="524">
        <f t="shared" si="1154"/>
        <v>2024940.5349100055</v>
      </c>
      <c r="L1431" s="524">
        <f t="shared" si="1154"/>
        <v>1921682.4290953956</v>
      </c>
      <c r="M1431" s="524">
        <f t="shared" si="1154"/>
        <v>1446871.0447558118</v>
      </c>
      <c r="N1431" s="524">
        <f t="shared" si="1154"/>
        <v>1866292.0511284843</v>
      </c>
      <c r="O1431" s="524">
        <f t="shared" si="1154"/>
        <v>1888010.7391760666</v>
      </c>
      <c r="P1431" s="511">
        <f t="shared" si="1114"/>
        <v>6.8900175392627716E-5</v>
      </c>
      <c r="Q1431" s="530">
        <v>1448328</v>
      </c>
      <c r="R1431" s="480"/>
      <c r="T1431" s="512"/>
      <c r="U1431" s="513"/>
    </row>
    <row r="1432" spans="1:21" s="479" customFormat="1" x14ac:dyDescent="0.15">
      <c r="A1432" s="579"/>
      <c r="B1432" s="528" t="s">
        <v>294</v>
      </c>
      <c r="C1432" s="517">
        <f>'FG1'!I109</f>
        <v>16338564.861878745</v>
      </c>
      <c r="D1432" s="517">
        <f t="shared" ref="D1432:O1432" si="1155">$C1432*D$19%</f>
        <v>1235762.4286723481</v>
      </c>
      <c r="E1432" s="517">
        <f t="shared" si="1155"/>
        <v>1770538.2588508753</v>
      </c>
      <c r="F1432" s="517">
        <f t="shared" si="1155"/>
        <v>1144468.4188486522</v>
      </c>
      <c r="G1432" s="517">
        <f t="shared" si="1155"/>
        <v>1405863.4950913989</v>
      </c>
      <c r="H1432" s="517">
        <f t="shared" si="1155"/>
        <v>1716866.512639951</v>
      </c>
      <c r="I1432" s="517">
        <f t="shared" si="1155"/>
        <v>1683135.1257285324</v>
      </c>
      <c r="J1432" s="517">
        <f t="shared" si="1155"/>
        <v>1304772.3990862987</v>
      </c>
      <c r="K1432" s="517">
        <f t="shared" si="1155"/>
        <v>1385322.1697351683</v>
      </c>
      <c r="L1432" s="517">
        <f t="shared" si="1155"/>
        <v>1301859.2343111881</v>
      </c>
      <c r="M1432" s="517">
        <f t="shared" si="1155"/>
        <v>863032.62244634377</v>
      </c>
      <c r="N1432" s="517">
        <f t="shared" si="1155"/>
        <v>1259552.1231694873</v>
      </c>
      <c r="O1432" s="517">
        <f t="shared" si="1155"/>
        <v>1267392.0732821629</v>
      </c>
      <c r="P1432" s="511">
        <f t="shared" si="1114"/>
        <v>1.6337959095835686E-5</v>
      </c>
      <c r="Q1432" s="530">
        <v>985921</v>
      </c>
      <c r="R1432" s="480"/>
      <c r="U1432" s="513"/>
    </row>
    <row r="1433" spans="1:21" s="479" customFormat="1" x14ac:dyDescent="0.15">
      <c r="A1433" s="579"/>
      <c r="B1433" s="528" t="s">
        <v>296</v>
      </c>
      <c r="C1433" s="517">
        <f>FFM!J109</f>
        <v>4391739.1749150222</v>
      </c>
      <c r="D1433" s="517">
        <f t="shared" ref="D1433:O1433" si="1156">$C1433*D$20%</f>
        <v>332117.10620457889</v>
      </c>
      <c r="E1433" s="517">
        <f t="shared" si="1156"/>
        <v>476143.83433472121</v>
      </c>
      <c r="F1433" s="517">
        <f t="shared" si="1156"/>
        <v>307529.65106125834</v>
      </c>
      <c r="G1433" s="517">
        <f t="shared" si="1156"/>
        <v>377929.01333356008</v>
      </c>
      <c r="H1433" s="517">
        <f t="shared" si="1156"/>
        <v>461688.87037803594</v>
      </c>
      <c r="I1433" s="517">
        <f t="shared" si="1156"/>
        <v>452604.27505354618</v>
      </c>
      <c r="J1433" s="517">
        <f t="shared" si="1156"/>
        <v>350672.24040652567</v>
      </c>
      <c r="K1433" s="517">
        <f t="shared" si="1156"/>
        <v>372366.04055297567</v>
      </c>
      <c r="L1433" s="517">
        <f t="shared" si="1156"/>
        <v>349887.66008522449</v>
      </c>
      <c r="M1433" s="517">
        <f t="shared" si="1156"/>
        <v>231702.13687184252</v>
      </c>
      <c r="N1433" s="517">
        <f t="shared" si="1156"/>
        <v>338493.43862360681</v>
      </c>
      <c r="O1433" s="517">
        <f t="shared" si="1156"/>
        <v>340604.90795644559</v>
      </c>
      <c r="P1433" s="511">
        <f t="shared" si="1114"/>
        <v>5.2700750529766083E-5</v>
      </c>
      <c r="Q1433" s="530">
        <v>301856</v>
      </c>
      <c r="R1433" s="480"/>
      <c r="U1433" s="513"/>
    </row>
    <row r="1434" spans="1:21" s="479" customFormat="1" ht="18" x14ac:dyDescent="0.15">
      <c r="A1434" s="579"/>
      <c r="B1434" s="528" t="s">
        <v>297</v>
      </c>
      <c r="C1434" s="517">
        <f>IEPS!I108</f>
        <v>395131.86262865522</v>
      </c>
      <c r="D1434" s="517">
        <f t="shared" ref="D1434:O1434" si="1157">$C1434*D$21%</f>
        <v>27753.991273193573</v>
      </c>
      <c r="E1434" s="517">
        <f t="shared" si="1157"/>
        <v>63437.483194654866</v>
      </c>
      <c r="F1434" s="517">
        <f t="shared" si="1157"/>
        <v>26349.381229990395</v>
      </c>
      <c r="G1434" s="517">
        <f t="shared" si="1157"/>
        <v>25607.908806365376</v>
      </c>
      <c r="H1434" s="517">
        <f t="shared" si="1157"/>
        <v>28272.540080622501</v>
      </c>
      <c r="I1434" s="517">
        <f t="shared" si="1157"/>
        <v>29319.187333216687</v>
      </c>
      <c r="J1434" s="517">
        <f t="shared" si="1157"/>
        <v>30193.343039315972</v>
      </c>
      <c r="K1434" s="517">
        <f t="shared" si="1157"/>
        <v>33445.384649310923</v>
      </c>
      <c r="L1434" s="517">
        <f t="shared" si="1157"/>
        <v>33515.467939958944</v>
      </c>
      <c r="M1434" s="517">
        <f t="shared" si="1157"/>
        <v>33142.968525111282</v>
      </c>
      <c r="N1434" s="517">
        <f t="shared" si="1157"/>
        <v>32071.427333750773</v>
      </c>
      <c r="O1434" s="517">
        <f t="shared" si="1157"/>
        <v>32022.779222768779</v>
      </c>
      <c r="P1434" s="511">
        <f t="shared" si="1114"/>
        <v>3.9512815419584513E-7</v>
      </c>
      <c r="Q1434" s="530">
        <v>25464</v>
      </c>
      <c r="R1434" s="480"/>
      <c r="U1434" s="513"/>
    </row>
    <row r="1435" spans="1:21" s="479" customFormat="1" x14ac:dyDescent="0.15">
      <c r="A1435" s="579"/>
      <c r="B1435" s="528" t="s">
        <v>236</v>
      </c>
      <c r="C1435" s="517">
        <f>ISR!C99</f>
        <v>1328336.4099999999</v>
      </c>
      <c r="D1435" s="517">
        <f>ISR!D99</f>
        <v>111372.83521099595</v>
      </c>
      <c r="E1435" s="517">
        <f>ISR!E99</f>
        <v>111355.27566375522</v>
      </c>
      <c r="F1435" s="517">
        <f>ISR!F99</f>
        <v>110502.012168794</v>
      </c>
      <c r="G1435" s="517">
        <f>ISR!G99</f>
        <v>108975.93445837054</v>
      </c>
      <c r="H1435" s="517">
        <f>ISR!H99</f>
        <v>111372.83521099595</v>
      </c>
      <c r="I1435" s="517">
        <f>ISR!I99</f>
        <v>111372.83521099595</v>
      </c>
      <c r="J1435" s="517">
        <f>ISR!J99</f>
        <v>106114.68608886552</v>
      </c>
      <c r="K1435" s="517">
        <f>ISR!K99</f>
        <v>111372.83521099595</v>
      </c>
      <c r="L1435" s="517">
        <f>ISR!L99</f>
        <v>111778.65514324266</v>
      </c>
      <c r="M1435" s="517">
        <f>ISR!M99</f>
        <v>111372.83521099595</v>
      </c>
      <c r="N1435" s="517">
        <f>ISR!N99</f>
        <v>111372.83521099595</v>
      </c>
      <c r="O1435" s="517">
        <f>ISR!O99</f>
        <v>111372.83521099595</v>
      </c>
      <c r="P1435" s="511">
        <f t="shared" si="1114"/>
        <v>3.2014213502407074E-10</v>
      </c>
      <c r="Q1435" s="530">
        <v>0</v>
      </c>
      <c r="R1435" s="480"/>
      <c r="U1435" s="513"/>
    </row>
    <row r="1436" spans="1:21" s="479" customFormat="1" ht="18" x14ac:dyDescent="0.15">
      <c r="A1436" s="579"/>
      <c r="B1436" s="528" t="s">
        <v>298</v>
      </c>
      <c r="C1436" s="517">
        <f>FOFIR!I108</f>
        <v>764183.07761499216</v>
      </c>
      <c r="D1436" s="517">
        <f t="shared" ref="D1436:O1436" si="1158">$C1436*D$23%</f>
        <v>104475.66817533254</v>
      </c>
      <c r="E1436" s="517">
        <f t="shared" si="1158"/>
        <v>26580.784416825729</v>
      </c>
      <c r="F1436" s="517">
        <f t="shared" si="1158"/>
        <v>26580.784416825729</v>
      </c>
      <c r="G1436" s="517">
        <f t="shared" si="1158"/>
        <v>150004.25532385716</v>
      </c>
      <c r="H1436" s="517">
        <f t="shared" si="1158"/>
        <v>26580.784416825729</v>
      </c>
      <c r="I1436" s="517">
        <f t="shared" si="1158"/>
        <v>26580.784416825729</v>
      </c>
      <c r="J1436" s="517">
        <f t="shared" si="1158"/>
        <v>186581.12317276659</v>
      </c>
      <c r="K1436" s="517">
        <f t="shared" si="1158"/>
        <v>26580.784416825729</v>
      </c>
      <c r="L1436" s="517">
        <f t="shared" si="1158"/>
        <v>26580.784416825729</v>
      </c>
      <c r="M1436" s="517">
        <f t="shared" si="1158"/>
        <v>110475.75561148679</v>
      </c>
      <c r="N1436" s="517">
        <f t="shared" si="1158"/>
        <v>26580.784416825729</v>
      </c>
      <c r="O1436" s="517">
        <f t="shared" si="1158"/>
        <v>26580.784416825729</v>
      </c>
      <c r="P1436" s="511">
        <f t="shared" si="1114"/>
        <v>-3.0568044167011976E-6</v>
      </c>
      <c r="Q1436" s="530">
        <v>29992</v>
      </c>
      <c r="R1436" s="480"/>
      <c r="U1436" s="513"/>
    </row>
    <row r="1437" spans="1:21" s="479" customFormat="1" ht="27" x14ac:dyDescent="0.15">
      <c r="A1437" s="579"/>
      <c r="B1437" s="528" t="s">
        <v>407</v>
      </c>
      <c r="C1437" s="517">
        <f>FCISAN!I108</f>
        <v>48511.296075847225</v>
      </c>
      <c r="D1437" s="517">
        <f t="shared" ref="D1437:O1437" si="1159">$C1437*D$24%</f>
        <v>4042.6080063044324</v>
      </c>
      <c r="E1437" s="517">
        <f t="shared" si="1159"/>
        <v>4042.6080063044324</v>
      </c>
      <c r="F1437" s="517">
        <f t="shared" si="1159"/>
        <v>4042.6080063044324</v>
      </c>
      <c r="G1437" s="517">
        <f t="shared" si="1159"/>
        <v>4042.6080063044324</v>
      </c>
      <c r="H1437" s="517">
        <f t="shared" si="1159"/>
        <v>4042.6080063044324</v>
      </c>
      <c r="I1437" s="517">
        <f t="shared" si="1159"/>
        <v>4042.6080063044324</v>
      </c>
      <c r="J1437" s="517">
        <f t="shared" si="1159"/>
        <v>4042.6080063044324</v>
      </c>
      <c r="K1437" s="517">
        <f t="shared" si="1159"/>
        <v>4042.6080063044324</v>
      </c>
      <c r="L1437" s="517">
        <f t="shared" si="1159"/>
        <v>4042.6080063044324</v>
      </c>
      <c r="M1437" s="517">
        <f t="shared" si="1159"/>
        <v>4042.6080063044324</v>
      </c>
      <c r="N1437" s="517">
        <f t="shared" si="1159"/>
        <v>4042.6080063044324</v>
      </c>
      <c r="O1437" s="517">
        <f t="shared" si="1159"/>
        <v>4042.6080063044324</v>
      </c>
      <c r="P1437" s="511">
        <f t="shared" si="1114"/>
        <v>1.9403069018153474E-7</v>
      </c>
      <c r="Q1437" s="530">
        <v>3572</v>
      </c>
      <c r="R1437" s="480"/>
      <c r="U1437" s="513"/>
    </row>
    <row r="1438" spans="1:21" s="479" customFormat="1" ht="27" x14ac:dyDescent="0.15">
      <c r="A1438" s="579"/>
      <c r="B1438" s="528" t="s">
        <v>242</v>
      </c>
      <c r="C1438" s="517">
        <f>ISAN!I108</f>
        <v>242319.6130823995</v>
      </c>
      <c r="D1438" s="517">
        <f t="shared" ref="D1438:O1438" si="1160">$C1438*D$25%</f>
        <v>23319.290540981488</v>
      </c>
      <c r="E1438" s="517">
        <f t="shared" si="1160"/>
        <v>26045.212408405641</v>
      </c>
      <c r="F1438" s="517">
        <f t="shared" si="1160"/>
        <v>20213.384420914845</v>
      </c>
      <c r="G1438" s="517">
        <f t="shared" si="1160"/>
        <v>18760.105767833858</v>
      </c>
      <c r="H1438" s="517">
        <f t="shared" si="1160"/>
        <v>20058.700688444827</v>
      </c>
      <c r="I1438" s="517">
        <f t="shared" si="1160"/>
        <v>17421.591885709346</v>
      </c>
      <c r="J1438" s="517">
        <f t="shared" si="1160"/>
        <v>18873.623664077961</v>
      </c>
      <c r="K1438" s="517">
        <f t="shared" si="1160"/>
        <v>19463.667145087074</v>
      </c>
      <c r="L1438" s="517">
        <f t="shared" si="1160"/>
        <v>19125.608231033773</v>
      </c>
      <c r="M1438" s="517">
        <f t="shared" si="1160"/>
        <v>19594.649490792468</v>
      </c>
      <c r="N1438" s="517">
        <f t="shared" si="1160"/>
        <v>18972.171886024429</v>
      </c>
      <c r="O1438" s="517">
        <f t="shared" si="1160"/>
        <v>20471.606950185953</v>
      </c>
      <c r="P1438" s="511">
        <f t="shared" si="1114"/>
        <v>2.9078437364660203E-6</v>
      </c>
      <c r="Q1438" s="530">
        <v>15328</v>
      </c>
      <c r="R1438" s="480"/>
      <c r="U1438" s="513"/>
    </row>
    <row r="1439" spans="1:21" s="479" customFormat="1" ht="18" x14ac:dyDescent="0.15">
      <c r="A1439" s="579"/>
      <c r="B1439" s="528" t="s">
        <v>403</v>
      </c>
      <c r="C1439" s="517">
        <f>LOT!I108</f>
        <v>11729.964304448729</v>
      </c>
      <c r="D1439" s="517">
        <f t="shared" ref="D1439:O1439" si="1161">$C1439*D$26%</f>
        <v>886.90716334687488</v>
      </c>
      <c r="E1439" s="517">
        <f t="shared" si="1161"/>
        <v>874.33584462001886</v>
      </c>
      <c r="F1439" s="517">
        <f t="shared" si="1161"/>
        <v>859.36481290419897</v>
      </c>
      <c r="G1439" s="517">
        <f t="shared" si="1161"/>
        <v>945.49318762255052</v>
      </c>
      <c r="H1439" s="517">
        <f t="shared" si="1161"/>
        <v>773.5855253486975</v>
      </c>
      <c r="I1439" s="517">
        <f t="shared" si="1161"/>
        <v>1049.7949984852382</v>
      </c>
      <c r="J1439" s="517">
        <f t="shared" si="1161"/>
        <v>2409.2783927620012</v>
      </c>
      <c r="K1439" s="517">
        <f t="shared" si="1161"/>
        <v>877.0637413537537</v>
      </c>
      <c r="L1439" s="517">
        <f t="shared" si="1161"/>
        <v>1064.2079087987718</v>
      </c>
      <c r="M1439" s="517">
        <f t="shared" si="1161"/>
        <v>658.89053245548791</v>
      </c>
      <c r="N1439" s="517">
        <f t="shared" si="1161"/>
        <v>665.52109830518816</v>
      </c>
      <c r="O1439" s="517">
        <f t="shared" si="1161"/>
        <v>665.52109830518816</v>
      </c>
      <c r="P1439" s="511">
        <f t="shared" si="1114"/>
        <v>1.4075840226723813E-7</v>
      </c>
      <c r="Q1439" s="530">
        <v>748</v>
      </c>
      <c r="R1439" s="480"/>
      <c r="U1439" s="513"/>
    </row>
    <row r="1440" spans="1:21" s="479" customFormat="1" ht="45" x14ac:dyDescent="0.15">
      <c r="A1440" s="579"/>
      <c r="B1440" s="518" t="s">
        <v>301</v>
      </c>
      <c r="C1440" s="517">
        <f>'ENAJENAC DE INMUE'!I108</f>
        <v>46123.611979592199</v>
      </c>
      <c r="D1440" s="517">
        <f t="shared" ref="D1440:O1440" si="1162">$C1440*D$27%</f>
        <v>1991.8812838104552</v>
      </c>
      <c r="E1440" s="517">
        <f t="shared" si="1162"/>
        <v>2021.2196994472934</v>
      </c>
      <c r="F1440" s="517">
        <f t="shared" si="1162"/>
        <v>1993.9709547322168</v>
      </c>
      <c r="G1440" s="517">
        <f t="shared" si="1162"/>
        <v>1982.2908282922226</v>
      </c>
      <c r="H1440" s="517">
        <f t="shared" si="1162"/>
        <v>2749.8159484441194</v>
      </c>
      <c r="I1440" s="517">
        <f t="shared" si="1162"/>
        <v>1979.2558946239656</v>
      </c>
      <c r="J1440" s="517">
        <f t="shared" si="1162"/>
        <v>2274.7172414181887</v>
      </c>
      <c r="K1440" s="517">
        <f t="shared" si="1162"/>
        <v>2272.3757898163858</v>
      </c>
      <c r="L1440" s="517">
        <f t="shared" si="1162"/>
        <v>2269.497133784565</v>
      </c>
      <c r="M1440" s="517">
        <f t="shared" si="1162"/>
        <v>1981.9663351216043</v>
      </c>
      <c r="N1440" s="517">
        <f t="shared" si="1162"/>
        <v>8240.287153348916</v>
      </c>
      <c r="O1440" s="517">
        <f t="shared" si="1162"/>
        <v>16366.333716660018</v>
      </c>
      <c r="P1440" s="511">
        <f t="shared" si="1114"/>
        <v>9.2248228611424565E-8</v>
      </c>
      <c r="Q1440" s="530">
        <v>10923</v>
      </c>
      <c r="R1440" s="480"/>
      <c r="U1440" s="513"/>
    </row>
    <row r="1441" spans="1:21" s="479" customFormat="1" ht="27" x14ac:dyDescent="0.15">
      <c r="A1441" s="579"/>
      <c r="B1441" s="518" t="s">
        <v>248</v>
      </c>
      <c r="C1441" s="517">
        <f>'IMP BEBIDAS AL'!I108</f>
        <v>18027.544938275467</v>
      </c>
      <c r="D1441" s="517">
        <f t="shared" ref="D1441:O1441" si="1163">$C1441*D$28%</f>
        <v>4099.2941773601742</v>
      </c>
      <c r="E1441" s="517">
        <f t="shared" si="1163"/>
        <v>1410.0083306724414</v>
      </c>
      <c r="F1441" s="517">
        <f t="shared" si="1163"/>
        <v>1515.2697796355153</v>
      </c>
      <c r="G1441" s="517">
        <f t="shared" si="1163"/>
        <v>1504.3921623787753</v>
      </c>
      <c r="H1441" s="517">
        <f t="shared" si="1163"/>
        <v>958.00417845863683</v>
      </c>
      <c r="I1441" s="517">
        <f t="shared" si="1163"/>
        <v>1567.7753791643904</v>
      </c>
      <c r="J1441" s="517">
        <f t="shared" si="1163"/>
        <v>1558.950603479291</v>
      </c>
      <c r="K1441" s="517">
        <f t="shared" si="1163"/>
        <v>1425.7740747078412</v>
      </c>
      <c r="L1441" s="517">
        <f t="shared" si="1163"/>
        <v>1034.0114795183567</v>
      </c>
      <c r="M1441" s="517">
        <f t="shared" si="1163"/>
        <v>961.20526431882092</v>
      </c>
      <c r="N1441" s="517">
        <f t="shared" si="1163"/>
        <v>967.99964829186035</v>
      </c>
      <c r="O1441" s="517">
        <f t="shared" si="1163"/>
        <v>1024.8598602893646</v>
      </c>
      <c r="P1441" s="511">
        <f t="shared" si="1114"/>
        <v>0</v>
      </c>
      <c r="Q1441" s="530">
        <v>468</v>
      </c>
      <c r="R1441" s="480"/>
      <c r="U1441" s="513"/>
    </row>
    <row r="1442" spans="1:21" s="479" customFormat="1" ht="18" x14ac:dyDescent="0.15">
      <c r="A1442" s="579"/>
      <c r="B1442" s="518" t="s">
        <v>253</v>
      </c>
      <c r="C1442" s="517">
        <f>'FOND GASO Y D'!Q109</f>
        <v>0</v>
      </c>
      <c r="D1442" s="517">
        <f t="shared" ref="D1442:O1442" si="1164">$C1442*D$29%</f>
        <v>0</v>
      </c>
      <c r="E1442" s="517">
        <f t="shared" si="1164"/>
        <v>0</v>
      </c>
      <c r="F1442" s="517">
        <f t="shared" si="1164"/>
        <v>0</v>
      </c>
      <c r="G1442" s="517">
        <f t="shared" si="1164"/>
        <v>0</v>
      </c>
      <c r="H1442" s="517">
        <f t="shared" si="1164"/>
        <v>0</v>
      </c>
      <c r="I1442" s="517">
        <f t="shared" si="1164"/>
        <v>0</v>
      </c>
      <c r="J1442" s="517">
        <f t="shared" si="1164"/>
        <v>0</v>
      </c>
      <c r="K1442" s="517">
        <f t="shared" si="1164"/>
        <v>0</v>
      </c>
      <c r="L1442" s="517">
        <f t="shared" si="1164"/>
        <v>0</v>
      </c>
      <c r="M1442" s="517">
        <f t="shared" si="1164"/>
        <v>0</v>
      </c>
      <c r="N1442" s="517">
        <f t="shared" si="1164"/>
        <v>0</v>
      </c>
      <c r="O1442" s="517">
        <f t="shared" si="1164"/>
        <v>0</v>
      </c>
      <c r="P1442" s="511">
        <f t="shared" si="1114"/>
        <v>0</v>
      </c>
      <c r="Q1442" s="530">
        <v>24856</v>
      </c>
      <c r="R1442" s="480"/>
      <c r="U1442" s="513"/>
    </row>
    <row r="1443" spans="1:21" s="479" customFormat="1" ht="18" x14ac:dyDescent="0.15">
      <c r="A1443" s="579"/>
      <c r="B1443" s="528" t="s">
        <v>408</v>
      </c>
      <c r="C1443" s="519">
        <f>'FOND GASO Y D'!H109</f>
        <v>805053.38959159469</v>
      </c>
      <c r="D1443" s="517">
        <f t="shared" ref="D1443:O1443" si="1165">$C1443*D$30%</f>
        <v>62625.749328281709</v>
      </c>
      <c r="E1443" s="517">
        <f t="shared" si="1165"/>
        <v>68855.586089582343</v>
      </c>
      <c r="F1443" s="517">
        <f t="shared" si="1165"/>
        <v>67038.01744959777</v>
      </c>
      <c r="G1443" s="517">
        <f t="shared" si="1165"/>
        <v>62465.465570101296</v>
      </c>
      <c r="H1443" s="517">
        <f t="shared" si="1165"/>
        <v>68828.014563936798</v>
      </c>
      <c r="I1443" s="517">
        <f t="shared" si="1165"/>
        <v>66427.212463596501</v>
      </c>
      <c r="J1443" s="517">
        <f t="shared" si="1165"/>
        <v>67812.127602623455</v>
      </c>
      <c r="K1443" s="517">
        <f t="shared" si="1165"/>
        <v>67771.831587459281</v>
      </c>
      <c r="L1443" s="517">
        <f t="shared" si="1165"/>
        <v>70524.694439516155</v>
      </c>
      <c r="M1443" s="517">
        <f t="shared" si="1165"/>
        <v>69905.406461039165</v>
      </c>
      <c r="N1443" s="517">
        <f t="shared" si="1165"/>
        <v>65332.854581542699</v>
      </c>
      <c r="O1443" s="517">
        <f t="shared" si="1165"/>
        <v>67466.429455122561</v>
      </c>
      <c r="P1443" s="511">
        <f t="shared" si="1114"/>
        <v>-8.0498284660279751E-7</v>
      </c>
      <c r="Q1443" s="530">
        <v>49200</v>
      </c>
      <c r="R1443" s="480"/>
      <c r="U1443" s="513"/>
    </row>
    <row r="1444" spans="1:21" s="479" customFormat="1" x14ac:dyDescent="0.15">
      <c r="A1444" s="579"/>
      <c r="B1444" s="534"/>
      <c r="C1444" s="521"/>
      <c r="D1444" s="522"/>
      <c r="E1444" s="522"/>
      <c r="F1444" s="522"/>
      <c r="G1444" s="522"/>
      <c r="H1444" s="522"/>
      <c r="I1444" s="522"/>
      <c r="J1444" s="522"/>
      <c r="K1444" s="522"/>
      <c r="L1444" s="522"/>
      <c r="M1444" s="522"/>
      <c r="N1444" s="522"/>
      <c r="O1444" s="522"/>
      <c r="P1444" s="511">
        <f t="shared" ref="P1444:P1507" si="1166">C1444-D1444-E1444-F1444-G1444-H1444-I1444-J1444-K1444-L1444-M1444-N1444-O1444</f>
        <v>0</v>
      </c>
      <c r="Q1444" s="530">
        <v>0</v>
      </c>
      <c r="R1444" s="480"/>
      <c r="U1444" s="513"/>
    </row>
    <row r="1445" spans="1:21" s="479" customFormat="1" x14ac:dyDescent="0.15">
      <c r="A1445" s="591"/>
      <c r="B1445" s="532"/>
      <c r="C1445" s="521"/>
      <c r="D1445" s="521"/>
      <c r="E1445" s="521"/>
      <c r="F1445" s="521"/>
      <c r="G1445" s="521"/>
      <c r="H1445" s="521"/>
      <c r="I1445" s="521"/>
      <c r="J1445" s="521"/>
      <c r="K1445" s="521"/>
      <c r="L1445" s="521"/>
      <c r="M1445" s="521"/>
      <c r="N1445" s="521"/>
      <c r="O1445" s="521"/>
      <c r="P1445" s="511">
        <f t="shared" si="1166"/>
        <v>0</v>
      </c>
      <c r="Q1445" s="530">
        <v>0</v>
      </c>
      <c r="R1445" s="480"/>
      <c r="U1445" s="513"/>
    </row>
    <row r="1446" spans="1:21" s="479" customFormat="1" x14ac:dyDescent="0.15">
      <c r="A1446" s="576">
        <v>95</v>
      </c>
      <c r="B1446" s="533" t="s">
        <v>100</v>
      </c>
      <c r="C1446" s="524">
        <f t="shared" ref="C1446:O1446" si="1167">SUM(C1447:C1458)</f>
        <v>37000582.333103597</v>
      </c>
      <c r="D1446" s="524">
        <f t="shared" si="1167"/>
        <v>2883664.4250748511</v>
      </c>
      <c r="E1446" s="524">
        <f t="shared" si="1167"/>
        <v>3919481.0467284471</v>
      </c>
      <c r="F1446" s="524">
        <f t="shared" si="1167"/>
        <v>2564727.1048808815</v>
      </c>
      <c r="G1446" s="524">
        <f t="shared" si="1167"/>
        <v>3290713.2762060827</v>
      </c>
      <c r="H1446" s="524">
        <f t="shared" si="1167"/>
        <v>3743263.690364433</v>
      </c>
      <c r="I1446" s="524">
        <f t="shared" si="1167"/>
        <v>3668759.559001409</v>
      </c>
      <c r="J1446" s="524">
        <f t="shared" si="1167"/>
        <v>3159668.6656740909</v>
      </c>
      <c r="K1446" s="524">
        <f t="shared" si="1167"/>
        <v>3069861.7565247021</v>
      </c>
      <c r="L1446" s="524">
        <f t="shared" si="1167"/>
        <v>2901433.5910387589</v>
      </c>
      <c r="M1446" s="524">
        <f t="shared" si="1167"/>
        <v>2135574.1768918396</v>
      </c>
      <c r="N1446" s="524">
        <f t="shared" si="1167"/>
        <v>2814579.4457194828</v>
      </c>
      <c r="O1446" s="524">
        <f t="shared" si="1167"/>
        <v>2848855.5948870354</v>
      </c>
      <c r="P1446" s="511">
        <f t="shared" si="1166"/>
        <v>1.115826889872551E-4</v>
      </c>
      <c r="Q1446" s="530">
        <v>2305706</v>
      </c>
      <c r="R1446" s="480"/>
      <c r="T1446" s="512"/>
      <c r="U1446" s="513"/>
    </row>
    <row r="1447" spans="1:21" s="479" customFormat="1" x14ac:dyDescent="0.15">
      <c r="A1447" s="579"/>
      <c r="B1447" s="528" t="s">
        <v>294</v>
      </c>
      <c r="C1447" s="517">
        <f>'FG1'!I110</f>
        <v>26384216.763513844</v>
      </c>
      <c r="D1447" s="517">
        <f t="shared" ref="D1447:O1447" si="1168">$C1447*D$19%</f>
        <v>1995562.2823624425</v>
      </c>
      <c r="E1447" s="517">
        <f t="shared" si="1168"/>
        <v>2859141.2773719146</v>
      </c>
      <c r="F1447" s="517">
        <f t="shared" si="1168"/>
        <v>1848136.7915215178</v>
      </c>
      <c r="G1447" s="517">
        <f t="shared" si="1168"/>
        <v>2270248.7952872398</v>
      </c>
      <c r="H1447" s="517">
        <f t="shared" si="1168"/>
        <v>2772469.8348017442</v>
      </c>
      <c r="I1447" s="517">
        <f t="shared" si="1168"/>
        <v>2717998.9414565568</v>
      </c>
      <c r="J1447" s="517">
        <f t="shared" si="1168"/>
        <v>2107002.5486059962</v>
      </c>
      <c r="K1447" s="517">
        <f t="shared" si="1168"/>
        <v>2237077.7802445926</v>
      </c>
      <c r="L1447" s="517">
        <f t="shared" si="1168"/>
        <v>2102298.2449205681</v>
      </c>
      <c r="M1447" s="517">
        <f t="shared" si="1168"/>
        <v>1393662.1715005268</v>
      </c>
      <c r="N1447" s="517">
        <f t="shared" si="1168"/>
        <v>2033978.9035073498</v>
      </c>
      <c r="O1447" s="517">
        <f t="shared" si="1168"/>
        <v>2046639.1919070114</v>
      </c>
      <c r="P1447" s="511">
        <f t="shared" si="1166"/>
        <v>2.6381807401776314E-5</v>
      </c>
      <c r="Q1447" s="530">
        <v>1588179</v>
      </c>
      <c r="R1447" s="480"/>
      <c r="U1447" s="513"/>
    </row>
    <row r="1448" spans="1:21" s="479" customFormat="1" x14ac:dyDescent="0.15">
      <c r="A1448" s="579"/>
      <c r="B1448" s="528" t="s">
        <v>296</v>
      </c>
      <c r="C1448" s="517">
        <f>FFM!J110</f>
        <v>7091969.1747301584</v>
      </c>
      <c r="D1448" s="517">
        <f t="shared" ref="D1448:O1448" si="1169">$C1448*D$20%</f>
        <v>536316.97735078505</v>
      </c>
      <c r="E1448" s="517">
        <f t="shared" si="1169"/>
        <v>768897.5281427101</v>
      </c>
      <c r="F1448" s="517">
        <f t="shared" si="1169"/>
        <v>496612.09802701161</v>
      </c>
      <c r="G1448" s="517">
        <f t="shared" si="1169"/>
        <v>610296.01395890117</v>
      </c>
      <c r="H1448" s="517">
        <f t="shared" si="1169"/>
        <v>745555.03107726667</v>
      </c>
      <c r="I1448" s="517">
        <f t="shared" si="1169"/>
        <v>730884.8360952466</v>
      </c>
      <c r="J1448" s="517">
        <f t="shared" si="1169"/>
        <v>566280.60555184609</v>
      </c>
      <c r="K1448" s="517">
        <f t="shared" si="1169"/>
        <v>601312.68641861493</v>
      </c>
      <c r="L1448" s="517">
        <f t="shared" si="1169"/>
        <v>565013.63152808126</v>
      </c>
      <c r="M1448" s="517">
        <f t="shared" si="1169"/>
        <v>374162.56907971104</v>
      </c>
      <c r="N1448" s="517">
        <f t="shared" si="1169"/>
        <v>546613.7529930803</v>
      </c>
      <c r="O1448" s="517">
        <f t="shared" si="1169"/>
        <v>550023.44442180009</v>
      </c>
      <c r="P1448" s="511">
        <f t="shared" si="1166"/>
        <v>8.5103092715144157E-5</v>
      </c>
      <c r="Q1448" s="530">
        <v>486248</v>
      </c>
      <c r="R1448" s="480"/>
      <c r="U1448" s="513"/>
    </row>
    <row r="1449" spans="1:21" s="479" customFormat="1" ht="18" x14ac:dyDescent="0.15">
      <c r="A1449" s="579"/>
      <c r="B1449" s="528" t="s">
        <v>297</v>
      </c>
      <c r="C1449" s="517">
        <f>IEPS!I109</f>
        <v>638075.91437174927</v>
      </c>
      <c r="D1449" s="517">
        <f t="shared" ref="D1449:O1449" si="1170">$C1449*D$21%</f>
        <v>44818.337962665377</v>
      </c>
      <c r="E1449" s="517">
        <f t="shared" si="1170"/>
        <v>102441.57437871071</v>
      </c>
      <c r="F1449" s="517">
        <f t="shared" si="1170"/>
        <v>42550.113295360061</v>
      </c>
      <c r="G1449" s="517">
        <f t="shared" si="1170"/>
        <v>41352.751757521735</v>
      </c>
      <c r="H1449" s="517">
        <f t="shared" si="1170"/>
        <v>45655.712863908273</v>
      </c>
      <c r="I1449" s="517">
        <f t="shared" si="1170"/>
        <v>47345.883831850064</v>
      </c>
      <c r="J1449" s="517">
        <f t="shared" si="1170"/>
        <v>48757.508036898755</v>
      </c>
      <c r="K1449" s="517">
        <f t="shared" si="1170"/>
        <v>54009.044600080531</v>
      </c>
      <c r="L1449" s="517">
        <f t="shared" si="1170"/>
        <v>54122.218109968904</v>
      </c>
      <c r="M1449" s="517">
        <f t="shared" si="1170"/>
        <v>53520.690045006872</v>
      </c>
      <c r="N1449" s="517">
        <f t="shared" si="1170"/>
        <v>51790.319274814348</v>
      </c>
      <c r="O1449" s="517">
        <f t="shared" si="1170"/>
        <v>51711.76021432555</v>
      </c>
      <c r="P1449" s="511">
        <f t="shared" si="1166"/>
        <v>6.3815969042479992E-7</v>
      </c>
      <c r="Q1449" s="530">
        <v>41016</v>
      </c>
      <c r="R1449" s="480"/>
      <c r="U1449" s="513"/>
    </row>
    <row r="1450" spans="1:21" s="479" customFormat="1" x14ac:dyDescent="0.15">
      <c r="A1450" s="579"/>
      <c r="B1450" s="528" t="s">
        <v>236</v>
      </c>
      <c r="C1450" s="517">
        <f>ISR!C100</f>
        <v>60465.120000000003</v>
      </c>
      <c r="D1450" s="517">
        <f>ISR!D100</f>
        <v>5038.7599999999984</v>
      </c>
      <c r="E1450" s="517">
        <f>ISR!E100</f>
        <v>5038.7599999999984</v>
      </c>
      <c r="F1450" s="517">
        <f>ISR!F100</f>
        <v>5038.7599999999984</v>
      </c>
      <c r="G1450" s="517">
        <f>ISR!G100</f>
        <v>5038.7599999999984</v>
      </c>
      <c r="H1450" s="517">
        <f>ISR!H100</f>
        <v>5038.7599999999984</v>
      </c>
      <c r="I1450" s="517">
        <f>ISR!I100</f>
        <v>5038.7599999999984</v>
      </c>
      <c r="J1450" s="517">
        <f>ISR!J100</f>
        <v>5038.7599999999984</v>
      </c>
      <c r="K1450" s="517">
        <f>ISR!K100</f>
        <v>5038.7599999999984</v>
      </c>
      <c r="L1450" s="517">
        <f>ISR!L100</f>
        <v>5038.7599999999984</v>
      </c>
      <c r="M1450" s="517">
        <f>ISR!M100</f>
        <v>5038.7599999999984</v>
      </c>
      <c r="N1450" s="517">
        <f>ISR!N100</f>
        <v>5038.7599999999984</v>
      </c>
      <c r="O1450" s="517">
        <f>ISR!O100</f>
        <v>5038.7599999999984</v>
      </c>
      <c r="P1450" s="511">
        <f t="shared" si="1166"/>
        <v>3.2741809263825417E-11</v>
      </c>
      <c r="Q1450" s="530">
        <v>0</v>
      </c>
      <c r="R1450" s="480"/>
      <c r="U1450" s="513"/>
    </row>
    <row r="1451" spans="1:21" s="479" customFormat="1" ht="18" x14ac:dyDescent="0.15">
      <c r="A1451" s="579"/>
      <c r="B1451" s="528" t="s">
        <v>298</v>
      </c>
      <c r="C1451" s="517">
        <f>FOFIR!I109</f>
        <v>1234035.6779955667</v>
      </c>
      <c r="D1451" s="517">
        <f t="shared" ref="D1451:O1451" si="1171">$C1451*D$23%</f>
        <v>168711.79928920345</v>
      </c>
      <c r="E1451" s="517">
        <f t="shared" si="1171"/>
        <v>42923.793107072088</v>
      </c>
      <c r="F1451" s="517">
        <f t="shared" si="1171"/>
        <v>42923.793107072088</v>
      </c>
      <c r="G1451" s="517">
        <f t="shared" si="1171"/>
        <v>242233.3186159062</v>
      </c>
      <c r="H1451" s="517">
        <f t="shared" si="1171"/>
        <v>42923.793107072088</v>
      </c>
      <c r="I1451" s="517">
        <f t="shared" si="1171"/>
        <v>42923.793107072088</v>
      </c>
      <c r="J1451" s="517">
        <f t="shared" si="1171"/>
        <v>301299.21687651123</v>
      </c>
      <c r="K1451" s="517">
        <f t="shared" si="1171"/>
        <v>42923.793107072088</v>
      </c>
      <c r="L1451" s="517">
        <f t="shared" si="1171"/>
        <v>42923.793107072088</v>
      </c>
      <c r="M1451" s="517">
        <f t="shared" si="1171"/>
        <v>178400.99836230528</v>
      </c>
      <c r="N1451" s="517">
        <f t="shared" si="1171"/>
        <v>42923.793107072088</v>
      </c>
      <c r="O1451" s="517">
        <f t="shared" si="1171"/>
        <v>42923.793107072088</v>
      </c>
      <c r="P1451" s="511">
        <f t="shared" si="1166"/>
        <v>-4.9362279241904616E-6</v>
      </c>
      <c r="Q1451" s="530">
        <v>48312</v>
      </c>
      <c r="R1451" s="480"/>
      <c r="U1451" s="513"/>
    </row>
    <row r="1452" spans="1:21" s="479" customFormat="1" ht="27" x14ac:dyDescent="0.15">
      <c r="A1452" s="579"/>
      <c r="B1452" s="528" t="s">
        <v>407</v>
      </c>
      <c r="C1452" s="517">
        <f>FCISAN!I109</f>
        <v>78338.125898101323</v>
      </c>
      <c r="D1452" s="517">
        <f t="shared" ref="D1452:O1452" si="1172">$C1452*D$24%</f>
        <v>6528.1771581489984</v>
      </c>
      <c r="E1452" s="517">
        <f t="shared" si="1172"/>
        <v>6528.1771581489984</v>
      </c>
      <c r="F1452" s="517">
        <f t="shared" si="1172"/>
        <v>6528.1771581489984</v>
      </c>
      <c r="G1452" s="517">
        <f t="shared" si="1172"/>
        <v>6528.1771581489984</v>
      </c>
      <c r="H1452" s="517">
        <f t="shared" si="1172"/>
        <v>6528.1771581489984</v>
      </c>
      <c r="I1452" s="517">
        <f t="shared" si="1172"/>
        <v>6528.1771581489984</v>
      </c>
      <c r="J1452" s="517">
        <f t="shared" si="1172"/>
        <v>6528.1771581489984</v>
      </c>
      <c r="K1452" s="517">
        <f t="shared" si="1172"/>
        <v>6528.1771581489984</v>
      </c>
      <c r="L1452" s="517">
        <f t="shared" si="1172"/>
        <v>6528.1771581489984</v>
      </c>
      <c r="M1452" s="517">
        <f t="shared" si="1172"/>
        <v>6528.1771581489984</v>
      </c>
      <c r="N1452" s="517">
        <f t="shared" si="1172"/>
        <v>6528.1771581489984</v>
      </c>
      <c r="O1452" s="517">
        <f t="shared" si="1172"/>
        <v>6528.1771581489984</v>
      </c>
      <c r="P1452" s="511">
        <f t="shared" si="1166"/>
        <v>3.1334820960182697E-7</v>
      </c>
      <c r="Q1452" s="530">
        <v>5752</v>
      </c>
      <c r="R1452" s="480"/>
      <c r="U1452" s="513"/>
    </row>
    <row r="1453" spans="1:21" s="479" customFormat="1" ht="27" x14ac:dyDescent="0.15">
      <c r="A1453" s="579"/>
      <c r="B1453" s="528" t="s">
        <v>242</v>
      </c>
      <c r="C1453" s="517">
        <f>ISAN!I109</f>
        <v>391308.12599911937</v>
      </c>
      <c r="D1453" s="517">
        <f t="shared" ref="D1453:O1453" si="1173">$C1453*D$25%</f>
        <v>37656.992618742501</v>
      </c>
      <c r="E1453" s="517">
        <f t="shared" si="1173"/>
        <v>42058.928409218723</v>
      </c>
      <c r="F1453" s="517">
        <f t="shared" si="1173"/>
        <v>32641.441925538005</v>
      </c>
      <c r="G1453" s="517">
        <f t="shared" si="1173"/>
        <v>30294.625095245905</v>
      </c>
      <c r="H1453" s="517">
        <f t="shared" si="1173"/>
        <v>32391.651986104545</v>
      </c>
      <c r="I1453" s="517">
        <f t="shared" si="1173"/>
        <v>28133.135349635242</v>
      </c>
      <c r="J1453" s="517">
        <f t="shared" si="1173"/>
        <v>30477.938673051667</v>
      </c>
      <c r="K1453" s="517">
        <f t="shared" si="1173"/>
        <v>31430.766246002437</v>
      </c>
      <c r="L1453" s="517">
        <f t="shared" si="1173"/>
        <v>30884.854181961171</v>
      </c>
      <c r="M1453" s="517">
        <f t="shared" si="1173"/>
        <v>31642.282167412883</v>
      </c>
      <c r="N1453" s="517">
        <f t="shared" si="1173"/>
        <v>30637.078577411387</v>
      </c>
      <c r="O1453" s="517">
        <f t="shared" si="1173"/>
        <v>33058.430764099205</v>
      </c>
      <c r="P1453" s="511">
        <f t="shared" si="1166"/>
        <v>4.6956993173807859E-6</v>
      </c>
      <c r="Q1453" s="530">
        <v>24687</v>
      </c>
      <c r="R1453" s="480"/>
      <c r="U1453" s="513"/>
    </row>
    <row r="1454" spans="1:21" s="479" customFormat="1" ht="18" x14ac:dyDescent="0.15">
      <c r="A1454" s="579"/>
      <c r="B1454" s="528" t="s">
        <v>403</v>
      </c>
      <c r="C1454" s="517">
        <f>LOT!I109</f>
        <v>18942.050507688709</v>
      </c>
      <c r="D1454" s="517">
        <f t="shared" ref="D1454:O1454" si="1174">$C1454*D$26%</f>
        <v>1432.2158062642939</v>
      </c>
      <c r="E1454" s="517">
        <f t="shared" si="1174"/>
        <v>1411.9151004742475</v>
      </c>
      <c r="F1454" s="517">
        <f t="shared" si="1174"/>
        <v>1387.7392350109812</v>
      </c>
      <c r="G1454" s="517">
        <f t="shared" si="1174"/>
        <v>1526.823036267001</v>
      </c>
      <c r="H1454" s="517">
        <f t="shared" si="1174"/>
        <v>1249.2191547091491</v>
      </c>
      <c r="I1454" s="517">
        <f t="shared" si="1174"/>
        <v>1695.2540832954326</v>
      </c>
      <c r="J1454" s="517">
        <f t="shared" si="1174"/>
        <v>3890.6062983902389</v>
      </c>
      <c r="K1454" s="517">
        <f t="shared" si="1174"/>
        <v>1416.3202253637212</v>
      </c>
      <c r="L1454" s="517">
        <f t="shared" si="1174"/>
        <v>1718.5286703304669</v>
      </c>
      <c r="M1454" s="517">
        <f t="shared" si="1174"/>
        <v>1064.0047506432982</v>
      </c>
      <c r="N1454" s="517">
        <f t="shared" si="1174"/>
        <v>1074.7120733562876</v>
      </c>
      <c r="O1454" s="517">
        <f t="shared" si="1174"/>
        <v>1074.7120733562876</v>
      </c>
      <c r="P1454" s="511">
        <f t="shared" si="1166"/>
        <v>2.2730137061444111E-7</v>
      </c>
      <c r="Q1454" s="530">
        <v>1205</v>
      </c>
      <c r="R1454" s="480"/>
      <c r="U1454" s="513"/>
    </row>
    <row r="1455" spans="1:21" s="479" customFormat="1" ht="45" x14ac:dyDescent="0.15">
      <c r="A1455" s="579"/>
      <c r="B1455" s="518" t="s">
        <v>301</v>
      </c>
      <c r="C1455" s="517">
        <f>'ENAJENAC DE INMUE'!I109</f>
        <v>74482.39099782423</v>
      </c>
      <c r="D1455" s="517">
        <f t="shared" ref="D1455:O1455" si="1175">$C1455*D$27%</f>
        <v>3216.5755073054911</v>
      </c>
      <c r="E1455" s="517">
        <f t="shared" si="1175"/>
        <v>3263.9524418284541</v>
      </c>
      <c r="F1455" s="517">
        <f t="shared" si="1175"/>
        <v>3219.9499977231176</v>
      </c>
      <c r="G1455" s="517">
        <f t="shared" si="1175"/>
        <v>3201.0884275409603</v>
      </c>
      <c r="H1455" s="517">
        <f t="shared" si="1175"/>
        <v>4440.5209794646835</v>
      </c>
      <c r="I1455" s="517">
        <f t="shared" si="1175"/>
        <v>3196.1874862133036</v>
      </c>
      <c r="J1455" s="517">
        <f t="shared" si="1175"/>
        <v>3673.3111678193341</v>
      </c>
      <c r="K1455" s="517">
        <f t="shared" si="1175"/>
        <v>3669.5300911381519</v>
      </c>
      <c r="L1455" s="517">
        <f t="shared" si="1175"/>
        <v>3664.8815136545581</v>
      </c>
      <c r="M1455" s="517">
        <f t="shared" si="1175"/>
        <v>3200.5644220224676</v>
      </c>
      <c r="N1455" s="517">
        <f t="shared" si="1175"/>
        <v>13306.769859256554</v>
      </c>
      <c r="O1455" s="517">
        <f t="shared" si="1175"/>
        <v>26429.05910370819</v>
      </c>
      <c r="P1455" s="511">
        <f t="shared" si="1166"/>
        <v>1.4897159417159855E-7</v>
      </c>
      <c r="Q1455" s="530">
        <v>17596</v>
      </c>
      <c r="R1455" s="480"/>
      <c r="U1455" s="513"/>
    </row>
    <row r="1456" spans="1:21" s="479" customFormat="1" ht="27" x14ac:dyDescent="0.15">
      <c r="A1456" s="579"/>
      <c r="B1456" s="518" t="s">
        <v>248</v>
      </c>
      <c r="C1456" s="517">
        <f>'IMP BEBIDAS AL'!I109</f>
        <v>29111.65438252288</v>
      </c>
      <c r="D1456" s="517">
        <f t="shared" ref="D1456:O1456" si="1176">$C1456*D$28%</f>
        <v>6619.716423517275</v>
      </c>
      <c r="E1456" s="517">
        <f t="shared" si="1176"/>
        <v>2276.9420539267735</v>
      </c>
      <c r="F1456" s="517">
        <f t="shared" si="1176"/>
        <v>2446.9227658045447</v>
      </c>
      <c r="G1456" s="517">
        <f t="shared" si="1176"/>
        <v>2429.3571219430091</v>
      </c>
      <c r="H1456" s="517">
        <f t="shared" si="1176"/>
        <v>1547.0263219861652</v>
      </c>
      <c r="I1456" s="517">
        <f t="shared" si="1176"/>
        <v>2531.7110645920548</v>
      </c>
      <c r="J1456" s="517">
        <f t="shared" si="1176"/>
        <v>2517.4604375306599</v>
      </c>
      <c r="K1456" s="517">
        <f t="shared" si="1176"/>
        <v>2302.4012550000939</v>
      </c>
      <c r="L1456" s="517">
        <f t="shared" si="1176"/>
        <v>1669.7661784987956</v>
      </c>
      <c r="M1456" s="517">
        <f t="shared" si="1176"/>
        <v>1552.1955730144962</v>
      </c>
      <c r="N1456" s="517">
        <f t="shared" si="1176"/>
        <v>1563.1674362738866</v>
      </c>
      <c r="O1456" s="517">
        <f t="shared" si="1176"/>
        <v>1654.9877504351268</v>
      </c>
      <c r="P1456" s="511">
        <f t="shared" si="1166"/>
        <v>-2.2737367544323206E-12</v>
      </c>
      <c r="Q1456" s="530">
        <v>754</v>
      </c>
      <c r="R1456" s="480"/>
      <c r="U1456" s="513"/>
    </row>
    <row r="1457" spans="1:21" s="479" customFormat="1" ht="18" x14ac:dyDescent="0.15">
      <c r="A1457" s="579"/>
      <c r="B1457" s="518" t="s">
        <v>253</v>
      </c>
      <c r="C1457" s="517">
        <f>'FOND GASO Y D'!Q110</f>
        <v>0</v>
      </c>
      <c r="D1457" s="517">
        <f t="shared" ref="D1457:O1457" si="1177">$C1457*D$29%</f>
        <v>0</v>
      </c>
      <c r="E1457" s="517">
        <f t="shared" si="1177"/>
        <v>0</v>
      </c>
      <c r="F1457" s="517">
        <f t="shared" si="1177"/>
        <v>0</v>
      </c>
      <c r="G1457" s="517">
        <f t="shared" si="1177"/>
        <v>0</v>
      </c>
      <c r="H1457" s="517">
        <f t="shared" si="1177"/>
        <v>0</v>
      </c>
      <c r="I1457" s="517">
        <f t="shared" si="1177"/>
        <v>0</v>
      </c>
      <c r="J1457" s="517">
        <f t="shared" si="1177"/>
        <v>0</v>
      </c>
      <c r="K1457" s="517">
        <f t="shared" si="1177"/>
        <v>0</v>
      </c>
      <c r="L1457" s="517">
        <f t="shared" si="1177"/>
        <v>0</v>
      </c>
      <c r="M1457" s="517">
        <f t="shared" si="1177"/>
        <v>0</v>
      </c>
      <c r="N1457" s="517">
        <f t="shared" si="1177"/>
        <v>0</v>
      </c>
      <c r="O1457" s="517">
        <f t="shared" si="1177"/>
        <v>0</v>
      </c>
      <c r="P1457" s="511">
        <f t="shared" si="1166"/>
        <v>0</v>
      </c>
      <c r="Q1457" s="530">
        <v>30864</v>
      </c>
      <c r="R1457" s="480"/>
      <c r="U1457" s="513"/>
    </row>
    <row r="1458" spans="1:21" s="479" customFormat="1" ht="18" x14ac:dyDescent="0.15">
      <c r="A1458" s="579"/>
      <c r="B1458" s="528" t="s">
        <v>408</v>
      </c>
      <c r="C1458" s="519">
        <f>'FOND GASO Y D'!H110</f>
        <v>999637.33470701857</v>
      </c>
      <c r="D1458" s="517">
        <f t="shared" ref="D1458:O1458" si="1178">$C1458*D$30%</f>
        <v>77762.590595776564</v>
      </c>
      <c r="E1458" s="517">
        <f t="shared" si="1178"/>
        <v>85498.198564442631</v>
      </c>
      <c r="F1458" s="517">
        <f t="shared" si="1178"/>
        <v>83241.317847695434</v>
      </c>
      <c r="G1458" s="517">
        <f t="shared" si="1178"/>
        <v>77563.565747367975</v>
      </c>
      <c r="H1458" s="517">
        <f t="shared" si="1178"/>
        <v>85463.962914029311</v>
      </c>
      <c r="I1458" s="517">
        <f t="shared" si="1178"/>
        <v>82482.879368799244</v>
      </c>
      <c r="J1458" s="517">
        <f t="shared" si="1178"/>
        <v>84202.532867897768</v>
      </c>
      <c r="K1458" s="517">
        <f t="shared" si="1178"/>
        <v>84152.497178689038</v>
      </c>
      <c r="L1458" s="517">
        <f t="shared" si="1178"/>
        <v>87570.735670474198</v>
      </c>
      <c r="M1458" s="517">
        <f t="shared" si="1178"/>
        <v>86801.763833047502</v>
      </c>
      <c r="N1458" s="517">
        <f t="shared" si="1178"/>
        <v>81124.011732720042</v>
      </c>
      <c r="O1458" s="517">
        <f t="shared" si="1178"/>
        <v>83773.278387078477</v>
      </c>
      <c r="P1458" s="511">
        <f t="shared" si="1166"/>
        <v>-9.9958560895174742E-7</v>
      </c>
      <c r="Q1458" s="530">
        <v>61093</v>
      </c>
      <c r="R1458" s="480"/>
      <c r="U1458" s="513"/>
    </row>
    <row r="1459" spans="1:21" s="479" customFormat="1" x14ac:dyDescent="0.15">
      <c r="A1459" s="579"/>
      <c r="B1459" s="534"/>
      <c r="C1459" s="521"/>
      <c r="D1459" s="522"/>
      <c r="E1459" s="522"/>
      <c r="F1459" s="522"/>
      <c r="G1459" s="522"/>
      <c r="H1459" s="522"/>
      <c r="I1459" s="522"/>
      <c r="J1459" s="522"/>
      <c r="K1459" s="522"/>
      <c r="L1459" s="522"/>
      <c r="M1459" s="522"/>
      <c r="N1459" s="522"/>
      <c r="O1459" s="522"/>
      <c r="P1459" s="511">
        <f t="shared" si="1166"/>
        <v>0</v>
      </c>
      <c r="Q1459" s="530">
        <v>0</v>
      </c>
      <c r="R1459" s="480"/>
      <c r="U1459" s="513"/>
    </row>
    <row r="1460" spans="1:21" s="479" customFormat="1" x14ac:dyDescent="0.15">
      <c r="A1460" s="591"/>
      <c r="B1460" s="532"/>
      <c r="C1460" s="521"/>
      <c r="D1460" s="522"/>
      <c r="E1460" s="522"/>
      <c r="F1460" s="522"/>
      <c r="G1460" s="522"/>
      <c r="H1460" s="522"/>
      <c r="I1460" s="522"/>
      <c r="J1460" s="522"/>
      <c r="K1460" s="522"/>
      <c r="L1460" s="522"/>
      <c r="M1460" s="522"/>
      <c r="N1460" s="522"/>
      <c r="O1460" s="522"/>
      <c r="P1460" s="511">
        <f t="shared" si="1166"/>
        <v>0</v>
      </c>
      <c r="Q1460" s="530">
        <v>0</v>
      </c>
      <c r="R1460" s="480"/>
      <c r="U1460" s="513"/>
    </row>
    <row r="1461" spans="1:21" s="479" customFormat="1" x14ac:dyDescent="0.15">
      <c r="A1461" s="576">
        <v>96</v>
      </c>
      <c r="B1461" s="533" t="s">
        <v>78</v>
      </c>
      <c r="C1461" s="524">
        <f t="shared" ref="C1461:O1461" si="1179">SUM(C1462:C1473)</f>
        <v>59729638.020523831</v>
      </c>
      <c r="D1461" s="524">
        <f t="shared" si="1179"/>
        <v>4666352.431982086</v>
      </c>
      <c r="E1461" s="524">
        <f t="shared" si="1179"/>
        <v>6331894.2077030232</v>
      </c>
      <c r="F1461" s="524">
        <f t="shared" si="1179"/>
        <v>4149868.0926098903</v>
      </c>
      <c r="G1461" s="524">
        <f t="shared" si="1179"/>
        <v>5319932.8699791785</v>
      </c>
      <c r="H1461" s="524">
        <f t="shared" si="1179"/>
        <v>5970033.4824308334</v>
      </c>
      <c r="I1461" s="524">
        <f t="shared" si="1179"/>
        <v>5934940.7486596378</v>
      </c>
      <c r="J1461" s="524">
        <f t="shared" si="1179"/>
        <v>5101907.7676293068</v>
      </c>
      <c r="K1461" s="524">
        <f t="shared" si="1179"/>
        <v>4961310.3322481979</v>
      </c>
      <c r="L1461" s="524">
        <f t="shared" si="1179"/>
        <v>4686828.5982413562</v>
      </c>
      <c r="M1461" s="524">
        <f t="shared" si="1179"/>
        <v>3449864.4210243626</v>
      </c>
      <c r="N1461" s="524">
        <f t="shared" si="1179"/>
        <v>4551926.4194367556</v>
      </c>
      <c r="O1461" s="524">
        <f t="shared" si="1179"/>
        <v>4604778.6483936226</v>
      </c>
      <c r="P1461" s="511">
        <f t="shared" si="1166"/>
        <v>1.8557719886302948E-4</v>
      </c>
      <c r="Q1461" s="530">
        <v>3596949</v>
      </c>
      <c r="R1461" s="480"/>
      <c r="T1461" s="512"/>
      <c r="U1461" s="513"/>
    </row>
    <row r="1462" spans="1:21" s="479" customFormat="1" x14ac:dyDescent="0.15">
      <c r="A1462" s="579"/>
      <c r="B1462" s="528" t="s">
        <v>294</v>
      </c>
      <c r="C1462" s="517">
        <f>'FG1'!I111</f>
        <v>42121723.971983418</v>
      </c>
      <c r="D1462" s="517">
        <f t="shared" ref="D1462:O1462" si="1180">$C1462*D$19%</f>
        <v>3185863.8965857783</v>
      </c>
      <c r="E1462" s="517">
        <f t="shared" si="1180"/>
        <v>4564545.5675950395</v>
      </c>
      <c r="F1462" s="517">
        <f t="shared" si="1180"/>
        <v>2950502.8893860872</v>
      </c>
      <c r="G1462" s="517">
        <f t="shared" si="1180"/>
        <v>3624393.8548540585</v>
      </c>
      <c r="H1462" s="517">
        <f t="shared" si="1180"/>
        <v>4426176.8370423531</v>
      </c>
      <c r="I1462" s="517">
        <f t="shared" si="1180"/>
        <v>4339215.4557529828</v>
      </c>
      <c r="J1462" s="517">
        <f t="shared" si="1180"/>
        <v>3363775.4175586742</v>
      </c>
      <c r="K1462" s="517">
        <f t="shared" si="1180"/>
        <v>3571437.1818544231</v>
      </c>
      <c r="L1462" s="517">
        <f t="shared" si="1180"/>
        <v>3356265.1176284514</v>
      </c>
      <c r="M1462" s="517">
        <f t="shared" si="1180"/>
        <v>2224945.8388061733</v>
      </c>
      <c r="N1462" s="517">
        <f t="shared" si="1180"/>
        <v>3247195.0449122954</v>
      </c>
      <c r="O1462" s="517">
        <f t="shared" si="1180"/>
        <v>3267406.8699649805</v>
      </c>
      <c r="P1462" s="511">
        <f t="shared" si="1166"/>
        <v>4.2117200791835785E-5</v>
      </c>
      <c r="Q1462" s="530">
        <v>2528355</v>
      </c>
      <c r="R1462" s="480"/>
      <c r="U1462" s="513"/>
    </row>
    <row r="1463" spans="1:21" s="479" customFormat="1" x14ac:dyDescent="0.15">
      <c r="A1463" s="579"/>
      <c r="B1463" s="528" t="s">
        <v>296</v>
      </c>
      <c r="C1463" s="517">
        <f>FFM!J111</f>
        <v>11876162.156757168</v>
      </c>
      <c r="D1463" s="517">
        <f t="shared" ref="D1463:O1463" si="1181">$C1463*D$20%</f>
        <v>898112.67273057962</v>
      </c>
      <c r="E1463" s="517">
        <f t="shared" si="1181"/>
        <v>1287590.4422554162</v>
      </c>
      <c r="F1463" s="517">
        <f t="shared" si="1181"/>
        <v>831623.15851444507</v>
      </c>
      <c r="G1463" s="517">
        <f t="shared" si="1181"/>
        <v>1021997.4518817932</v>
      </c>
      <c r="H1463" s="517">
        <f t="shared" si="1181"/>
        <v>1248501.2593412248</v>
      </c>
      <c r="I1463" s="517">
        <f t="shared" si="1181"/>
        <v>1223934.6530595012</v>
      </c>
      <c r="J1463" s="517">
        <f t="shared" si="1181"/>
        <v>948289.55570245488</v>
      </c>
      <c r="K1463" s="517">
        <f t="shared" si="1181"/>
        <v>1006954.0341867692</v>
      </c>
      <c r="L1463" s="517">
        <f t="shared" si="1181"/>
        <v>946167.88983167754</v>
      </c>
      <c r="M1463" s="517">
        <f t="shared" si="1181"/>
        <v>626570.03067819716</v>
      </c>
      <c r="N1463" s="517">
        <f t="shared" si="1181"/>
        <v>915355.58146393544</v>
      </c>
      <c r="O1463" s="517">
        <f t="shared" si="1181"/>
        <v>921065.42696866055</v>
      </c>
      <c r="P1463" s="511">
        <f t="shared" si="1166"/>
        <v>1.4251191169023514E-4</v>
      </c>
      <c r="Q1463" s="530">
        <v>774098</v>
      </c>
      <c r="R1463" s="480"/>
      <c r="U1463" s="513"/>
    </row>
    <row r="1464" spans="1:21" s="479" customFormat="1" ht="18" x14ac:dyDescent="0.15">
      <c r="A1464" s="579"/>
      <c r="B1464" s="528" t="s">
        <v>297</v>
      </c>
      <c r="C1464" s="517">
        <f>IEPS!I110</f>
        <v>1018671.7983421503</v>
      </c>
      <c r="D1464" s="517">
        <f t="shared" ref="D1464:O1464" si="1182">$C1464*D$21%</f>
        <v>71551.324697919015</v>
      </c>
      <c r="E1464" s="517">
        <f t="shared" si="1182"/>
        <v>163545.34068271462</v>
      </c>
      <c r="F1464" s="517">
        <f t="shared" si="1182"/>
        <v>67930.162311366745</v>
      </c>
      <c r="G1464" s="517">
        <f t="shared" si="1182"/>
        <v>66018.605389152508</v>
      </c>
      <c r="H1464" s="517">
        <f t="shared" si="1182"/>
        <v>72888.172206691641</v>
      </c>
      <c r="I1464" s="517">
        <f t="shared" si="1182"/>
        <v>75586.486718553715</v>
      </c>
      <c r="J1464" s="517">
        <f t="shared" si="1182"/>
        <v>77840.108482283962</v>
      </c>
      <c r="K1464" s="517">
        <f t="shared" si="1182"/>
        <v>86224.051637610799</v>
      </c>
      <c r="L1464" s="517">
        <f t="shared" si="1182"/>
        <v>86404.7302375172</v>
      </c>
      <c r="M1464" s="517">
        <f t="shared" si="1182"/>
        <v>85444.406141454936</v>
      </c>
      <c r="N1464" s="517">
        <f t="shared" si="1182"/>
        <v>82681.913678459765</v>
      </c>
      <c r="O1464" s="517">
        <f t="shared" si="1182"/>
        <v>82556.496157406669</v>
      </c>
      <c r="P1464" s="511">
        <f t="shared" si="1166"/>
        <v>1.0185613064095378E-6</v>
      </c>
      <c r="Q1464" s="530">
        <v>65297</v>
      </c>
      <c r="R1464" s="480"/>
      <c r="U1464" s="513"/>
    </row>
    <row r="1465" spans="1:21" s="479" customFormat="1" x14ac:dyDescent="0.15">
      <c r="A1465" s="579"/>
      <c r="B1465" s="528" t="s">
        <v>236</v>
      </c>
      <c r="C1465" s="517">
        <f>ISR!C101</f>
        <v>1007312.19</v>
      </c>
      <c r="D1465" s="517">
        <f>ISR!D101</f>
        <v>91475.329999999973</v>
      </c>
      <c r="E1465" s="517">
        <f>ISR!E101</f>
        <v>91427.949999999968</v>
      </c>
      <c r="F1465" s="517">
        <f>ISR!F101</f>
        <v>91683.390000000014</v>
      </c>
      <c r="G1465" s="517">
        <f>ISR!G101</f>
        <v>89273.19</v>
      </c>
      <c r="H1465" s="517">
        <f>ISR!H101</f>
        <v>12689.600000000037</v>
      </c>
      <c r="I1465" s="517">
        <f>ISR!I101</f>
        <v>95284.270000000019</v>
      </c>
      <c r="J1465" s="517">
        <f>ISR!J101</f>
        <v>89246.409999999974</v>
      </c>
      <c r="K1465" s="517">
        <f>ISR!K101</f>
        <v>89246.409999999974</v>
      </c>
      <c r="L1465" s="517">
        <f>ISR!L101</f>
        <v>89246.409999999974</v>
      </c>
      <c r="M1465" s="517">
        <f>ISR!M101</f>
        <v>89246.409999999974</v>
      </c>
      <c r="N1465" s="517">
        <f>ISR!N101</f>
        <v>89246.409999999974</v>
      </c>
      <c r="O1465" s="517">
        <f>ISR!O101</f>
        <v>89246.409999999974</v>
      </c>
      <c r="P1465" s="511">
        <f t="shared" si="1166"/>
        <v>1.1641532182693481E-10</v>
      </c>
      <c r="Q1465" s="530">
        <v>0</v>
      </c>
      <c r="R1465" s="480"/>
      <c r="U1465" s="513"/>
    </row>
    <row r="1466" spans="1:21" s="479" customFormat="1" ht="18" x14ac:dyDescent="0.15">
      <c r="A1466" s="579"/>
      <c r="B1466" s="528" t="s">
        <v>298</v>
      </c>
      <c r="C1466" s="517">
        <f>FOFIR!I110</f>
        <v>1970106.2444267923</v>
      </c>
      <c r="D1466" s="517">
        <f t="shared" ref="D1466:O1466" si="1183">$C1466*D$23%</f>
        <v>269344.05156585225</v>
      </c>
      <c r="E1466" s="517">
        <f t="shared" si="1183"/>
        <v>68526.732526958775</v>
      </c>
      <c r="F1466" s="517">
        <f t="shared" si="1183"/>
        <v>68526.732526958775</v>
      </c>
      <c r="G1466" s="517">
        <f t="shared" si="1183"/>
        <v>386719.26762164163</v>
      </c>
      <c r="H1466" s="517">
        <f t="shared" si="1183"/>
        <v>68526.732526958775</v>
      </c>
      <c r="I1466" s="517">
        <f t="shared" si="1183"/>
        <v>68526.732526958775</v>
      </c>
      <c r="J1466" s="517">
        <f t="shared" si="1183"/>
        <v>481016.45616395999</v>
      </c>
      <c r="K1466" s="517">
        <f t="shared" si="1183"/>
        <v>68526.732526958775</v>
      </c>
      <c r="L1466" s="517">
        <f t="shared" si="1183"/>
        <v>68526.732526958775</v>
      </c>
      <c r="M1466" s="517">
        <f t="shared" si="1183"/>
        <v>284812.6088675487</v>
      </c>
      <c r="N1466" s="517">
        <f t="shared" si="1183"/>
        <v>68526.732526958775</v>
      </c>
      <c r="O1466" s="517">
        <f t="shared" si="1183"/>
        <v>68526.732526958775</v>
      </c>
      <c r="P1466" s="511">
        <f t="shared" si="1166"/>
        <v>-7.8801531344652176E-6</v>
      </c>
      <c r="Q1466" s="530">
        <v>76915</v>
      </c>
      <c r="R1466" s="480"/>
      <c r="U1466" s="513"/>
    </row>
    <row r="1467" spans="1:21" s="479" customFormat="1" ht="27" x14ac:dyDescent="0.15">
      <c r="A1467" s="579"/>
      <c r="B1467" s="528" t="s">
        <v>407</v>
      </c>
      <c r="C1467" s="517">
        <f>FCISAN!I110</f>
        <v>125064.8046572087</v>
      </c>
      <c r="D1467" s="517">
        <f t="shared" ref="D1467:O1467" si="1184">$C1467*D$24%</f>
        <v>10422.067054725705</v>
      </c>
      <c r="E1467" s="517">
        <f t="shared" si="1184"/>
        <v>10422.067054725705</v>
      </c>
      <c r="F1467" s="517">
        <f t="shared" si="1184"/>
        <v>10422.067054725705</v>
      </c>
      <c r="G1467" s="517">
        <f t="shared" si="1184"/>
        <v>10422.067054725705</v>
      </c>
      <c r="H1467" s="517">
        <f t="shared" si="1184"/>
        <v>10422.067054725705</v>
      </c>
      <c r="I1467" s="517">
        <f t="shared" si="1184"/>
        <v>10422.067054725705</v>
      </c>
      <c r="J1467" s="517">
        <f t="shared" si="1184"/>
        <v>10422.067054725705</v>
      </c>
      <c r="K1467" s="517">
        <f t="shared" si="1184"/>
        <v>10422.067054725705</v>
      </c>
      <c r="L1467" s="517">
        <f t="shared" si="1184"/>
        <v>10422.067054725705</v>
      </c>
      <c r="M1467" s="517">
        <f t="shared" si="1184"/>
        <v>10422.067054725705</v>
      </c>
      <c r="N1467" s="517">
        <f t="shared" si="1184"/>
        <v>10422.067054725705</v>
      </c>
      <c r="O1467" s="517">
        <f t="shared" si="1184"/>
        <v>10422.067054725705</v>
      </c>
      <c r="P1467" s="511">
        <f t="shared" si="1166"/>
        <v>5.0026210374198854E-7</v>
      </c>
      <c r="Q1467" s="530">
        <v>9152</v>
      </c>
      <c r="R1467" s="480"/>
      <c r="U1467" s="513"/>
    </row>
    <row r="1468" spans="1:21" s="479" customFormat="1" ht="27" x14ac:dyDescent="0.15">
      <c r="A1468" s="579"/>
      <c r="B1468" s="528" t="s">
        <v>242</v>
      </c>
      <c r="C1468" s="517">
        <f>ISAN!I110</f>
        <v>624713.36629262415</v>
      </c>
      <c r="D1468" s="517">
        <f t="shared" ref="D1468:O1468" si="1185">$C1468*D$25%</f>
        <v>60118.420907425956</v>
      </c>
      <c r="E1468" s="517">
        <f t="shared" si="1185"/>
        <v>67145.998264402631</v>
      </c>
      <c r="F1468" s="517">
        <f t="shared" si="1185"/>
        <v>52111.223128532562</v>
      </c>
      <c r="G1468" s="517">
        <f t="shared" si="1185"/>
        <v>48364.590373639905</v>
      </c>
      <c r="H1468" s="517">
        <f t="shared" si="1185"/>
        <v>51712.439909985609</v>
      </c>
      <c r="I1468" s="517">
        <f t="shared" si="1185"/>
        <v>44913.827546418514</v>
      </c>
      <c r="J1468" s="517">
        <f t="shared" si="1185"/>
        <v>48657.245789332548</v>
      </c>
      <c r="K1468" s="517">
        <f t="shared" si="1185"/>
        <v>50178.410521280501</v>
      </c>
      <c r="L1468" s="517">
        <f t="shared" si="1185"/>
        <v>49306.87594132204</v>
      </c>
      <c r="M1468" s="517">
        <f t="shared" si="1185"/>
        <v>50516.090253720053</v>
      </c>
      <c r="N1468" s="517">
        <f t="shared" si="1185"/>
        <v>48911.3085566472</v>
      </c>
      <c r="O1468" s="517">
        <f t="shared" si="1185"/>
        <v>52776.935092420084</v>
      </c>
      <c r="P1468" s="511">
        <f t="shared" si="1166"/>
        <v>7.496550097130239E-6</v>
      </c>
      <c r="Q1468" s="530">
        <v>39302</v>
      </c>
      <c r="R1468" s="480"/>
      <c r="U1468" s="513"/>
    </row>
    <row r="1469" spans="1:21" s="479" customFormat="1" ht="18" x14ac:dyDescent="0.15">
      <c r="A1469" s="579"/>
      <c r="B1469" s="528" t="s">
        <v>403</v>
      </c>
      <c r="C1469" s="517">
        <f>LOT!I110</f>
        <v>30240.496812912475</v>
      </c>
      <c r="D1469" s="517">
        <f t="shared" ref="D1469:O1469" si="1186">$C1469*D$26%</f>
        <v>2286.4957258538643</v>
      </c>
      <c r="E1469" s="517">
        <f t="shared" si="1186"/>
        <v>2254.0861708009629</v>
      </c>
      <c r="F1469" s="517">
        <f t="shared" si="1186"/>
        <v>2215.4900229238074</v>
      </c>
      <c r="G1469" s="517">
        <f t="shared" si="1186"/>
        <v>2437.5337370878674</v>
      </c>
      <c r="H1469" s="517">
        <f t="shared" si="1186"/>
        <v>1994.3462747751248</v>
      </c>
      <c r="I1469" s="517">
        <f t="shared" si="1186"/>
        <v>2706.4295748849067</v>
      </c>
      <c r="J1469" s="517">
        <f t="shared" si="1186"/>
        <v>6211.2529643509661</v>
      </c>
      <c r="K1469" s="517">
        <f t="shared" si="1186"/>
        <v>2261.1188394725273</v>
      </c>
      <c r="L1469" s="517">
        <f t="shared" si="1186"/>
        <v>2743.5868549148126</v>
      </c>
      <c r="M1469" s="517">
        <f t="shared" si="1186"/>
        <v>1698.6562388106777</v>
      </c>
      <c r="N1469" s="517">
        <f t="shared" si="1186"/>
        <v>1715.7502043370366</v>
      </c>
      <c r="O1469" s="517">
        <f t="shared" si="1186"/>
        <v>1715.7502043370366</v>
      </c>
      <c r="P1469" s="511">
        <f t="shared" si="1166"/>
        <v>3.6288702176534571E-7</v>
      </c>
      <c r="Q1469" s="530">
        <v>1920</v>
      </c>
      <c r="R1469" s="480"/>
      <c r="U1469" s="513"/>
    </row>
    <row r="1470" spans="1:21" s="479" customFormat="1" ht="45" x14ac:dyDescent="0.15">
      <c r="A1470" s="579"/>
      <c r="B1470" s="518" t="s">
        <v>301</v>
      </c>
      <c r="C1470" s="517">
        <f>'ENAJENAC DE INMUE'!I110</f>
        <v>118909.22298372848</v>
      </c>
      <c r="D1470" s="517">
        <f t="shared" ref="D1470:O1470" si="1187">$C1470*D$27%</f>
        <v>5135.1801293994604</v>
      </c>
      <c r="E1470" s="517">
        <f t="shared" si="1187"/>
        <v>5210.8161877483526</v>
      </c>
      <c r="F1470" s="517">
        <f t="shared" si="1187"/>
        <v>5140.5674166246745</v>
      </c>
      <c r="G1470" s="517">
        <f t="shared" si="1187"/>
        <v>5110.4554045830773</v>
      </c>
      <c r="H1470" s="517">
        <f t="shared" si="1187"/>
        <v>7089.1776195331176</v>
      </c>
      <c r="I1470" s="517">
        <f t="shared" si="1187"/>
        <v>5102.6311777107485</v>
      </c>
      <c r="J1470" s="517">
        <f t="shared" si="1187"/>
        <v>5864.3468730160494</v>
      </c>
      <c r="K1470" s="517">
        <f t="shared" si="1187"/>
        <v>5858.3104812705906</v>
      </c>
      <c r="L1470" s="517">
        <f t="shared" si="1187"/>
        <v>5850.8891467893991</v>
      </c>
      <c r="M1470" s="517">
        <f t="shared" si="1187"/>
        <v>5109.6188432400759</v>
      </c>
      <c r="N1470" s="517">
        <f t="shared" si="1187"/>
        <v>21243.916087947779</v>
      </c>
      <c r="O1470" s="517">
        <f t="shared" si="1187"/>
        <v>42193.313615627339</v>
      </c>
      <c r="P1470" s="511">
        <f t="shared" si="1166"/>
        <v>2.3782195057719946E-7</v>
      </c>
      <c r="Q1470" s="530">
        <v>28014</v>
      </c>
      <c r="R1470" s="480"/>
      <c r="U1470" s="513"/>
    </row>
    <row r="1471" spans="1:21" s="479" customFormat="1" ht="27" x14ac:dyDescent="0.15">
      <c r="A1471" s="579"/>
      <c r="B1471" s="518" t="s">
        <v>248</v>
      </c>
      <c r="C1471" s="517">
        <f>'IMP BEBIDAS AL'!I110</f>
        <v>46476.008033868995</v>
      </c>
      <c r="D1471" s="517">
        <f t="shared" ref="D1471:O1471" si="1188">$C1471*D$28%</f>
        <v>10568.207139269462</v>
      </c>
      <c r="E1471" s="517">
        <f t="shared" si="1188"/>
        <v>3635.0794702511171</v>
      </c>
      <c r="F1471" s="517">
        <f t="shared" si="1188"/>
        <v>3906.4493081527671</v>
      </c>
      <c r="G1471" s="517">
        <f t="shared" si="1188"/>
        <v>3878.406209175921</v>
      </c>
      <c r="H1471" s="517">
        <f t="shared" si="1188"/>
        <v>2469.7877635013624</v>
      </c>
      <c r="I1471" s="517">
        <f t="shared" si="1188"/>
        <v>4041.8116480544163</v>
      </c>
      <c r="J1471" s="517">
        <f t="shared" si="1188"/>
        <v>4019.0608882009783</v>
      </c>
      <c r="K1471" s="517">
        <f t="shared" si="1188"/>
        <v>3675.7244304471924</v>
      </c>
      <c r="L1471" s="517">
        <f t="shared" si="1188"/>
        <v>2665.7387899322616</v>
      </c>
      <c r="M1471" s="517">
        <f t="shared" si="1188"/>
        <v>2478.0403399150896</v>
      </c>
      <c r="N1471" s="517">
        <f t="shared" si="1188"/>
        <v>2495.5566376249199</v>
      </c>
      <c r="O1471" s="517">
        <f t="shared" si="1188"/>
        <v>2642.1454093435109</v>
      </c>
      <c r="P1471" s="511">
        <f t="shared" si="1166"/>
        <v>0</v>
      </c>
      <c r="Q1471" s="530">
        <v>1199</v>
      </c>
      <c r="R1471" s="480"/>
      <c r="U1471" s="513"/>
    </row>
    <row r="1472" spans="1:21" s="479" customFormat="1" ht="18" x14ac:dyDescent="0.15">
      <c r="A1472" s="579"/>
      <c r="B1472" s="518" t="s">
        <v>253</v>
      </c>
      <c r="C1472" s="517">
        <f>'FOND GASO Y D'!Q111</f>
        <v>0</v>
      </c>
      <c r="D1472" s="517">
        <f t="shared" ref="D1472:O1472" si="1189">$C1472*D$29%</f>
        <v>0</v>
      </c>
      <c r="E1472" s="517">
        <f t="shared" si="1189"/>
        <v>0</v>
      </c>
      <c r="F1472" s="517">
        <f t="shared" si="1189"/>
        <v>0</v>
      </c>
      <c r="G1472" s="517">
        <f t="shared" si="1189"/>
        <v>0</v>
      </c>
      <c r="H1472" s="517">
        <f t="shared" si="1189"/>
        <v>0</v>
      </c>
      <c r="I1472" s="517">
        <f t="shared" si="1189"/>
        <v>0</v>
      </c>
      <c r="J1472" s="517">
        <f t="shared" si="1189"/>
        <v>0</v>
      </c>
      <c r="K1472" s="517">
        <f t="shared" si="1189"/>
        <v>0</v>
      </c>
      <c r="L1472" s="517">
        <f t="shared" si="1189"/>
        <v>0</v>
      </c>
      <c r="M1472" s="517">
        <f t="shared" si="1189"/>
        <v>0</v>
      </c>
      <c r="N1472" s="517">
        <f t="shared" si="1189"/>
        <v>0</v>
      </c>
      <c r="O1472" s="517">
        <f t="shared" si="1189"/>
        <v>0</v>
      </c>
      <c r="P1472" s="511">
        <f t="shared" si="1166"/>
        <v>0</v>
      </c>
      <c r="Q1472" s="530">
        <v>24399</v>
      </c>
      <c r="R1472" s="480"/>
      <c r="U1472" s="513"/>
    </row>
    <row r="1473" spans="1:21" s="479" customFormat="1" ht="18" x14ac:dyDescent="0.15">
      <c r="A1473" s="579"/>
      <c r="B1473" s="528" t="s">
        <v>408</v>
      </c>
      <c r="C1473" s="519">
        <f>'FOND GASO Y D'!H111</f>
        <v>790257.76023396128</v>
      </c>
      <c r="D1473" s="517">
        <f t="shared" ref="D1473:O1473" si="1190">$C1473*D$30%</f>
        <v>61474.785445283371</v>
      </c>
      <c r="E1473" s="517">
        <f t="shared" si="1190"/>
        <v>67590.12749496552</v>
      </c>
      <c r="F1473" s="517">
        <f t="shared" si="1190"/>
        <v>65805.962940072655</v>
      </c>
      <c r="G1473" s="517">
        <f t="shared" si="1190"/>
        <v>61317.447453320143</v>
      </c>
      <c r="H1473" s="517">
        <f t="shared" si="1190"/>
        <v>67563.06269108472</v>
      </c>
      <c r="I1473" s="517">
        <f t="shared" si="1190"/>
        <v>65206.383599847803</v>
      </c>
      <c r="J1473" s="517">
        <f t="shared" si="1190"/>
        <v>66565.84615230879</v>
      </c>
      <c r="K1473" s="517">
        <f t="shared" si="1190"/>
        <v>66526.290715238763</v>
      </c>
      <c r="L1473" s="517">
        <f t="shared" si="1190"/>
        <v>69228.560229067356</v>
      </c>
      <c r="M1473" s="517">
        <f t="shared" si="1190"/>
        <v>68620.653800576547</v>
      </c>
      <c r="N1473" s="517">
        <f t="shared" si="1190"/>
        <v>64132.138313824049</v>
      </c>
      <c r="O1473" s="517">
        <f t="shared" si="1190"/>
        <v>66226.501399161818</v>
      </c>
      <c r="P1473" s="511">
        <f t="shared" si="1166"/>
        <v>-7.9028541222214699E-7</v>
      </c>
      <c r="Q1473" s="530">
        <v>48298</v>
      </c>
      <c r="R1473" s="480"/>
      <c r="U1473" s="513"/>
    </row>
    <row r="1474" spans="1:21" s="479" customFormat="1" x14ac:dyDescent="0.15">
      <c r="A1474" s="579"/>
      <c r="B1474" s="534"/>
      <c r="C1474" s="521"/>
      <c r="D1474" s="522"/>
      <c r="E1474" s="522"/>
      <c r="F1474" s="522"/>
      <c r="G1474" s="522"/>
      <c r="H1474" s="522"/>
      <c r="I1474" s="522"/>
      <c r="J1474" s="522"/>
      <c r="K1474" s="522"/>
      <c r="L1474" s="522"/>
      <c r="M1474" s="522"/>
      <c r="N1474" s="522"/>
      <c r="O1474" s="522"/>
      <c r="P1474" s="511">
        <f t="shared" si="1166"/>
        <v>0</v>
      </c>
      <c r="Q1474" s="530">
        <v>0</v>
      </c>
      <c r="R1474" s="480"/>
      <c r="U1474" s="513"/>
    </row>
    <row r="1475" spans="1:21" s="479" customFormat="1" x14ac:dyDescent="0.15">
      <c r="A1475" s="591"/>
      <c r="B1475" s="532"/>
      <c r="C1475" s="521"/>
      <c r="D1475" s="522"/>
      <c r="E1475" s="522"/>
      <c r="F1475" s="522"/>
      <c r="G1475" s="522"/>
      <c r="H1475" s="522"/>
      <c r="I1475" s="522"/>
      <c r="J1475" s="522"/>
      <c r="K1475" s="522"/>
      <c r="L1475" s="522"/>
      <c r="M1475" s="522"/>
      <c r="N1475" s="522"/>
      <c r="O1475" s="522"/>
      <c r="P1475" s="511">
        <f t="shared" si="1166"/>
        <v>0</v>
      </c>
      <c r="Q1475" s="530">
        <v>0</v>
      </c>
      <c r="R1475" s="480"/>
      <c r="U1475" s="513"/>
    </row>
    <row r="1476" spans="1:21" s="479" customFormat="1" x14ac:dyDescent="0.15">
      <c r="A1476" s="576">
        <v>97</v>
      </c>
      <c r="B1476" s="533" t="s">
        <v>130</v>
      </c>
      <c r="C1476" s="524">
        <f t="shared" ref="C1476:O1476" si="1191">SUM(C1477:C1488)</f>
        <v>96919711.722484335</v>
      </c>
      <c r="D1476" s="524">
        <f t="shared" si="1191"/>
        <v>7565988.262743949</v>
      </c>
      <c r="E1476" s="524">
        <f t="shared" si="1191"/>
        <v>10236166.263584781</v>
      </c>
      <c r="F1476" s="524">
        <f t="shared" si="1191"/>
        <v>6735688.0739871804</v>
      </c>
      <c r="G1476" s="524">
        <f t="shared" si="1191"/>
        <v>8618647.5876851939</v>
      </c>
      <c r="H1476" s="524">
        <f t="shared" si="1191"/>
        <v>9780579.2566007525</v>
      </c>
      <c r="I1476" s="524">
        <f t="shared" si="1191"/>
        <v>9591026.1393722575</v>
      </c>
      <c r="J1476" s="524">
        <f t="shared" si="1191"/>
        <v>8272957.517879704</v>
      </c>
      <c r="K1476" s="524">
        <f t="shared" si="1191"/>
        <v>8040807.1569157774</v>
      </c>
      <c r="L1476" s="524">
        <f t="shared" si="1191"/>
        <v>7601789.6428120006</v>
      </c>
      <c r="M1476" s="524">
        <f t="shared" si="1191"/>
        <v>5622401.2418341944</v>
      </c>
      <c r="N1476" s="524">
        <f t="shared" si="1191"/>
        <v>7383888.3173195757</v>
      </c>
      <c r="O1476" s="524">
        <f t="shared" si="1191"/>
        <v>7469772.2614594502</v>
      </c>
      <c r="P1476" s="511">
        <f t="shared" si="1166"/>
        <v>2.8951559215784073E-4</v>
      </c>
      <c r="Q1476" s="530">
        <v>5846567</v>
      </c>
      <c r="R1476" s="480"/>
      <c r="T1476" s="512"/>
      <c r="U1476" s="513"/>
    </row>
    <row r="1477" spans="1:21" s="479" customFormat="1" x14ac:dyDescent="0.15">
      <c r="A1477" s="579"/>
      <c r="B1477" s="528" t="s">
        <v>294</v>
      </c>
      <c r="C1477" s="517">
        <f>'FG1'!I112</f>
        <v>68218254.01845482</v>
      </c>
      <c r="D1477" s="517">
        <f t="shared" ref="D1477:O1477" si="1192">$C1477*D$19%</f>
        <v>5159667.0808172319</v>
      </c>
      <c r="E1477" s="517">
        <f t="shared" si="1192"/>
        <v>7392511.5034732046</v>
      </c>
      <c r="F1477" s="517">
        <f t="shared" si="1192"/>
        <v>4778488.0724303192</v>
      </c>
      <c r="G1477" s="517">
        <f t="shared" si="1192"/>
        <v>5869888.440886585</v>
      </c>
      <c r="H1477" s="517">
        <f t="shared" si="1192"/>
        <v>7168416.3734796485</v>
      </c>
      <c r="I1477" s="517">
        <f t="shared" si="1192"/>
        <v>7027578.0354633844</v>
      </c>
      <c r="J1477" s="517">
        <f t="shared" si="1192"/>
        <v>5447803.7520183269</v>
      </c>
      <c r="K1477" s="517">
        <f t="shared" si="1192"/>
        <v>5784122.4410651093</v>
      </c>
      <c r="L1477" s="517">
        <f t="shared" si="1192"/>
        <v>5435640.4429207342</v>
      </c>
      <c r="M1477" s="517">
        <f t="shared" si="1192"/>
        <v>3603411.8762550848</v>
      </c>
      <c r="N1477" s="517">
        <f t="shared" si="1192"/>
        <v>5258995.9653273895</v>
      </c>
      <c r="O1477" s="517">
        <f t="shared" si="1192"/>
        <v>5291730.0342495861</v>
      </c>
      <c r="P1477" s="511">
        <f t="shared" si="1166"/>
        <v>6.8212859332561493E-5</v>
      </c>
      <c r="Q1477" s="530">
        <v>4092069</v>
      </c>
      <c r="R1477" s="480"/>
      <c r="U1477" s="513"/>
    </row>
    <row r="1478" spans="1:21" s="479" customFormat="1" x14ac:dyDescent="0.15">
      <c r="A1478" s="579"/>
      <c r="B1478" s="528" t="s">
        <v>296</v>
      </c>
      <c r="C1478" s="517">
        <f>FFM!J112</f>
        <v>18336786.685357746</v>
      </c>
      <c r="D1478" s="517">
        <f t="shared" ref="D1478:O1478" si="1193">$C1478*D$20%</f>
        <v>1386685.3855567377</v>
      </c>
      <c r="E1478" s="517">
        <f t="shared" si="1193"/>
        <v>1988038.8096847849</v>
      </c>
      <c r="F1478" s="517">
        <f t="shared" si="1193"/>
        <v>1284025.6186302113</v>
      </c>
      <c r="G1478" s="517">
        <f t="shared" si="1193"/>
        <v>1577963.4044044309</v>
      </c>
      <c r="H1478" s="517">
        <f t="shared" si="1193"/>
        <v>1927685.1365586023</v>
      </c>
      <c r="I1478" s="517">
        <f t="shared" si="1193"/>
        <v>1889754.3123558671</v>
      </c>
      <c r="J1478" s="517">
        <f t="shared" si="1193"/>
        <v>1464158.4603974966</v>
      </c>
      <c r="K1478" s="517">
        <f t="shared" si="1193"/>
        <v>1554736.3772174162</v>
      </c>
      <c r="L1478" s="517">
        <f t="shared" si="1193"/>
        <v>1460882.6096658767</v>
      </c>
      <c r="M1478" s="517">
        <f t="shared" si="1193"/>
        <v>967423.72193420376</v>
      </c>
      <c r="N1478" s="517">
        <f t="shared" si="1193"/>
        <v>1413308.4254837178</v>
      </c>
      <c r="O1478" s="517">
        <f t="shared" si="1193"/>
        <v>1422124.4232483595</v>
      </c>
      <c r="P1478" s="511">
        <f t="shared" si="1166"/>
        <v>2.200400922447443E-4</v>
      </c>
      <c r="Q1478" s="530">
        <v>1252857</v>
      </c>
      <c r="R1478" s="480"/>
      <c r="U1478" s="513"/>
    </row>
    <row r="1479" spans="1:21" s="479" customFormat="1" ht="18" x14ac:dyDescent="0.15">
      <c r="A1479" s="579"/>
      <c r="B1479" s="528" t="s">
        <v>297</v>
      </c>
      <c r="C1479" s="517">
        <f>IEPS!I111</f>
        <v>1649790.2969727085</v>
      </c>
      <c r="D1479" s="517">
        <f t="shared" ref="D1479:O1479" si="1194">$C1479*D$21%</f>
        <v>115880.9750248154</v>
      </c>
      <c r="E1479" s="517">
        <f t="shared" si="1194"/>
        <v>264869.91846888571</v>
      </c>
      <c r="F1479" s="517">
        <f t="shared" si="1194"/>
        <v>110016.32010964135</v>
      </c>
      <c r="G1479" s="517">
        <f t="shared" si="1194"/>
        <v>106920.45737199363</v>
      </c>
      <c r="H1479" s="517">
        <f t="shared" si="1194"/>
        <v>118046.06691417035</v>
      </c>
      <c r="I1479" s="517">
        <f t="shared" si="1194"/>
        <v>122416.12320422922</v>
      </c>
      <c r="J1479" s="517">
        <f t="shared" si="1194"/>
        <v>126065.97718556022</v>
      </c>
      <c r="K1479" s="517">
        <f t="shared" si="1194"/>
        <v>139644.19549938769</v>
      </c>
      <c r="L1479" s="517">
        <f t="shared" si="1194"/>
        <v>139936.81359432399</v>
      </c>
      <c r="M1479" s="517">
        <f t="shared" si="1194"/>
        <v>138381.5203406862</v>
      </c>
      <c r="N1479" s="517">
        <f t="shared" si="1194"/>
        <v>133907.52462555314</v>
      </c>
      <c r="O1479" s="517">
        <f t="shared" si="1194"/>
        <v>133704.40463181178</v>
      </c>
      <c r="P1479" s="511">
        <f t="shared" si="1166"/>
        <v>1.6498088371008635E-6</v>
      </c>
      <c r="Q1479" s="530">
        <v>105680</v>
      </c>
      <c r="R1479" s="480"/>
      <c r="U1479" s="513"/>
    </row>
    <row r="1480" spans="1:21" s="479" customFormat="1" x14ac:dyDescent="0.15">
      <c r="A1480" s="579"/>
      <c r="B1480" s="528" t="s">
        <v>236</v>
      </c>
      <c r="C1480" s="517">
        <f>ISR!C102</f>
        <v>2442101.16</v>
      </c>
      <c r="D1480" s="517">
        <f>ISR!D102</f>
        <v>203508.42999999993</v>
      </c>
      <c r="E1480" s="517">
        <f>ISR!E102</f>
        <v>203508.42999999993</v>
      </c>
      <c r="F1480" s="517">
        <f>ISR!F102</f>
        <v>203508.42999999993</v>
      </c>
      <c r="G1480" s="517">
        <f>ISR!G102</f>
        <v>203508.42999999993</v>
      </c>
      <c r="H1480" s="517">
        <f>ISR!H102</f>
        <v>203508.42999999993</v>
      </c>
      <c r="I1480" s="517">
        <f>ISR!I102</f>
        <v>203508.42999999993</v>
      </c>
      <c r="J1480" s="517">
        <f>ISR!J102</f>
        <v>203508.42999999993</v>
      </c>
      <c r="K1480" s="517">
        <f>ISR!K102</f>
        <v>203508.42999999993</v>
      </c>
      <c r="L1480" s="517">
        <f>ISR!L102</f>
        <v>203508.42999999993</v>
      </c>
      <c r="M1480" s="517">
        <f>ISR!M102</f>
        <v>203508.42999999993</v>
      </c>
      <c r="N1480" s="517">
        <f>ISR!N102</f>
        <v>203508.42999999993</v>
      </c>
      <c r="O1480" s="517">
        <f>ISR!O102</f>
        <v>203508.42999999993</v>
      </c>
      <c r="P1480" s="511">
        <f t="shared" si="1166"/>
        <v>1.1641532182693481E-9</v>
      </c>
      <c r="Q1480" s="530">
        <v>0</v>
      </c>
      <c r="R1480" s="480"/>
      <c r="U1480" s="513"/>
    </row>
    <row r="1481" spans="1:21" s="479" customFormat="1" ht="18" x14ac:dyDescent="0.15">
      <c r="A1481" s="579"/>
      <c r="B1481" s="528" t="s">
        <v>298</v>
      </c>
      <c r="C1481" s="517">
        <f>FOFIR!I111</f>
        <v>3190686.3146210033</v>
      </c>
      <c r="D1481" s="517">
        <f t="shared" ref="D1481:O1481" si="1195">$C1481*D$23%</f>
        <v>436216.26076606906</v>
      </c>
      <c r="E1481" s="517">
        <f t="shared" si="1195"/>
        <v>110982.49562833975</v>
      </c>
      <c r="F1481" s="517">
        <f t="shared" si="1195"/>
        <v>110982.49562833975</v>
      </c>
      <c r="G1481" s="517">
        <f t="shared" si="1195"/>
        <v>626311.33640187804</v>
      </c>
      <c r="H1481" s="517">
        <f t="shared" si="1195"/>
        <v>110982.49562833975</v>
      </c>
      <c r="I1481" s="517">
        <f t="shared" si="1195"/>
        <v>110982.49562833975</v>
      </c>
      <c r="J1481" s="517">
        <f t="shared" si="1195"/>
        <v>779030.38383414049</v>
      </c>
      <c r="K1481" s="517">
        <f t="shared" si="1195"/>
        <v>110982.49562833975</v>
      </c>
      <c r="L1481" s="517">
        <f t="shared" si="1195"/>
        <v>110982.49562833975</v>
      </c>
      <c r="M1481" s="517">
        <f t="shared" si="1195"/>
        <v>461268.36860496056</v>
      </c>
      <c r="N1481" s="517">
        <f t="shared" si="1195"/>
        <v>110982.49562833975</v>
      </c>
      <c r="O1481" s="517">
        <f t="shared" si="1195"/>
        <v>110982.49562833975</v>
      </c>
      <c r="P1481" s="511">
        <f t="shared" si="1166"/>
        <v>-1.276229158975184E-5</v>
      </c>
      <c r="Q1481" s="530">
        <v>124483</v>
      </c>
      <c r="R1481" s="480"/>
      <c r="U1481" s="513"/>
    </row>
    <row r="1482" spans="1:21" s="479" customFormat="1" ht="27" x14ac:dyDescent="0.15">
      <c r="A1482" s="579"/>
      <c r="B1482" s="528" t="s">
        <v>407</v>
      </c>
      <c r="C1482" s="517">
        <f>FCISAN!I111</f>
        <v>202548.75176876941</v>
      </c>
      <c r="D1482" s="517">
        <f t="shared" ref="D1482:O1482" si="1196">$C1482*D$24%</f>
        <v>16879.062647329938</v>
      </c>
      <c r="E1482" s="517">
        <f t="shared" si="1196"/>
        <v>16879.062647329938</v>
      </c>
      <c r="F1482" s="517">
        <f t="shared" si="1196"/>
        <v>16879.062647329938</v>
      </c>
      <c r="G1482" s="517">
        <f t="shared" si="1196"/>
        <v>16879.062647329938</v>
      </c>
      <c r="H1482" s="517">
        <f t="shared" si="1196"/>
        <v>16879.062647329938</v>
      </c>
      <c r="I1482" s="517">
        <f t="shared" si="1196"/>
        <v>16879.062647329938</v>
      </c>
      <c r="J1482" s="517">
        <f t="shared" si="1196"/>
        <v>16879.062647329938</v>
      </c>
      <c r="K1482" s="517">
        <f t="shared" si="1196"/>
        <v>16879.062647329938</v>
      </c>
      <c r="L1482" s="517">
        <f t="shared" si="1196"/>
        <v>16879.062647329938</v>
      </c>
      <c r="M1482" s="517">
        <f t="shared" si="1196"/>
        <v>16879.062647329938</v>
      </c>
      <c r="N1482" s="517">
        <f t="shared" si="1196"/>
        <v>16879.062647329938</v>
      </c>
      <c r="O1482" s="517">
        <f t="shared" si="1196"/>
        <v>16879.062647329938</v>
      </c>
      <c r="P1482" s="511">
        <f t="shared" si="1166"/>
        <v>8.1018515629693866E-7</v>
      </c>
      <c r="Q1482" s="530">
        <v>14808</v>
      </c>
      <c r="R1482" s="480"/>
      <c r="U1482" s="513"/>
    </row>
    <row r="1483" spans="1:21" s="479" customFormat="1" ht="27" x14ac:dyDescent="0.15">
      <c r="A1483" s="579"/>
      <c r="B1483" s="528" t="s">
        <v>242</v>
      </c>
      <c r="C1483" s="517">
        <f>ISAN!I111</f>
        <v>1011754.7690787811</v>
      </c>
      <c r="D1483" s="517">
        <f t="shared" ref="D1483:O1483" si="1197">$C1483*D$25%</f>
        <v>97364.811359074432</v>
      </c>
      <c r="E1483" s="517">
        <f t="shared" si="1197"/>
        <v>108746.32693026631</v>
      </c>
      <c r="F1483" s="517">
        <f t="shared" si="1197"/>
        <v>84396.751162395929</v>
      </c>
      <c r="G1483" s="517">
        <f t="shared" si="1197"/>
        <v>78328.890664636361</v>
      </c>
      <c r="H1483" s="517">
        <f t="shared" si="1197"/>
        <v>83750.901649702006</v>
      </c>
      <c r="I1483" s="517">
        <f t="shared" si="1197"/>
        <v>72740.206420339848</v>
      </c>
      <c r="J1483" s="517">
        <f t="shared" si="1197"/>
        <v>78802.860854006489</v>
      </c>
      <c r="K1483" s="517">
        <f t="shared" si="1197"/>
        <v>81266.463771991563</v>
      </c>
      <c r="L1483" s="517">
        <f t="shared" si="1197"/>
        <v>79854.969612801433</v>
      </c>
      <c r="M1483" s="517">
        <f t="shared" si="1197"/>
        <v>81813.353110608557</v>
      </c>
      <c r="N1483" s="517">
        <f t="shared" si="1197"/>
        <v>79214.328305073548</v>
      </c>
      <c r="O1483" s="517">
        <f t="shared" si="1197"/>
        <v>85474.905225743612</v>
      </c>
      <c r="P1483" s="511">
        <f t="shared" si="1166"/>
        <v>1.214096846524626E-5</v>
      </c>
      <c r="Q1483" s="530">
        <v>63611</v>
      </c>
      <c r="R1483" s="480"/>
      <c r="U1483" s="513"/>
    </row>
    <row r="1484" spans="1:21" s="479" customFormat="1" ht="18" x14ac:dyDescent="0.15">
      <c r="A1484" s="579"/>
      <c r="B1484" s="528" t="s">
        <v>403</v>
      </c>
      <c r="C1484" s="517">
        <f>LOT!I111</f>
        <v>48976.008071266901</v>
      </c>
      <c r="D1484" s="517">
        <f t="shared" ref="D1484:O1484" si="1198">$C1484*D$26%</f>
        <v>3703.0950191439974</v>
      </c>
      <c r="E1484" s="517">
        <f t="shared" si="1198"/>
        <v>3650.6061119783158</v>
      </c>
      <c r="F1484" s="517">
        <f t="shared" si="1198"/>
        <v>3588.0977060600558</v>
      </c>
      <c r="G1484" s="517">
        <f t="shared" si="1198"/>
        <v>3947.7086874652823</v>
      </c>
      <c r="H1484" s="517">
        <f t="shared" si="1198"/>
        <v>3229.9442649560247</v>
      </c>
      <c r="I1484" s="517">
        <f t="shared" si="1198"/>
        <v>4383.1990434522459</v>
      </c>
      <c r="J1484" s="517">
        <f t="shared" si="1198"/>
        <v>10059.437091815276</v>
      </c>
      <c r="K1484" s="517">
        <f t="shared" si="1198"/>
        <v>3661.9958731899774</v>
      </c>
      <c r="L1484" s="517">
        <f t="shared" si="1198"/>
        <v>4443.3771304033153</v>
      </c>
      <c r="M1484" s="517">
        <f t="shared" si="1198"/>
        <v>2751.0593551749002</v>
      </c>
      <c r="N1484" s="517">
        <f t="shared" si="1198"/>
        <v>2778.7438935199002</v>
      </c>
      <c r="O1484" s="517">
        <f t="shared" si="1198"/>
        <v>2778.7438935199002</v>
      </c>
      <c r="P1484" s="511">
        <f t="shared" si="1166"/>
        <v>5.8770547184394673E-7</v>
      </c>
      <c r="Q1484" s="530">
        <v>3108</v>
      </c>
      <c r="R1484" s="480"/>
      <c r="U1484" s="513"/>
    </row>
    <row r="1485" spans="1:21" s="479" customFormat="1" ht="45" x14ac:dyDescent="0.15">
      <c r="A1485" s="579"/>
      <c r="B1485" s="518" t="s">
        <v>301</v>
      </c>
      <c r="C1485" s="517">
        <f>'ENAJENAC DE INMUE'!I111</f>
        <v>192579.47713717731</v>
      </c>
      <c r="D1485" s="517">
        <f t="shared" ref="D1485:O1485" si="1199">$C1485*D$27%</f>
        <v>8316.6829242530293</v>
      </c>
      <c r="E1485" s="517">
        <f t="shared" si="1199"/>
        <v>8439.1793312099562</v>
      </c>
      <c r="F1485" s="517">
        <f t="shared" si="1199"/>
        <v>8325.40790731983</v>
      </c>
      <c r="G1485" s="517">
        <f t="shared" si="1199"/>
        <v>8276.6399868086301</v>
      </c>
      <c r="H1485" s="517">
        <f t="shared" si="1199"/>
        <v>11481.280299755092</v>
      </c>
      <c r="I1485" s="517">
        <f t="shared" si="1199"/>
        <v>8263.9682572130041</v>
      </c>
      <c r="J1485" s="517">
        <f t="shared" si="1199"/>
        <v>9497.605200153499</v>
      </c>
      <c r="K1485" s="517">
        <f t="shared" si="1199"/>
        <v>9487.8289596149934</v>
      </c>
      <c r="L1485" s="517">
        <f t="shared" si="1199"/>
        <v>9475.8097345440874</v>
      </c>
      <c r="M1485" s="517">
        <f t="shared" si="1199"/>
        <v>8275.2851335686046</v>
      </c>
      <c r="N1485" s="517">
        <f t="shared" si="1199"/>
        <v>34405.592349408282</v>
      </c>
      <c r="O1485" s="517">
        <f t="shared" si="1199"/>
        <v>68334.197052943142</v>
      </c>
      <c r="P1485" s="511">
        <f t="shared" si="1166"/>
        <v>3.851309884339571E-7</v>
      </c>
      <c r="Q1485" s="530">
        <v>45339</v>
      </c>
      <c r="R1485" s="480"/>
      <c r="U1485" s="513"/>
    </row>
    <row r="1486" spans="1:21" s="479" customFormat="1" ht="27" x14ac:dyDescent="0.15">
      <c r="A1486" s="579"/>
      <c r="B1486" s="518" t="s">
        <v>248</v>
      </c>
      <c r="C1486" s="517">
        <f>'IMP BEBIDAS AL'!I111</f>
        <v>75270.236420689616</v>
      </c>
      <c r="D1486" s="517">
        <f t="shared" ref="D1486:O1486" si="1200">$C1486*D$28%</f>
        <v>17115.743876624241</v>
      </c>
      <c r="E1486" s="517">
        <f t="shared" si="1200"/>
        <v>5887.1943333515956</v>
      </c>
      <c r="F1486" s="517">
        <f t="shared" si="1200"/>
        <v>6326.6914571453617</v>
      </c>
      <c r="G1486" s="517">
        <f t="shared" si="1200"/>
        <v>6281.2742455720745</v>
      </c>
      <c r="H1486" s="517">
        <f t="shared" si="1200"/>
        <v>3999.9457081640844</v>
      </c>
      <c r="I1486" s="517">
        <f t="shared" si="1200"/>
        <v>6545.9175860209289</v>
      </c>
      <c r="J1486" s="517">
        <f t="shared" si="1200"/>
        <v>6509.0715842801883</v>
      </c>
      <c r="K1486" s="517">
        <f t="shared" si="1200"/>
        <v>5953.0208940372422</v>
      </c>
      <c r="L1486" s="517">
        <f t="shared" si="1200"/>
        <v>4317.2982672647322</v>
      </c>
      <c r="M1486" s="517">
        <f t="shared" si="1200"/>
        <v>4013.3111714217807</v>
      </c>
      <c r="N1486" s="517">
        <f t="shared" si="1200"/>
        <v>4041.6796980145396</v>
      </c>
      <c r="O1486" s="517">
        <f t="shared" si="1200"/>
        <v>4279.087598792853</v>
      </c>
      <c r="P1486" s="511">
        <f t="shared" si="1166"/>
        <v>0</v>
      </c>
      <c r="Q1486" s="530">
        <v>1940</v>
      </c>
      <c r="R1486" s="480"/>
      <c r="U1486" s="513"/>
    </row>
    <row r="1487" spans="1:21" s="479" customFormat="1" ht="18" x14ac:dyDescent="0.15">
      <c r="A1487" s="579"/>
      <c r="B1487" s="518" t="s">
        <v>253</v>
      </c>
      <c r="C1487" s="517">
        <f>'FOND GASO Y D'!Q112</f>
        <v>0</v>
      </c>
      <c r="D1487" s="517">
        <f t="shared" ref="D1487:O1487" si="1201">$C1487*D$29%</f>
        <v>0</v>
      </c>
      <c r="E1487" s="517">
        <f t="shared" si="1201"/>
        <v>0</v>
      </c>
      <c r="F1487" s="517">
        <f t="shared" si="1201"/>
        <v>0</v>
      </c>
      <c r="G1487" s="517">
        <f t="shared" si="1201"/>
        <v>0</v>
      </c>
      <c r="H1487" s="517">
        <f t="shared" si="1201"/>
        <v>0</v>
      </c>
      <c r="I1487" s="517">
        <f t="shared" si="1201"/>
        <v>0</v>
      </c>
      <c r="J1487" s="517">
        <f t="shared" si="1201"/>
        <v>0</v>
      </c>
      <c r="K1487" s="517">
        <f t="shared" si="1201"/>
        <v>0</v>
      </c>
      <c r="L1487" s="517">
        <f t="shared" si="1201"/>
        <v>0</v>
      </c>
      <c r="M1487" s="517">
        <f t="shared" si="1201"/>
        <v>0</v>
      </c>
      <c r="N1487" s="517">
        <f t="shared" si="1201"/>
        <v>0</v>
      </c>
      <c r="O1487" s="517">
        <f t="shared" si="1201"/>
        <v>0</v>
      </c>
      <c r="P1487" s="511">
        <f t="shared" si="1166"/>
        <v>0</v>
      </c>
      <c r="Q1487" s="530">
        <v>47887</v>
      </c>
      <c r="R1487" s="480"/>
      <c r="U1487" s="513"/>
    </row>
    <row r="1488" spans="1:21" s="479" customFormat="1" ht="18" x14ac:dyDescent="0.15">
      <c r="A1488" s="579"/>
      <c r="B1488" s="528" t="s">
        <v>408</v>
      </c>
      <c r="C1488" s="519">
        <f>'FOND GASO Y D'!H112</f>
        <v>1550964.0046013719</v>
      </c>
      <c r="D1488" s="517">
        <f t="shared" ref="D1488:O1488" si="1202">$C1488*D$30%</f>
        <v>120650.73475267011</v>
      </c>
      <c r="E1488" s="517">
        <f t="shared" si="1202"/>
        <v>132652.73697543118</v>
      </c>
      <c r="F1488" s="517">
        <f t="shared" si="1202"/>
        <v>129151.1263084189</v>
      </c>
      <c r="G1488" s="517">
        <f t="shared" si="1202"/>
        <v>120341.94238849392</v>
      </c>
      <c r="H1488" s="517">
        <f t="shared" si="1202"/>
        <v>132599.61945008315</v>
      </c>
      <c r="I1488" s="517">
        <f t="shared" si="1202"/>
        <v>127974.38876608072</v>
      </c>
      <c r="J1488" s="517">
        <f t="shared" si="1202"/>
        <v>130642.47706659455</v>
      </c>
      <c r="K1488" s="517">
        <f t="shared" si="1202"/>
        <v>130564.84535936054</v>
      </c>
      <c r="L1488" s="517">
        <f t="shared" si="1202"/>
        <v>135868.33361038257</v>
      </c>
      <c r="M1488" s="517">
        <f t="shared" si="1202"/>
        <v>134675.25328115444</v>
      </c>
      <c r="N1488" s="517">
        <f t="shared" si="1202"/>
        <v>125866.06936122949</v>
      </c>
      <c r="O1488" s="517">
        <f t="shared" si="1202"/>
        <v>129976.47728302334</v>
      </c>
      <c r="P1488" s="511">
        <f t="shared" si="1166"/>
        <v>-1.5509285731241107E-6</v>
      </c>
      <c r="Q1488" s="530">
        <v>94785</v>
      </c>
      <c r="R1488" s="480"/>
      <c r="U1488" s="513"/>
    </row>
    <row r="1489" spans="1:21" s="479" customFormat="1" x14ac:dyDescent="0.15">
      <c r="A1489" s="579"/>
      <c r="B1489" s="534"/>
      <c r="C1489" s="521"/>
      <c r="D1489" s="522"/>
      <c r="E1489" s="522"/>
      <c r="F1489" s="522"/>
      <c r="G1489" s="522"/>
      <c r="H1489" s="522"/>
      <c r="I1489" s="522"/>
      <c r="J1489" s="522"/>
      <c r="K1489" s="522"/>
      <c r="L1489" s="522"/>
      <c r="M1489" s="522"/>
      <c r="N1489" s="522"/>
      <c r="O1489" s="522"/>
      <c r="P1489" s="511">
        <f t="shared" si="1166"/>
        <v>0</v>
      </c>
      <c r="Q1489" s="530">
        <v>0</v>
      </c>
      <c r="R1489" s="480"/>
      <c r="U1489" s="513"/>
    </row>
    <row r="1490" spans="1:21" s="479" customFormat="1" x14ac:dyDescent="0.15">
      <c r="A1490" s="591"/>
      <c r="B1490" s="536"/>
      <c r="C1490" s="522"/>
      <c r="D1490" s="522"/>
      <c r="E1490" s="522"/>
      <c r="F1490" s="522"/>
      <c r="G1490" s="522"/>
      <c r="H1490" s="522"/>
      <c r="I1490" s="522"/>
      <c r="J1490" s="522"/>
      <c r="K1490" s="522"/>
      <c r="L1490" s="522"/>
      <c r="M1490" s="522"/>
      <c r="N1490" s="522"/>
      <c r="O1490" s="522"/>
      <c r="P1490" s="511">
        <f t="shared" si="1166"/>
        <v>0</v>
      </c>
      <c r="Q1490" s="530">
        <v>0</v>
      </c>
      <c r="R1490" s="480"/>
      <c r="U1490" s="513"/>
    </row>
    <row r="1491" spans="1:21" s="479" customFormat="1" x14ac:dyDescent="0.15">
      <c r="A1491" s="576">
        <v>98</v>
      </c>
      <c r="B1491" s="533" t="s">
        <v>128</v>
      </c>
      <c r="C1491" s="524">
        <f t="shared" ref="C1491:O1491" si="1203">SUM(C1492:C1503)</f>
        <v>57940481.651066206</v>
      </c>
      <c r="D1491" s="524">
        <f t="shared" si="1203"/>
        <v>4522778.4621398011</v>
      </c>
      <c r="E1491" s="524">
        <f t="shared" si="1203"/>
        <v>6109606.5263536023</v>
      </c>
      <c r="F1491" s="524">
        <f t="shared" si="1203"/>
        <v>4033473.4359902227</v>
      </c>
      <c r="G1491" s="524">
        <f t="shared" si="1203"/>
        <v>5146651.4280569414</v>
      </c>
      <c r="H1491" s="524">
        <f t="shared" si="1203"/>
        <v>5839533.6811727379</v>
      </c>
      <c r="I1491" s="524">
        <f t="shared" si="1203"/>
        <v>5725614.3075430552</v>
      </c>
      <c r="J1491" s="524">
        <f t="shared" si="1203"/>
        <v>4945212.0641378425</v>
      </c>
      <c r="K1491" s="524">
        <f t="shared" si="1203"/>
        <v>4807575.8403883455</v>
      </c>
      <c r="L1491" s="524">
        <f t="shared" si="1203"/>
        <v>4549130.7264882168</v>
      </c>
      <c r="M1491" s="524">
        <f t="shared" si="1203"/>
        <v>3375421.0782538648</v>
      </c>
      <c r="N1491" s="524">
        <f t="shared" si="1203"/>
        <v>4416594.7525349092</v>
      </c>
      <c r="O1491" s="524">
        <f t="shared" si="1203"/>
        <v>4468889.3478355994</v>
      </c>
      <c r="P1491" s="511">
        <f t="shared" si="1166"/>
        <v>1.7106812447309494E-4</v>
      </c>
      <c r="Q1491" s="530">
        <v>3482160</v>
      </c>
      <c r="R1491" s="480"/>
      <c r="T1491" s="512"/>
      <c r="U1491" s="513"/>
    </row>
    <row r="1492" spans="1:21" s="479" customFormat="1" x14ac:dyDescent="0.15">
      <c r="A1492" s="579"/>
      <c r="B1492" s="528" t="s">
        <v>294</v>
      </c>
      <c r="C1492" s="517">
        <f>'FG1'!I113</f>
        <v>40437229.328767359</v>
      </c>
      <c r="D1492" s="517">
        <f t="shared" ref="D1492:O1492" si="1204">$C1492*D$19%</f>
        <v>3058457.6519747158</v>
      </c>
      <c r="E1492" s="517">
        <f t="shared" si="1204"/>
        <v>4382004.3078298029</v>
      </c>
      <c r="F1492" s="517">
        <f t="shared" si="1204"/>
        <v>2832508.9935220396</v>
      </c>
      <c r="G1492" s="517">
        <f t="shared" si="1204"/>
        <v>3479450.3089187667</v>
      </c>
      <c r="H1492" s="517">
        <f t="shared" si="1204"/>
        <v>4249169.0968823349</v>
      </c>
      <c r="I1492" s="517">
        <f t="shared" si="1204"/>
        <v>4165685.3980602361</v>
      </c>
      <c r="J1492" s="517">
        <f t="shared" si="1204"/>
        <v>3229254.2931234953</v>
      </c>
      <c r="K1492" s="517">
        <f t="shared" si="1204"/>
        <v>3428611.4322384312</v>
      </c>
      <c r="L1492" s="517">
        <f t="shared" si="1204"/>
        <v>3222044.338450029</v>
      </c>
      <c r="M1492" s="517">
        <f t="shared" si="1204"/>
        <v>2135967.777286001</v>
      </c>
      <c r="N1492" s="517">
        <f t="shared" si="1204"/>
        <v>3117336.0993888243</v>
      </c>
      <c r="O1492" s="517">
        <f t="shared" si="1204"/>
        <v>3136739.6310522472</v>
      </c>
      <c r="P1492" s="511">
        <f t="shared" si="1166"/>
        <v>4.0431972593069077E-5</v>
      </c>
      <c r="Q1492" s="530">
        <v>2402978</v>
      </c>
      <c r="R1492" s="480"/>
      <c r="U1492" s="513"/>
    </row>
    <row r="1493" spans="1:21" s="479" customFormat="1" x14ac:dyDescent="0.15">
      <c r="A1493" s="579"/>
      <c r="B1493" s="528" t="s">
        <v>296</v>
      </c>
      <c r="C1493" s="517">
        <f>FFM!J113</f>
        <v>10869361.2731265</v>
      </c>
      <c r="D1493" s="517">
        <f t="shared" ref="D1493:O1493" si="1205">$C1493*D$20%</f>
        <v>821975.22861606185</v>
      </c>
      <c r="E1493" s="517">
        <f t="shared" si="1205"/>
        <v>1178435.0452587884</v>
      </c>
      <c r="F1493" s="517">
        <f t="shared" si="1205"/>
        <v>761122.35869472509</v>
      </c>
      <c r="G1493" s="517">
        <f t="shared" si="1205"/>
        <v>935357.68357604963</v>
      </c>
      <c r="H1493" s="517">
        <f t="shared" si="1205"/>
        <v>1142659.6453141244</v>
      </c>
      <c r="I1493" s="517">
        <f t="shared" si="1205"/>
        <v>1120175.6715011883</v>
      </c>
      <c r="J1493" s="517">
        <f t="shared" si="1205"/>
        <v>867898.36955855833</v>
      </c>
      <c r="K1493" s="517">
        <f t="shared" si="1205"/>
        <v>921589.57064937265</v>
      </c>
      <c r="L1493" s="517">
        <f t="shared" si="1205"/>
        <v>865956.56777562958</v>
      </c>
      <c r="M1493" s="517">
        <f t="shared" si="1205"/>
        <v>573452.59659328277</v>
      </c>
      <c r="N1493" s="517">
        <f t="shared" si="1205"/>
        <v>837756.37086964399</v>
      </c>
      <c r="O1493" s="517">
        <f t="shared" si="1205"/>
        <v>842982.16458864289</v>
      </c>
      <c r="P1493" s="511">
        <f t="shared" si="1166"/>
        <v>1.3043161015957594E-4</v>
      </c>
      <c r="Q1493" s="530">
        <v>735716</v>
      </c>
      <c r="R1493" s="480"/>
      <c r="U1493" s="513"/>
    </row>
    <row r="1494" spans="1:21" s="479" customFormat="1" ht="18" x14ac:dyDescent="0.15">
      <c r="A1494" s="579"/>
      <c r="B1494" s="528" t="s">
        <v>297</v>
      </c>
      <c r="C1494" s="517">
        <f>IEPS!I112</f>
        <v>977933.97885869397</v>
      </c>
      <c r="D1494" s="517">
        <f t="shared" ref="D1494:O1494" si="1206">$C1494*D$21%</f>
        <v>68689.907552485325</v>
      </c>
      <c r="E1494" s="517">
        <f t="shared" si="1206"/>
        <v>157004.98040481575</v>
      </c>
      <c r="F1494" s="517">
        <f t="shared" si="1206"/>
        <v>65213.55948185279</v>
      </c>
      <c r="G1494" s="517">
        <f t="shared" si="1206"/>
        <v>63378.447849432829</v>
      </c>
      <c r="H1494" s="517">
        <f t="shared" si="1206"/>
        <v>69973.293040832999</v>
      </c>
      <c r="I1494" s="517">
        <f t="shared" si="1206"/>
        <v>72563.698950854203</v>
      </c>
      <c r="J1494" s="517">
        <f t="shared" si="1206"/>
        <v>74727.195870896583</v>
      </c>
      <c r="K1494" s="517">
        <f t="shared" si="1206"/>
        <v>82775.8558041129</v>
      </c>
      <c r="L1494" s="517">
        <f t="shared" si="1206"/>
        <v>82949.308865627565</v>
      </c>
      <c r="M1494" s="517">
        <f t="shared" si="1206"/>
        <v>82027.389199465761</v>
      </c>
      <c r="N1494" s="517">
        <f t="shared" si="1206"/>
        <v>79375.371886037945</v>
      </c>
      <c r="O1494" s="517">
        <f t="shared" si="1206"/>
        <v>79254.969951301304</v>
      </c>
      <c r="P1494" s="511">
        <f t="shared" si="1166"/>
        <v>9.7803422249853611E-7</v>
      </c>
      <c r="Q1494" s="530">
        <v>62059</v>
      </c>
      <c r="R1494" s="480"/>
      <c r="U1494" s="513"/>
    </row>
    <row r="1495" spans="1:21" s="479" customFormat="1" x14ac:dyDescent="0.15">
      <c r="A1495" s="579"/>
      <c r="B1495" s="528" t="s">
        <v>236</v>
      </c>
      <c r="C1495" s="517">
        <f>ISR!C103</f>
        <v>1414787.4</v>
      </c>
      <c r="D1495" s="517">
        <f>ISR!D103</f>
        <v>117898.94999999995</v>
      </c>
      <c r="E1495" s="517">
        <f>ISR!E103</f>
        <v>117898.94999999995</v>
      </c>
      <c r="F1495" s="517">
        <f>ISR!F103</f>
        <v>117898.94999999995</v>
      </c>
      <c r="G1495" s="517">
        <f>ISR!G103</f>
        <v>117898.94999999995</v>
      </c>
      <c r="H1495" s="517">
        <f>ISR!H103</f>
        <v>117898.94999999995</v>
      </c>
      <c r="I1495" s="517">
        <f>ISR!I103</f>
        <v>117898.94999999995</v>
      </c>
      <c r="J1495" s="517">
        <f>ISR!J103</f>
        <v>117898.94999999995</v>
      </c>
      <c r="K1495" s="517">
        <f>ISR!K103</f>
        <v>117898.94999999995</v>
      </c>
      <c r="L1495" s="517">
        <f>ISR!L103</f>
        <v>117898.94999999995</v>
      </c>
      <c r="M1495" s="517">
        <f>ISR!M103</f>
        <v>117898.94999999995</v>
      </c>
      <c r="N1495" s="517">
        <f>ISR!N103</f>
        <v>117898.94999999995</v>
      </c>
      <c r="O1495" s="517">
        <f>ISR!O103</f>
        <v>117898.94999999995</v>
      </c>
      <c r="P1495" s="511">
        <f t="shared" si="1166"/>
        <v>4.6566128730773926E-10</v>
      </c>
      <c r="Q1495" s="530">
        <v>0</v>
      </c>
      <c r="R1495" s="480"/>
      <c r="U1495" s="513"/>
    </row>
    <row r="1496" spans="1:21" s="479" customFormat="1" ht="18" x14ac:dyDescent="0.15">
      <c r="A1496" s="579"/>
      <c r="B1496" s="528" t="s">
        <v>298</v>
      </c>
      <c r="C1496" s="517">
        <f>FOFIR!I112</f>
        <v>1891319.5020439117</v>
      </c>
      <c r="D1496" s="517">
        <f t="shared" ref="D1496:O1496" si="1207">$C1496*D$23%</f>
        <v>258572.68303529144</v>
      </c>
      <c r="E1496" s="517">
        <f t="shared" si="1207"/>
        <v>65786.272190256001</v>
      </c>
      <c r="F1496" s="517">
        <f t="shared" si="1207"/>
        <v>65786.272190256001</v>
      </c>
      <c r="G1496" s="517">
        <f t="shared" si="1207"/>
        <v>371253.93350639072</v>
      </c>
      <c r="H1496" s="517">
        <f t="shared" si="1207"/>
        <v>65786.272190256001</v>
      </c>
      <c r="I1496" s="517">
        <f t="shared" si="1207"/>
        <v>65786.272190256001</v>
      </c>
      <c r="J1496" s="517">
        <f t="shared" si="1207"/>
        <v>461780.07248113857</v>
      </c>
      <c r="K1496" s="517">
        <f t="shared" si="1207"/>
        <v>65786.272190256001</v>
      </c>
      <c r="L1496" s="517">
        <f t="shared" si="1207"/>
        <v>65786.272190256001</v>
      </c>
      <c r="M1496" s="517">
        <f t="shared" si="1207"/>
        <v>273422.63550660817</v>
      </c>
      <c r="N1496" s="517">
        <f t="shared" si="1207"/>
        <v>65786.272190256001</v>
      </c>
      <c r="O1496" s="517">
        <f t="shared" si="1207"/>
        <v>65786.272190256001</v>
      </c>
      <c r="P1496" s="511">
        <f t="shared" si="1166"/>
        <v>-7.5655116233974695E-6</v>
      </c>
      <c r="Q1496" s="530">
        <v>73101</v>
      </c>
      <c r="R1496" s="480"/>
      <c r="U1496" s="513"/>
    </row>
    <row r="1497" spans="1:21" s="479" customFormat="1" ht="27" x14ac:dyDescent="0.15">
      <c r="A1497" s="579"/>
      <c r="B1497" s="528" t="s">
        <v>407</v>
      </c>
      <c r="C1497" s="517">
        <f>FCISAN!I112</f>
        <v>120063.32386216678</v>
      </c>
      <c r="D1497" s="517">
        <f t="shared" ref="D1497:O1497" si="1208">$C1497*D$24%</f>
        <v>10005.276988473879</v>
      </c>
      <c r="E1497" s="517">
        <f t="shared" si="1208"/>
        <v>10005.276988473879</v>
      </c>
      <c r="F1497" s="517">
        <f t="shared" si="1208"/>
        <v>10005.276988473879</v>
      </c>
      <c r="G1497" s="517">
        <f t="shared" si="1208"/>
        <v>10005.276988473879</v>
      </c>
      <c r="H1497" s="517">
        <f t="shared" si="1208"/>
        <v>10005.276988473879</v>
      </c>
      <c r="I1497" s="517">
        <f t="shared" si="1208"/>
        <v>10005.276988473879</v>
      </c>
      <c r="J1497" s="517">
        <f t="shared" si="1208"/>
        <v>10005.276988473879</v>
      </c>
      <c r="K1497" s="517">
        <f t="shared" si="1208"/>
        <v>10005.276988473879</v>
      </c>
      <c r="L1497" s="517">
        <f t="shared" si="1208"/>
        <v>10005.276988473879</v>
      </c>
      <c r="M1497" s="517">
        <f t="shared" si="1208"/>
        <v>10005.276988473879</v>
      </c>
      <c r="N1497" s="517">
        <f t="shared" si="1208"/>
        <v>10005.276988473879</v>
      </c>
      <c r="O1497" s="517">
        <f t="shared" si="1208"/>
        <v>10005.276988473879</v>
      </c>
      <c r="P1497" s="511">
        <f t="shared" si="1166"/>
        <v>4.802168405149132E-7</v>
      </c>
      <c r="Q1497" s="530">
        <v>8691</v>
      </c>
      <c r="R1497" s="480"/>
      <c r="U1497" s="513"/>
    </row>
    <row r="1498" spans="1:21" s="479" customFormat="1" ht="27" x14ac:dyDescent="0.15">
      <c r="A1498" s="579"/>
      <c r="B1498" s="528" t="s">
        <v>242</v>
      </c>
      <c r="C1498" s="517">
        <f>ISAN!I112</f>
        <v>599730.38317053393</v>
      </c>
      <c r="D1498" s="517">
        <f t="shared" ref="D1498:O1498" si="1209">$C1498*D$25%</f>
        <v>57714.21831485103</v>
      </c>
      <c r="E1498" s="517">
        <f t="shared" si="1209"/>
        <v>64460.755028275511</v>
      </c>
      <c r="F1498" s="517">
        <f t="shared" si="1209"/>
        <v>50027.237290967205</v>
      </c>
      <c r="G1498" s="517">
        <f t="shared" si="1209"/>
        <v>46430.436551732608</v>
      </c>
      <c r="H1498" s="517">
        <f t="shared" si="1209"/>
        <v>49644.401857365941</v>
      </c>
      <c r="I1498" s="517">
        <f t="shared" si="1209"/>
        <v>43117.673572317297</v>
      </c>
      <c r="J1498" s="517">
        <f t="shared" si="1209"/>
        <v>46711.388351486588</v>
      </c>
      <c r="K1498" s="517">
        <f t="shared" si="1209"/>
        <v>48171.720012021797</v>
      </c>
      <c r="L1498" s="517">
        <f t="shared" si="1209"/>
        <v>47335.039070349703</v>
      </c>
      <c r="M1498" s="517">
        <f t="shared" si="1209"/>
        <v>48495.895555962437</v>
      </c>
      <c r="N1498" s="517">
        <f t="shared" si="1209"/>
        <v>46955.290865843242</v>
      </c>
      <c r="O1498" s="517">
        <f t="shared" si="1209"/>
        <v>50666.326692163821</v>
      </c>
      <c r="P1498" s="511">
        <f t="shared" si="1166"/>
        <v>7.1967442636378109E-6</v>
      </c>
      <c r="Q1498" s="530">
        <v>37353</v>
      </c>
      <c r="R1498" s="480"/>
      <c r="U1498" s="513"/>
    </row>
    <row r="1499" spans="1:21" s="479" customFormat="1" ht="18" x14ac:dyDescent="0.15">
      <c r="A1499" s="579"/>
      <c r="B1499" s="528" t="s">
        <v>403</v>
      </c>
      <c r="C1499" s="517">
        <f>LOT!I112</f>
        <v>29031.145673262406</v>
      </c>
      <c r="D1499" s="517">
        <f t="shared" ref="D1499:O1499" si="1210">$C1499*D$26%</f>
        <v>2195.056215816262</v>
      </c>
      <c r="E1499" s="517">
        <f t="shared" si="1210"/>
        <v>2163.9427549572247</v>
      </c>
      <c r="F1499" s="517">
        <f t="shared" si="1210"/>
        <v>2126.8901100096045</v>
      </c>
      <c r="G1499" s="517">
        <f t="shared" si="1210"/>
        <v>2340.0540488036459</v>
      </c>
      <c r="H1499" s="517">
        <f t="shared" si="1210"/>
        <v>1914.5901465878949</v>
      </c>
      <c r="I1499" s="517">
        <f t="shared" si="1210"/>
        <v>2598.1964426378149</v>
      </c>
      <c r="J1499" s="517">
        <f t="shared" si="1210"/>
        <v>5962.8580422184268</v>
      </c>
      <c r="K1499" s="517">
        <f t="shared" si="1210"/>
        <v>2170.6941793778979</v>
      </c>
      <c r="L1499" s="517">
        <f t="shared" si="1210"/>
        <v>2633.8677616655432</v>
      </c>
      <c r="M1499" s="517">
        <f t="shared" si="1210"/>
        <v>1630.7250844057596</v>
      </c>
      <c r="N1499" s="517">
        <f t="shared" si="1210"/>
        <v>1647.1354432169796</v>
      </c>
      <c r="O1499" s="517">
        <f t="shared" si="1210"/>
        <v>1647.1354432169796</v>
      </c>
      <c r="P1499" s="511">
        <f t="shared" si="1166"/>
        <v>3.4837194107240066E-7</v>
      </c>
      <c r="Q1499" s="530">
        <v>1825</v>
      </c>
      <c r="R1499" s="480"/>
      <c r="U1499" s="513"/>
    </row>
    <row r="1500" spans="1:21" s="479" customFormat="1" ht="45" x14ac:dyDescent="0.15">
      <c r="A1500" s="579"/>
      <c r="B1500" s="518" t="s">
        <v>301</v>
      </c>
      <c r="C1500" s="517">
        <f>'ENAJENAC DE INMUE'!I112</f>
        <v>114153.91075390847</v>
      </c>
      <c r="D1500" s="517">
        <f t="shared" ref="D1500:O1500" si="1211">$C1500*D$27%</f>
        <v>4929.8185581191274</v>
      </c>
      <c r="E1500" s="517">
        <f t="shared" si="1211"/>
        <v>5002.429846275626</v>
      </c>
      <c r="F1500" s="517">
        <f t="shared" si="1211"/>
        <v>4934.990401729583</v>
      </c>
      <c r="G1500" s="517">
        <f t="shared" si="1211"/>
        <v>4906.0826025785673</v>
      </c>
      <c r="H1500" s="517">
        <f t="shared" si="1211"/>
        <v>6805.6735128908158</v>
      </c>
      <c r="I1500" s="517">
        <f t="shared" si="1211"/>
        <v>4898.5712752509608</v>
      </c>
      <c r="J1500" s="517">
        <f t="shared" si="1211"/>
        <v>5629.825111747994</v>
      </c>
      <c r="K1500" s="517">
        <f t="shared" si="1211"/>
        <v>5624.0301220298197</v>
      </c>
      <c r="L1500" s="517">
        <f t="shared" si="1211"/>
        <v>5616.9055749780173</v>
      </c>
      <c r="M1500" s="517">
        <f t="shared" si="1211"/>
        <v>4905.2794962551634</v>
      </c>
      <c r="N1500" s="517">
        <f t="shared" si="1211"/>
        <v>20394.348228975963</v>
      </c>
      <c r="O1500" s="517">
        <f t="shared" si="1211"/>
        <v>40505.956022848521</v>
      </c>
      <c r="P1500" s="511">
        <f t="shared" si="1166"/>
        <v>2.283195499330759E-7</v>
      </c>
      <c r="Q1500" s="530">
        <v>26624</v>
      </c>
      <c r="R1500" s="480"/>
      <c r="U1500" s="513"/>
    </row>
    <row r="1501" spans="1:21" s="479" customFormat="1" ht="27" x14ac:dyDescent="0.15">
      <c r="A1501" s="579"/>
      <c r="B1501" s="518" t="s">
        <v>248</v>
      </c>
      <c r="C1501" s="517">
        <f>'IMP BEBIDAS AL'!I112</f>
        <v>44617.380722622387</v>
      </c>
      <c r="D1501" s="517">
        <f t="shared" ref="D1501:O1501" si="1212">$C1501*D$28%</f>
        <v>10145.572768313088</v>
      </c>
      <c r="E1501" s="517">
        <f t="shared" si="1212"/>
        <v>3489.7085946579077</v>
      </c>
      <c r="F1501" s="517">
        <f t="shared" si="1212"/>
        <v>3750.2260505777613</v>
      </c>
      <c r="G1501" s="517">
        <f t="shared" si="1212"/>
        <v>3723.3044263543488</v>
      </c>
      <c r="H1501" s="517">
        <f t="shared" si="1212"/>
        <v>2371.0182007867443</v>
      </c>
      <c r="I1501" s="517">
        <f t="shared" si="1212"/>
        <v>3880.1750997838735</v>
      </c>
      <c r="J1501" s="517">
        <f t="shared" si="1212"/>
        <v>3858.3341681494253</v>
      </c>
      <c r="K1501" s="517">
        <f t="shared" si="1212"/>
        <v>3528.7281176385081</v>
      </c>
      <c r="L1501" s="517">
        <f t="shared" si="1212"/>
        <v>2559.1329274836849</v>
      </c>
      <c r="M1501" s="517">
        <f t="shared" si="1212"/>
        <v>2378.9407474806317</v>
      </c>
      <c r="N1501" s="517">
        <f t="shared" si="1212"/>
        <v>2395.7565489410485</v>
      </c>
      <c r="O1501" s="517">
        <f t="shared" si="1212"/>
        <v>2536.4830724553681</v>
      </c>
      <c r="P1501" s="511">
        <f t="shared" si="1166"/>
        <v>-3.637978807091713E-12</v>
      </c>
      <c r="Q1501" s="530">
        <v>1139</v>
      </c>
      <c r="R1501" s="480"/>
      <c r="U1501" s="513"/>
    </row>
    <row r="1502" spans="1:21" s="479" customFormat="1" x14ac:dyDescent="0.15">
      <c r="A1502" s="579"/>
      <c r="B1502" s="535" t="s">
        <v>253</v>
      </c>
      <c r="C1502" s="517">
        <f>'FOND GASO Y D'!Q113</f>
        <v>0</v>
      </c>
      <c r="D1502" s="517">
        <f t="shared" ref="D1502:O1502" si="1213">$C1502*D$29%</f>
        <v>0</v>
      </c>
      <c r="E1502" s="517">
        <f t="shared" si="1213"/>
        <v>0</v>
      </c>
      <c r="F1502" s="517">
        <f t="shared" si="1213"/>
        <v>0</v>
      </c>
      <c r="G1502" s="517">
        <f t="shared" si="1213"/>
        <v>0</v>
      </c>
      <c r="H1502" s="517">
        <f t="shared" si="1213"/>
        <v>0</v>
      </c>
      <c r="I1502" s="517">
        <f t="shared" si="1213"/>
        <v>0</v>
      </c>
      <c r="J1502" s="517">
        <f t="shared" si="1213"/>
        <v>0</v>
      </c>
      <c r="K1502" s="517">
        <f t="shared" si="1213"/>
        <v>0</v>
      </c>
      <c r="L1502" s="517">
        <f t="shared" si="1213"/>
        <v>0</v>
      </c>
      <c r="M1502" s="517">
        <f t="shared" si="1213"/>
        <v>0</v>
      </c>
      <c r="N1502" s="517">
        <f t="shared" si="1213"/>
        <v>0</v>
      </c>
      <c r="O1502" s="517">
        <f t="shared" si="1213"/>
        <v>0</v>
      </c>
      <c r="P1502" s="511">
        <f t="shared" si="1166"/>
        <v>0</v>
      </c>
      <c r="Q1502" s="530">
        <v>44531</v>
      </c>
      <c r="R1502" s="480"/>
      <c r="U1502" s="513"/>
    </row>
    <row r="1503" spans="1:21" s="479" customFormat="1" ht="18" x14ac:dyDescent="0.15">
      <c r="A1503" s="579"/>
      <c r="B1503" s="528" t="s">
        <v>408</v>
      </c>
      <c r="C1503" s="519">
        <f>'FOND GASO Y D'!H113</f>
        <v>1442254.0240872679</v>
      </c>
      <c r="D1503" s="517">
        <f t="shared" ref="D1503:O1503" si="1214">$C1503*D$30%</f>
        <v>112194.09811567339</v>
      </c>
      <c r="E1503" s="517">
        <f t="shared" si="1214"/>
        <v>123354.85745730008</v>
      </c>
      <c r="F1503" s="517">
        <f t="shared" si="1214"/>
        <v>120098.68125959176</v>
      </c>
      <c r="G1503" s="517">
        <f t="shared" si="1214"/>
        <v>111906.94958835795</v>
      </c>
      <c r="H1503" s="517">
        <f t="shared" si="1214"/>
        <v>123305.46303908309</v>
      </c>
      <c r="I1503" s="517">
        <f t="shared" si="1214"/>
        <v>119004.42346205635</v>
      </c>
      <c r="J1503" s="517">
        <f t="shared" si="1214"/>
        <v>121485.50044167668</v>
      </c>
      <c r="K1503" s="517">
        <f t="shared" si="1214"/>
        <v>121413.31008663114</v>
      </c>
      <c r="L1503" s="517">
        <f t="shared" si="1214"/>
        <v>126345.06688372201</v>
      </c>
      <c r="M1503" s="517">
        <f t="shared" si="1214"/>
        <v>125235.61179592912</v>
      </c>
      <c r="N1503" s="517">
        <f t="shared" si="1214"/>
        <v>117043.88012469534</v>
      </c>
      <c r="O1503" s="517">
        <f t="shared" si="1214"/>
        <v>120866.18183399327</v>
      </c>
      <c r="P1503" s="511">
        <f t="shared" si="1166"/>
        <v>-1.4422985259443521E-6</v>
      </c>
      <c r="Q1503" s="530">
        <v>88143</v>
      </c>
      <c r="R1503" s="480"/>
      <c r="U1503" s="513"/>
    </row>
    <row r="1504" spans="1:21" s="479" customFormat="1" x14ac:dyDescent="0.15">
      <c r="A1504" s="579"/>
      <c r="B1504" s="534"/>
      <c r="C1504" s="521"/>
      <c r="D1504" s="522"/>
      <c r="E1504" s="522"/>
      <c r="F1504" s="522"/>
      <c r="G1504" s="522"/>
      <c r="H1504" s="522"/>
      <c r="I1504" s="522"/>
      <c r="J1504" s="522"/>
      <c r="K1504" s="522"/>
      <c r="L1504" s="522"/>
      <c r="M1504" s="522"/>
      <c r="N1504" s="522"/>
      <c r="O1504" s="522"/>
      <c r="P1504" s="511">
        <f t="shared" si="1166"/>
        <v>0</v>
      </c>
      <c r="Q1504" s="530">
        <v>0</v>
      </c>
      <c r="R1504" s="480"/>
      <c r="U1504" s="513"/>
    </row>
    <row r="1505" spans="1:21" s="479" customFormat="1" x14ac:dyDescent="0.15">
      <c r="A1505" s="591"/>
      <c r="B1505" s="532"/>
      <c r="C1505" s="521"/>
      <c r="D1505" s="522"/>
      <c r="E1505" s="522"/>
      <c r="F1505" s="522"/>
      <c r="G1505" s="522"/>
      <c r="H1505" s="522"/>
      <c r="I1505" s="522"/>
      <c r="J1505" s="522"/>
      <c r="K1505" s="522"/>
      <c r="L1505" s="522"/>
      <c r="M1505" s="522"/>
      <c r="N1505" s="522"/>
      <c r="O1505" s="522"/>
      <c r="P1505" s="511">
        <f t="shared" si="1166"/>
        <v>0</v>
      </c>
      <c r="Q1505" s="530">
        <v>0</v>
      </c>
      <c r="R1505" s="480"/>
      <c r="U1505" s="513"/>
    </row>
    <row r="1506" spans="1:21" s="479" customFormat="1" x14ac:dyDescent="0.15">
      <c r="A1506" s="576">
        <v>99</v>
      </c>
      <c r="B1506" s="533" t="s">
        <v>139</v>
      </c>
      <c r="C1506" s="524">
        <f t="shared" ref="C1506:O1506" si="1215">SUM(C1507:C1518)</f>
        <v>58679907.939448647</v>
      </c>
      <c r="D1506" s="524">
        <f t="shared" si="1215"/>
        <v>4588874.0499611078</v>
      </c>
      <c r="E1506" s="524">
        <f t="shared" si="1215"/>
        <v>6181466.5712576816</v>
      </c>
      <c r="F1506" s="524">
        <f t="shared" si="1215"/>
        <v>4087461.6478238436</v>
      </c>
      <c r="G1506" s="524">
        <f t="shared" si="1215"/>
        <v>5213164.4844288873</v>
      </c>
      <c r="H1506" s="524">
        <f t="shared" si="1215"/>
        <v>5911815.2262832392</v>
      </c>
      <c r="I1506" s="524">
        <f t="shared" si="1215"/>
        <v>5797239.8884343635</v>
      </c>
      <c r="J1506" s="524">
        <f t="shared" si="1215"/>
        <v>5004632.5348200602</v>
      </c>
      <c r="K1506" s="524">
        <f t="shared" si="1215"/>
        <v>4868134.2552004866</v>
      </c>
      <c r="L1506" s="524">
        <f t="shared" si="1215"/>
        <v>4605777.7431294248</v>
      </c>
      <c r="M1506" s="524">
        <f t="shared" si="1215"/>
        <v>3420676.6467001503</v>
      </c>
      <c r="N1506" s="524">
        <f t="shared" si="1215"/>
        <v>4474442.7253767578</v>
      </c>
      <c r="O1506" s="524">
        <f t="shared" si="1215"/>
        <v>4526222.1658594608</v>
      </c>
      <c r="P1506" s="511">
        <f t="shared" si="1166"/>
        <v>1.7318595200777054E-4</v>
      </c>
      <c r="Q1506" s="530">
        <v>3505102</v>
      </c>
      <c r="R1506" s="480"/>
      <c r="T1506" s="512"/>
      <c r="U1506" s="513"/>
    </row>
    <row r="1507" spans="1:21" s="479" customFormat="1" x14ac:dyDescent="0.15">
      <c r="A1507" s="579"/>
      <c r="B1507" s="528" t="s">
        <v>294</v>
      </c>
      <c r="C1507" s="517">
        <f>'FG1'!I114</f>
        <v>40840054.303138584</v>
      </c>
      <c r="D1507" s="517">
        <f t="shared" ref="D1507:O1507" si="1216">$C1507*D$19%</f>
        <v>3088925.1974945995</v>
      </c>
      <c r="E1507" s="517">
        <f t="shared" si="1216"/>
        <v>4425656.6747772181</v>
      </c>
      <c r="F1507" s="517">
        <f t="shared" si="1216"/>
        <v>2860725.6983176391</v>
      </c>
      <c r="G1507" s="517">
        <f t="shared" si="1216"/>
        <v>3514111.671845505</v>
      </c>
      <c r="H1507" s="517">
        <f t="shared" si="1216"/>
        <v>4291498.1946213068</v>
      </c>
      <c r="I1507" s="517">
        <f t="shared" si="1216"/>
        <v>4207182.8532906426</v>
      </c>
      <c r="J1507" s="517">
        <f t="shared" si="1216"/>
        <v>3261423.269570658</v>
      </c>
      <c r="K1507" s="517">
        <f t="shared" si="1216"/>
        <v>3462766.3517333181</v>
      </c>
      <c r="L1507" s="517">
        <f t="shared" si="1216"/>
        <v>3254141.491237293</v>
      </c>
      <c r="M1507" s="517">
        <f t="shared" si="1216"/>
        <v>2157245.7228679671</v>
      </c>
      <c r="N1507" s="517">
        <f t="shared" si="1216"/>
        <v>3148390.1764160418</v>
      </c>
      <c r="O1507" s="517">
        <f t="shared" si="1216"/>
        <v>3167987.0009255568</v>
      </c>
      <c r="P1507" s="511">
        <f t="shared" si="1166"/>
        <v>4.0842685848474503E-5</v>
      </c>
      <c r="Q1507" s="530">
        <v>2444289</v>
      </c>
      <c r="R1507" s="480"/>
      <c r="U1507" s="513"/>
    </row>
    <row r="1508" spans="1:21" s="479" customFormat="1" x14ac:dyDescent="0.15">
      <c r="A1508" s="579"/>
      <c r="B1508" s="528" t="s">
        <v>296</v>
      </c>
      <c r="C1508" s="517">
        <f>FFM!J114</f>
        <v>10977638.972883837</v>
      </c>
      <c r="D1508" s="517">
        <f t="shared" ref="D1508:O1508" si="1217">$C1508*D$20%</f>
        <v>830163.52825719235</v>
      </c>
      <c r="E1508" s="517">
        <f t="shared" si="1217"/>
        <v>1190174.3032342806</v>
      </c>
      <c r="F1508" s="517">
        <f t="shared" si="1217"/>
        <v>768704.45815415704</v>
      </c>
      <c r="G1508" s="517">
        <f t="shared" si="1217"/>
        <v>944675.46921984525</v>
      </c>
      <c r="H1508" s="517">
        <f t="shared" si="1217"/>
        <v>1154042.5182255295</v>
      </c>
      <c r="I1508" s="517">
        <f t="shared" si="1217"/>
        <v>1131334.5650172366</v>
      </c>
      <c r="J1508" s="517">
        <f t="shared" si="1217"/>
        <v>876544.14337337168</v>
      </c>
      <c r="K1508" s="517">
        <f t="shared" si="1217"/>
        <v>930770.20199677127</v>
      </c>
      <c r="L1508" s="517">
        <f t="shared" si="1217"/>
        <v>874582.99787509884</v>
      </c>
      <c r="M1508" s="517">
        <f t="shared" si="1217"/>
        <v>579165.17956101522</v>
      </c>
      <c r="N1508" s="517">
        <f t="shared" si="1217"/>
        <v>846101.87807245378</v>
      </c>
      <c r="O1508" s="517">
        <f t="shared" si="1217"/>
        <v>851379.72976515337</v>
      </c>
      <c r="P1508" s="511">
        <f t="shared" ref="P1508:P1571" si="1218">C1508-D1508-E1508-F1508-G1508-H1508-I1508-J1508-K1508-L1508-M1508-N1508-O1508</f>
        <v>1.3173185288906097E-4</v>
      </c>
      <c r="Q1508" s="530">
        <v>748362</v>
      </c>
      <c r="R1508" s="480"/>
      <c r="U1508" s="513"/>
    </row>
    <row r="1509" spans="1:21" s="479" customFormat="1" ht="18" x14ac:dyDescent="0.15">
      <c r="A1509" s="579"/>
      <c r="B1509" s="528" t="s">
        <v>297</v>
      </c>
      <c r="C1509" s="517">
        <f>IEPS!I113</f>
        <v>987675.89828565787</v>
      </c>
      <c r="D1509" s="517">
        <f t="shared" ref="D1509:O1509" si="1219">$C1509*D$21%</f>
        <v>69374.178228510791</v>
      </c>
      <c r="E1509" s="517">
        <f t="shared" si="1219"/>
        <v>158569.0224585757</v>
      </c>
      <c r="F1509" s="517">
        <f t="shared" si="1219"/>
        <v>65863.19969862813</v>
      </c>
      <c r="G1509" s="517">
        <f t="shared" si="1219"/>
        <v>64009.807169901258</v>
      </c>
      <c r="H1509" s="517">
        <f t="shared" si="1219"/>
        <v>70670.348463366419</v>
      </c>
      <c r="I1509" s="517">
        <f t="shared" si="1219"/>
        <v>73286.559311352874</v>
      </c>
      <c r="J1509" s="517">
        <f t="shared" si="1219"/>
        <v>75471.60841501008</v>
      </c>
      <c r="K1509" s="517">
        <f t="shared" si="1219"/>
        <v>83600.446967907788</v>
      </c>
      <c r="L1509" s="517">
        <f t="shared" si="1219"/>
        <v>83775.62792290622</v>
      </c>
      <c r="M1509" s="517">
        <f t="shared" si="1219"/>
        <v>82844.5243370729</v>
      </c>
      <c r="N1509" s="517">
        <f t="shared" si="1219"/>
        <v>80166.088329188366</v>
      </c>
      <c r="O1509" s="517">
        <f t="shared" si="1219"/>
        <v>80044.486982249655</v>
      </c>
      <c r="P1509" s="511">
        <f t="shared" si="1218"/>
        <v>9.8776945378631353E-7</v>
      </c>
      <c r="Q1509" s="530">
        <v>63126</v>
      </c>
      <c r="R1509" s="480"/>
      <c r="U1509" s="513"/>
    </row>
    <row r="1510" spans="1:21" s="479" customFormat="1" x14ac:dyDescent="0.15">
      <c r="A1510" s="579"/>
      <c r="B1510" s="528" t="s">
        <v>236</v>
      </c>
      <c r="C1510" s="517">
        <f>ISR!C104</f>
        <v>1982067.11</v>
      </c>
      <c r="D1510" s="517">
        <f>ISR!D104</f>
        <v>170526.40809679756</v>
      </c>
      <c r="E1510" s="517">
        <f>ISR!E104</f>
        <v>163508.61724586081</v>
      </c>
      <c r="F1510" s="517">
        <f>ISR!F104</f>
        <v>165436.03063746652</v>
      </c>
      <c r="G1510" s="517">
        <f>ISR!G104</f>
        <v>164651.18282682198</v>
      </c>
      <c r="H1510" s="517">
        <f>ISR!H104</f>
        <v>166607.12244941271</v>
      </c>
      <c r="I1510" s="517">
        <f>ISR!I104</f>
        <v>165920.12311909776</v>
      </c>
      <c r="J1510" s="517">
        <f>ISR!J104</f>
        <v>162161.7114904332</v>
      </c>
      <c r="K1510" s="517">
        <f>ISR!K104</f>
        <v>164651.18282682198</v>
      </c>
      <c r="L1510" s="517">
        <f>ISR!L104</f>
        <v>164651.18282682198</v>
      </c>
      <c r="M1510" s="517">
        <f>ISR!M104</f>
        <v>164651.18282682198</v>
      </c>
      <c r="N1510" s="517">
        <f>ISR!N104</f>
        <v>164651.18282682198</v>
      </c>
      <c r="O1510" s="517">
        <f>ISR!O104</f>
        <v>164651.18282682198</v>
      </c>
      <c r="P1510" s="511">
        <f t="shared" si="1218"/>
        <v>-4.6566128730773926E-10</v>
      </c>
      <c r="Q1510" s="530">
        <v>0</v>
      </c>
      <c r="R1510" s="480"/>
      <c r="U1510" s="513"/>
    </row>
    <row r="1511" spans="1:21" s="479" customFormat="1" ht="18" x14ac:dyDescent="0.15">
      <c r="A1511" s="579"/>
      <c r="B1511" s="528" t="s">
        <v>298</v>
      </c>
      <c r="C1511" s="517">
        <f>FOFIR!I113</f>
        <v>1910160.3262691426</v>
      </c>
      <c r="D1511" s="517">
        <f t="shared" ref="D1511:O1511" si="1220">$C1511*D$23%</f>
        <v>261148.51565651144</v>
      </c>
      <c r="E1511" s="517">
        <f t="shared" si="1220"/>
        <v>66441.617619428784</v>
      </c>
      <c r="F1511" s="517">
        <f t="shared" si="1220"/>
        <v>66441.617619428784</v>
      </c>
      <c r="G1511" s="517">
        <f t="shared" si="1220"/>
        <v>374952.2669167745</v>
      </c>
      <c r="H1511" s="517">
        <f t="shared" si="1220"/>
        <v>66441.617619428784</v>
      </c>
      <c r="I1511" s="517">
        <f t="shared" si="1220"/>
        <v>66441.617619428784</v>
      </c>
      <c r="J1511" s="517">
        <f t="shared" si="1220"/>
        <v>466380.20332467364</v>
      </c>
      <c r="K1511" s="517">
        <f t="shared" si="1220"/>
        <v>66441.617619428784</v>
      </c>
      <c r="L1511" s="517">
        <f t="shared" si="1220"/>
        <v>66441.617619428784</v>
      </c>
      <c r="M1511" s="517">
        <f t="shared" si="1220"/>
        <v>276146.39942339336</v>
      </c>
      <c r="N1511" s="517">
        <f t="shared" si="1220"/>
        <v>66441.617619428784</v>
      </c>
      <c r="O1511" s="517">
        <f t="shared" si="1220"/>
        <v>66441.617619428784</v>
      </c>
      <c r="P1511" s="511">
        <f t="shared" si="1218"/>
        <v>-7.6407450251281261E-6</v>
      </c>
      <c r="Q1511" s="530">
        <v>74355</v>
      </c>
      <c r="R1511" s="480"/>
      <c r="U1511" s="513"/>
    </row>
    <row r="1512" spans="1:21" s="479" customFormat="1" ht="27" x14ac:dyDescent="0.15">
      <c r="A1512" s="579"/>
      <c r="B1512" s="528" t="s">
        <v>407</v>
      </c>
      <c r="C1512" s="517">
        <f>FCISAN!I113</f>
        <v>121259.36291233225</v>
      </c>
      <c r="D1512" s="517">
        <f t="shared" ref="D1512:O1512" si="1221">$C1512*D$24%</f>
        <v>10104.946909320603</v>
      </c>
      <c r="E1512" s="517">
        <f t="shared" si="1221"/>
        <v>10104.946909320603</v>
      </c>
      <c r="F1512" s="517">
        <f t="shared" si="1221"/>
        <v>10104.946909320603</v>
      </c>
      <c r="G1512" s="517">
        <f t="shared" si="1221"/>
        <v>10104.946909320603</v>
      </c>
      <c r="H1512" s="517">
        <f t="shared" si="1221"/>
        <v>10104.946909320603</v>
      </c>
      <c r="I1512" s="517">
        <f t="shared" si="1221"/>
        <v>10104.946909320603</v>
      </c>
      <c r="J1512" s="517">
        <f t="shared" si="1221"/>
        <v>10104.946909320603</v>
      </c>
      <c r="K1512" s="517">
        <f t="shared" si="1221"/>
        <v>10104.946909320603</v>
      </c>
      <c r="L1512" s="517">
        <f t="shared" si="1221"/>
        <v>10104.946909320603</v>
      </c>
      <c r="M1512" s="517">
        <f t="shared" si="1221"/>
        <v>10104.946909320603</v>
      </c>
      <c r="N1512" s="517">
        <f t="shared" si="1221"/>
        <v>10104.946909320603</v>
      </c>
      <c r="O1512" s="517">
        <f t="shared" si="1221"/>
        <v>10104.946909320603</v>
      </c>
      <c r="P1512" s="511">
        <f t="shared" si="1218"/>
        <v>4.850444383919239E-7</v>
      </c>
      <c r="Q1512" s="530">
        <v>8845</v>
      </c>
      <c r="R1512" s="480"/>
      <c r="U1512" s="513"/>
    </row>
    <row r="1513" spans="1:21" s="479" customFormat="1" ht="27" x14ac:dyDescent="0.15">
      <c r="A1513" s="579"/>
      <c r="B1513" s="528" t="s">
        <v>242</v>
      </c>
      <c r="C1513" s="517">
        <f>ISAN!I113</f>
        <v>605704.73849211517</v>
      </c>
      <c r="D1513" s="517">
        <f t="shared" ref="D1513:O1513" si="1222">$C1513*D$25%</f>
        <v>58289.152080082975</v>
      </c>
      <c r="E1513" s="517">
        <f t="shared" si="1222"/>
        <v>65102.896006360352</v>
      </c>
      <c r="F1513" s="517">
        <f t="shared" si="1222"/>
        <v>50525.595386071938</v>
      </c>
      <c r="G1513" s="517">
        <f t="shared" si="1222"/>
        <v>46892.964269987802</v>
      </c>
      <c r="H1513" s="517">
        <f t="shared" si="1222"/>
        <v>50138.946247222098</v>
      </c>
      <c r="I1513" s="517">
        <f t="shared" si="1222"/>
        <v>43547.20042269821</v>
      </c>
      <c r="J1513" s="517">
        <f t="shared" si="1222"/>
        <v>47176.714837199746</v>
      </c>
      <c r="K1513" s="517">
        <f t="shared" si="1222"/>
        <v>48651.593935170546</v>
      </c>
      <c r="L1513" s="517">
        <f t="shared" si="1222"/>
        <v>47806.578199436626</v>
      </c>
      <c r="M1513" s="517">
        <f t="shared" si="1222"/>
        <v>48978.998830066899</v>
      </c>
      <c r="N1513" s="517">
        <f t="shared" si="1222"/>
        <v>47423.047043840612</v>
      </c>
      <c r="O1513" s="517">
        <f t="shared" si="1222"/>
        <v>51171.051226708922</v>
      </c>
      <c r="P1513" s="511">
        <f t="shared" si="1218"/>
        <v>7.2683542384766042E-6</v>
      </c>
      <c r="Q1513" s="530">
        <v>37996</v>
      </c>
      <c r="R1513" s="480"/>
      <c r="U1513" s="513"/>
    </row>
    <row r="1514" spans="1:21" s="479" customFormat="1" ht="18" x14ac:dyDescent="0.15">
      <c r="A1514" s="579"/>
      <c r="B1514" s="528" t="s">
        <v>403</v>
      </c>
      <c r="C1514" s="517">
        <f>LOT!I113</f>
        <v>29320.346261579667</v>
      </c>
      <c r="D1514" s="517">
        <f t="shared" ref="D1514:O1514" si="1223">$C1514*D$26%</f>
        <v>2216.9227847814745</v>
      </c>
      <c r="E1514" s="517">
        <f t="shared" si="1223"/>
        <v>2185.4993798614523</v>
      </c>
      <c r="F1514" s="517">
        <f t="shared" si="1223"/>
        <v>2148.0776262731274</v>
      </c>
      <c r="G1514" s="517">
        <f t="shared" si="1223"/>
        <v>2363.3650477984766</v>
      </c>
      <c r="H1514" s="517">
        <f t="shared" si="1223"/>
        <v>1933.6627868140642</v>
      </c>
      <c r="I1514" s="517">
        <f t="shared" si="1223"/>
        <v>2624.0789878267465</v>
      </c>
      <c r="J1514" s="517">
        <f t="shared" si="1223"/>
        <v>6022.2584555975682</v>
      </c>
      <c r="K1514" s="517">
        <f t="shared" si="1223"/>
        <v>2192.3180601850236</v>
      </c>
      <c r="L1514" s="517">
        <f t="shared" si="1223"/>
        <v>2660.1056550920189</v>
      </c>
      <c r="M1514" s="517">
        <f t="shared" si="1223"/>
        <v>1646.9699360248333</v>
      </c>
      <c r="N1514" s="517">
        <f t="shared" si="1223"/>
        <v>1663.5437704865192</v>
      </c>
      <c r="O1514" s="517">
        <f t="shared" si="1223"/>
        <v>1663.5437704865192</v>
      </c>
      <c r="P1514" s="511">
        <f t="shared" si="1218"/>
        <v>3.5184211810701527E-7</v>
      </c>
      <c r="Q1514" s="530">
        <v>1855</v>
      </c>
      <c r="R1514" s="480"/>
      <c r="U1514" s="513"/>
    </row>
    <row r="1515" spans="1:21" s="479" customFormat="1" ht="45" x14ac:dyDescent="0.15">
      <c r="A1515" s="579"/>
      <c r="B1515" s="518" t="s">
        <v>301</v>
      </c>
      <c r="C1515" s="517">
        <f>'ENAJENAC DE INMUE'!I113</f>
        <v>115291.08179497943</v>
      </c>
      <c r="D1515" s="517">
        <f t="shared" ref="D1515:O1515" si="1224">$C1515*D$27%</f>
        <v>4978.9281056151631</v>
      </c>
      <c r="E1515" s="517">
        <f t="shared" si="1224"/>
        <v>5052.2627282032299</v>
      </c>
      <c r="F1515" s="517">
        <f t="shared" si="1224"/>
        <v>4984.1514697626199</v>
      </c>
      <c r="G1515" s="517">
        <f t="shared" si="1224"/>
        <v>4954.9556987686901</v>
      </c>
      <c r="H1515" s="517">
        <f t="shared" si="1224"/>
        <v>6873.4698308858015</v>
      </c>
      <c r="I1515" s="517">
        <f t="shared" si="1224"/>
        <v>4947.36954558658</v>
      </c>
      <c r="J1515" s="517">
        <f t="shared" si="1224"/>
        <v>5685.9079392314552</v>
      </c>
      <c r="K1515" s="517">
        <f t="shared" si="1224"/>
        <v>5680.0552213597102</v>
      </c>
      <c r="L1515" s="517">
        <f t="shared" si="1224"/>
        <v>5672.8597014561265</v>
      </c>
      <c r="M1515" s="517">
        <f t="shared" si="1224"/>
        <v>4954.1445921126842</v>
      </c>
      <c r="N1515" s="517">
        <f t="shared" si="1224"/>
        <v>20597.511327413344</v>
      </c>
      <c r="O1515" s="517">
        <f t="shared" si="1224"/>
        <v>40909.465634353444</v>
      </c>
      <c r="P1515" s="511">
        <f t="shared" si="1218"/>
        <v>2.3054599296301603E-7</v>
      </c>
      <c r="Q1515" s="530">
        <v>27082</v>
      </c>
      <c r="R1515" s="480"/>
      <c r="U1515" s="513"/>
    </row>
    <row r="1516" spans="1:21" s="479" customFormat="1" ht="27" x14ac:dyDescent="0.15">
      <c r="A1516" s="579"/>
      <c r="B1516" s="518" t="s">
        <v>248</v>
      </c>
      <c r="C1516" s="517">
        <f>'IMP BEBIDAS AL'!I113</f>
        <v>45061.847258644819</v>
      </c>
      <c r="D1516" s="517">
        <f t="shared" ref="D1516:O1516" si="1225">$C1516*D$28%</f>
        <v>10246.640278580655</v>
      </c>
      <c r="E1516" s="517">
        <f t="shared" si="1225"/>
        <v>3524.4721479116934</v>
      </c>
      <c r="F1516" s="517">
        <f t="shared" si="1225"/>
        <v>3787.5848097654389</v>
      </c>
      <c r="G1516" s="517">
        <f t="shared" si="1225"/>
        <v>3760.3949994479781</v>
      </c>
      <c r="H1516" s="517">
        <f t="shared" si="1225"/>
        <v>2394.6376564670618</v>
      </c>
      <c r="I1516" s="517">
        <f t="shared" si="1225"/>
        <v>3918.8283770007274</v>
      </c>
      <c r="J1516" s="517">
        <f t="shared" si="1225"/>
        <v>3896.7698717868834</v>
      </c>
      <c r="K1516" s="517">
        <f t="shared" si="1225"/>
        <v>3563.8803730513077</v>
      </c>
      <c r="L1516" s="517">
        <f t="shared" si="1225"/>
        <v>2584.6263322752147</v>
      </c>
      <c r="M1516" s="517">
        <f t="shared" si="1225"/>
        <v>2402.6391254739237</v>
      </c>
      <c r="N1516" s="517">
        <f t="shared" si="1225"/>
        <v>2419.6224414971525</v>
      </c>
      <c r="O1516" s="517">
        <f t="shared" si="1225"/>
        <v>2561.7508453867845</v>
      </c>
      <c r="P1516" s="511">
        <f t="shared" si="1218"/>
        <v>-3.637978807091713E-12</v>
      </c>
      <c r="Q1516" s="530">
        <v>1159</v>
      </c>
      <c r="R1516" s="480"/>
      <c r="U1516" s="513"/>
    </row>
    <row r="1517" spans="1:21" s="479" customFormat="1" ht="18" x14ac:dyDescent="0.15">
      <c r="A1517" s="579"/>
      <c r="B1517" s="518" t="s">
        <v>253</v>
      </c>
      <c r="C1517" s="517">
        <f>'FOND GASO Y D'!Q114</f>
        <v>0</v>
      </c>
      <c r="D1517" s="517">
        <f t="shared" ref="D1517:O1517" si="1226">$C1517*D$29%</f>
        <v>0</v>
      </c>
      <c r="E1517" s="517">
        <f t="shared" si="1226"/>
        <v>0</v>
      </c>
      <c r="F1517" s="517">
        <f t="shared" si="1226"/>
        <v>0</v>
      </c>
      <c r="G1517" s="517">
        <f t="shared" si="1226"/>
        <v>0</v>
      </c>
      <c r="H1517" s="517">
        <f t="shared" si="1226"/>
        <v>0</v>
      </c>
      <c r="I1517" s="517">
        <f t="shared" si="1226"/>
        <v>0</v>
      </c>
      <c r="J1517" s="517">
        <f t="shared" si="1226"/>
        <v>0</v>
      </c>
      <c r="K1517" s="517">
        <f t="shared" si="1226"/>
        <v>0</v>
      </c>
      <c r="L1517" s="517">
        <f t="shared" si="1226"/>
        <v>0</v>
      </c>
      <c r="M1517" s="517">
        <f t="shared" si="1226"/>
        <v>0</v>
      </c>
      <c r="N1517" s="517">
        <f t="shared" si="1226"/>
        <v>0</v>
      </c>
      <c r="O1517" s="517">
        <f t="shared" si="1226"/>
        <v>0</v>
      </c>
      <c r="P1517" s="511">
        <f t="shared" si="1218"/>
        <v>0</v>
      </c>
      <c r="Q1517" s="530">
        <v>32904</v>
      </c>
      <c r="R1517" s="480"/>
      <c r="U1517" s="513"/>
    </row>
    <row r="1518" spans="1:21" s="479" customFormat="1" ht="18" x14ac:dyDescent="0.15">
      <c r="A1518" s="579"/>
      <c r="B1518" s="528" t="s">
        <v>408</v>
      </c>
      <c r="C1518" s="519">
        <f>'FOND GASO Y D'!H114</f>
        <v>1065673.9521517789</v>
      </c>
      <c r="D1518" s="517">
        <f t="shared" ref="D1518:O1518" si="1227">$C1518*D$30%</f>
        <v>82899.632069114348</v>
      </c>
      <c r="E1518" s="517">
        <f t="shared" si="1227"/>
        <v>91146.258750661087</v>
      </c>
      <c r="F1518" s="517">
        <f t="shared" si="1227"/>
        <v>88740.287195330951</v>
      </c>
      <c r="G1518" s="517">
        <f t="shared" si="1227"/>
        <v>82687.459524716396</v>
      </c>
      <c r="H1518" s="517">
        <f t="shared" si="1227"/>
        <v>91109.761473484934</v>
      </c>
      <c r="I1518" s="517">
        <f t="shared" si="1227"/>
        <v>87931.745834172034</v>
      </c>
      <c r="J1518" s="517">
        <f t="shared" si="1227"/>
        <v>89765.000632776646</v>
      </c>
      <c r="K1518" s="517">
        <f t="shared" si="1227"/>
        <v>89711.659557152117</v>
      </c>
      <c r="L1518" s="517">
        <f t="shared" si="1227"/>
        <v>93355.708850294672</v>
      </c>
      <c r="M1518" s="517">
        <f t="shared" si="1227"/>
        <v>92535.938290880644</v>
      </c>
      <c r="N1518" s="517">
        <f t="shared" si="1227"/>
        <v>86483.110620266089</v>
      </c>
      <c r="O1518" s="517">
        <f t="shared" si="1227"/>
        <v>89307.3893539946</v>
      </c>
      <c r="P1518" s="511">
        <f t="shared" si="1218"/>
        <v>-1.0655494406819344E-6</v>
      </c>
      <c r="Q1518" s="530">
        <v>65129</v>
      </c>
      <c r="R1518" s="480"/>
      <c r="U1518" s="513"/>
    </row>
    <row r="1519" spans="1:21" s="479" customFormat="1" x14ac:dyDescent="0.15">
      <c r="A1519" s="579"/>
      <c r="B1519" s="534"/>
      <c r="C1519" s="521"/>
      <c r="D1519" s="522"/>
      <c r="E1519" s="522"/>
      <c r="F1519" s="522"/>
      <c r="G1519" s="522"/>
      <c r="H1519" s="522"/>
      <c r="I1519" s="522"/>
      <c r="J1519" s="522"/>
      <c r="K1519" s="522"/>
      <c r="L1519" s="522"/>
      <c r="M1519" s="522"/>
      <c r="N1519" s="522"/>
      <c r="O1519" s="522"/>
      <c r="P1519" s="511">
        <f t="shared" si="1218"/>
        <v>0</v>
      </c>
      <c r="Q1519" s="530">
        <v>0</v>
      </c>
      <c r="R1519" s="480"/>
      <c r="U1519" s="513"/>
    </row>
    <row r="1520" spans="1:21" s="479" customFormat="1" x14ac:dyDescent="0.15">
      <c r="A1520" s="591"/>
      <c r="B1520" s="532"/>
      <c r="C1520" s="521"/>
      <c r="D1520" s="521"/>
      <c r="E1520" s="521"/>
      <c r="F1520" s="521"/>
      <c r="G1520" s="521"/>
      <c r="H1520" s="521"/>
      <c r="I1520" s="521"/>
      <c r="J1520" s="521"/>
      <c r="K1520" s="521"/>
      <c r="L1520" s="521"/>
      <c r="M1520" s="521"/>
      <c r="N1520" s="521"/>
      <c r="O1520" s="521"/>
      <c r="P1520" s="511">
        <f t="shared" si="1218"/>
        <v>0</v>
      </c>
      <c r="Q1520" s="530">
        <v>0</v>
      </c>
      <c r="R1520" s="480"/>
      <c r="U1520" s="513"/>
    </row>
    <row r="1521" spans="1:21" s="479" customFormat="1" x14ac:dyDescent="0.15">
      <c r="A1521" s="576">
        <v>100</v>
      </c>
      <c r="B1521" s="533" t="s">
        <v>125</v>
      </c>
      <c r="C1521" s="524">
        <f t="shared" ref="C1521:O1521" si="1228">SUM(C1522:C1533)</f>
        <v>38802935.241987832</v>
      </c>
      <c r="D1521" s="524">
        <f t="shared" si="1228"/>
        <v>3032118.3071901808</v>
      </c>
      <c r="E1521" s="524">
        <f t="shared" si="1228"/>
        <v>4075317.8497974803</v>
      </c>
      <c r="F1521" s="524">
        <f t="shared" si="1228"/>
        <v>2711526.3943199841</v>
      </c>
      <c r="G1521" s="524">
        <f t="shared" si="1228"/>
        <v>3441813.5311148502</v>
      </c>
      <c r="H1521" s="524">
        <f t="shared" si="1228"/>
        <v>3897945.364319535</v>
      </c>
      <c r="I1521" s="524">
        <f t="shared" si="1228"/>
        <v>3822719.3582133842</v>
      </c>
      <c r="J1521" s="524">
        <f t="shared" si="1228"/>
        <v>3310434.4353170032</v>
      </c>
      <c r="K1521" s="524">
        <f t="shared" si="1228"/>
        <v>3220036.2646069014</v>
      </c>
      <c r="L1521" s="524">
        <f t="shared" si="1228"/>
        <v>3050775.6405028012</v>
      </c>
      <c r="M1521" s="524">
        <f t="shared" si="1228"/>
        <v>2279847.1002171063</v>
      </c>
      <c r="N1521" s="524">
        <f t="shared" si="1228"/>
        <v>2962846.0865964349</v>
      </c>
      <c r="O1521" s="524">
        <f t="shared" si="1228"/>
        <v>2997554.9096799609</v>
      </c>
      <c r="P1521" s="511">
        <f t="shared" si="1218"/>
        <v>1.122145913541317E-4</v>
      </c>
      <c r="Q1521" s="530">
        <v>2319891</v>
      </c>
      <c r="R1521" s="480"/>
      <c r="T1521" s="512"/>
      <c r="U1521" s="513"/>
    </row>
    <row r="1522" spans="1:21" s="479" customFormat="1" x14ac:dyDescent="0.15">
      <c r="A1522" s="579"/>
      <c r="B1522" s="528" t="s">
        <v>294</v>
      </c>
      <c r="C1522" s="517">
        <f>'FG1'!I115</f>
        <v>26556765.506454218</v>
      </c>
      <c r="D1522" s="517">
        <f t="shared" ref="D1522:O1522" si="1229">$C1522*D$19%</f>
        <v>2008612.9545263033</v>
      </c>
      <c r="E1522" s="517">
        <f t="shared" si="1229"/>
        <v>2877839.6241040295</v>
      </c>
      <c r="F1522" s="517">
        <f t="shared" si="1229"/>
        <v>1860223.323519689</v>
      </c>
      <c r="G1522" s="517">
        <f t="shared" si="1229"/>
        <v>2285095.8752403739</v>
      </c>
      <c r="H1522" s="517">
        <f t="shared" si="1229"/>
        <v>2790601.3635533084</v>
      </c>
      <c r="I1522" s="517">
        <f t="shared" si="1229"/>
        <v>2735774.2388953706</v>
      </c>
      <c r="J1522" s="517">
        <f t="shared" si="1229"/>
        <v>2120782.0230695661</v>
      </c>
      <c r="K1522" s="517">
        <f t="shared" si="1229"/>
        <v>2251707.9268318829</v>
      </c>
      <c r="L1522" s="517">
        <f t="shared" si="1229"/>
        <v>2116046.9539574203</v>
      </c>
      <c r="M1522" s="517">
        <f t="shared" si="1229"/>
        <v>1402776.5089823396</v>
      </c>
      <c r="N1522" s="517">
        <f t="shared" si="1229"/>
        <v>2047280.8144988017</v>
      </c>
      <c r="O1522" s="517">
        <f t="shared" si="1229"/>
        <v>2060023.899248577</v>
      </c>
      <c r="P1522" s="511">
        <f t="shared" si="1218"/>
        <v>2.6557361707091331E-5</v>
      </c>
      <c r="Q1522" s="530">
        <v>1592733</v>
      </c>
      <c r="R1522" s="480"/>
      <c r="U1522" s="513"/>
    </row>
    <row r="1523" spans="1:21" s="479" customFormat="1" x14ac:dyDescent="0.15">
      <c r="A1523" s="579"/>
      <c r="B1523" s="528" t="s">
        <v>296</v>
      </c>
      <c r="C1523" s="517">
        <f>FFM!J115</f>
        <v>7138349.5686239749</v>
      </c>
      <c r="D1523" s="517">
        <f t="shared" ref="D1523:O1523" si="1230">$C1523*D$20%</f>
        <v>539824.40836868947</v>
      </c>
      <c r="E1523" s="517">
        <f t="shared" si="1230"/>
        <v>773926.00039641222</v>
      </c>
      <c r="F1523" s="517">
        <f t="shared" si="1230"/>
        <v>499859.8652058366</v>
      </c>
      <c r="G1523" s="517">
        <f t="shared" si="1230"/>
        <v>614287.25656329619</v>
      </c>
      <c r="H1523" s="517">
        <f t="shared" si="1230"/>
        <v>750430.84696971171</v>
      </c>
      <c r="I1523" s="517">
        <f t="shared" si="1230"/>
        <v>735664.71115588583</v>
      </c>
      <c r="J1523" s="517">
        <f t="shared" si="1230"/>
        <v>569983.99411612633</v>
      </c>
      <c r="K1523" s="517">
        <f t="shared" si="1230"/>
        <v>605245.17943463335</v>
      </c>
      <c r="L1523" s="517">
        <f t="shared" si="1230"/>
        <v>568708.73427599261</v>
      </c>
      <c r="M1523" s="517">
        <f t="shared" si="1230"/>
        <v>376609.53506428888</v>
      </c>
      <c r="N1523" s="517">
        <f t="shared" si="1230"/>
        <v>550188.52334909514</v>
      </c>
      <c r="O1523" s="517">
        <f t="shared" si="1230"/>
        <v>553620.51363834634</v>
      </c>
      <c r="P1523" s="511">
        <f t="shared" si="1218"/>
        <v>8.5659907199442387E-5</v>
      </c>
      <c r="Q1523" s="530">
        <v>487643</v>
      </c>
      <c r="R1523" s="480"/>
      <c r="U1523" s="513"/>
    </row>
    <row r="1524" spans="1:21" s="479" customFormat="1" ht="18" x14ac:dyDescent="0.15">
      <c r="A1524" s="579"/>
      <c r="B1524" s="528" t="s">
        <v>297</v>
      </c>
      <c r="C1524" s="517">
        <f>IEPS!I114</f>
        <v>642248.83327672235</v>
      </c>
      <c r="D1524" s="517">
        <f t="shared" ref="D1524:O1524" si="1231">$C1524*D$21%</f>
        <v>45111.443039289406</v>
      </c>
      <c r="E1524" s="517">
        <f t="shared" si="1231"/>
        <v>103111.52660970978</v>
      </c>
      <c r="F1524" s="517">
        <f t="shared" si="1231"/>
        <v>42828.384529518429</v>
      </c>
      <c r="G1524" s="517">
        <f t="shared" si="1231"/>
        <v>41623.192430324008</v>
      </c>
      <c r="H1524" s="517">
        <f t="shared" si="1231"/>
        <v>45954.294244334473</v>
      </c>
      <c r="I1524" s="517">
        <f t="shared" si="1231"/>
        <v>47655.518671944468</v>
      </c>
      <c r="J1524" s="517">
        <f t="shared" si="1231"/>
        <v>49076.37468342761</v>
      </c>
      <c r="K1524" s="517">
        <f t="shared" si="1231"/>
        <v>54362.25549266392</v>
      </c>
      <c r="L1524" s="517">
        <f t="shared" si="1231"/>
        <v>54476.169140000398</v>
      </c>
      <c r="M1524" s="517">
        <f t="shared" si="1231"/>
        <v>53870.707173479605</v>
      </c>
      <c r="N1524" s="517">
        <f t="shared" si="1231"/>
        <v>52129.020043059536</v>
      </c>
      <c r="O1524" s="517">
        <f t="shared" si="1231"/>
        <v>52049.947218328452</v>
      </c>
      <c r="P1524" s="511">
        <f t="shared" si="1218"/>
        <v>6.4229971030727029E-7</v>
      </c>
      <c r="Q1524" s="530">
        <v>41133</v>
      </c>
      <c r="R1524" s="480"/>
      <c r="U1524" s="513"/>
    </row>
    <row r="1525" spans="1:21" s="479" customFormat="1" x14ac:dyDescent="0.15">
      <c r="A1525" s="579"/>
      <c r="B1525" s="528" t="s">
        <v>236</v>
      </c>
      <c r="C1525" s="517">
        <f>ISR!C105</f>
        <v>1542557.87</v>
      </c>
      <c r="D1525" s="517">
        <f>ISR!D105</f>
        <v>128546.48916666662</v>
      </c>
      <c r="E1525" s="517">
        <f>ISR!E105</f>
        <v>128546.48916666662</v>
      </c>
      <c r="F1525" s="517">
        <f>ISR!F105</f>
        <v>128546.48916666662</v>
      </c>
      <c r="G1525" s="517">
        <f>ISR!G105</f>
        <v>128546.48916666662</v>
      </c>
      <c r="H1525" s="517">
        <f>ISR!H105</f>
        <v>128546.48916666662</v>
      </c>
      <c r="I1525" s="517">
        <f>ISR!I105</f>
        <v>128546.48916666662</v>
      </c>
      <c r="J1525" s="517">
        <f>ISR!J105</f>
        <v>128546.48916666662</v>
      </c>
      <c r="K1525" s="517">
        <f>ISR!K105</f>
        <v>128546.48916666662</v>
      </c>
      <c r="L1525" s="517">
        <f>ISR!L105</f>
        <v>128546.48916666662</v>
      </c>
      <c r="M1525" s="517">
        <f>ISR!M105</f>
        <v>128546.48916666662</v>
      </c>
      <c r="N1525" s="517">
        <f>ISR!N105</f>
        <v>128546.48916666662</v>
      </c>
      <c r="O1525" s="517">
        <f>ISR!O105</f>
        <v>128546.48916666662</v>
      </c>
      <c r="P1525" s="511">
        <f t="shared" si="1218"/>
        <v>8.440110832452774E-10</v>
      </c>
      <c r="Q1525" s="530">
        <v>0</v>
      </c>
      <c r="R1525" s="480"/>
      <c r="U1525" s="513"/>
    </row>
    <row r="1526" spans="1:21" s="479" customFormat="1" ht="18" x14ac:dyDescent="0.15">
      <c r="A1526" s="579"/>
      <c r="B1526" s="528" t="s">
        <v>298</v>
      </c>
      <c r="C1526" s="517">
        <f>FOFIR!I114</f>
        <v>1242106.0826200526</v>
      </c>
      <c r="D1526" s="517">
        <f t="shared" ref="D1526:O1526" si="1232">$C1526*D$23%</f>
        <v>169815.14865702766</v>
      </c>
      <c r="E1526" s="517">
        <f t="shared" si="1232"/>
        <v>43204.508150055663</v>
      </c>
      <c r="F1526" s="517">
        <f t="shared" si="1232"/>
        <v>43204.508150055663</v>
      </c>
      <c r="G1526" s="517">
        <f t="shared" si="1232"/>
        <v>243817.48747716451</v>
      </c>
      <c r="H1526" s="517">
        <f t="shared" si="1232"/>
        <v>43204.508150055663</v>
      </c>
      <c r="I1526" s="517">
        <f t="shared" si="1232"/>
        <v>43204.508150055663</v>
      </c>
      <c r="J1526" s="517">
        <f t="shared" si="1232"/>
        <v>303269.66767999518</v>
      </c>
      <c r="K1526" s="517">
        <f t="shared" si="1232"/>
        <v>43204.508150055663</v>
      </c>
      <c r="L1526" s="517">
        <f t="shared" si="1232"/>
        <v>43204.508150055663</v>
      </c>
      <c r="M1526" s="517">
        <f t="shared" si="1232"/>
        <v>179567.71361038843</v>
      </c>
      <c r="N1526" s="517">
        <f t="shared" si="1232"/>
        <v>43204.508150055663</v>
      </c>
      <c r="O1526" s="517">
        <f t="shared" si="1232"/>
        <v>43204.508150055663</v>
      </c>
      <c r="P1526" s="511">
        <f t="shared" si="1218"/>
        <v>-4.9683585530146956E-6</v>
      </c>
      <c r="Q1526" s="530">
        <v>48454</v>
      </c>
      <c r="R1526" s="480"/>
      <c r="U1526" s="513"/>
    </row>
    <row r="1527" spans="1:21" s="479" customFormat="1" ht="27" x14ac:dyDescent="0.15">
      <c r="A1527" s="579"/>
      <c r="B1527" s="528" t="s">
        <v>407</v>
      </c>
      <c r="C1527" s="517">
        <f>FCISAN!I114</f>
        <v>78850.445261953515</v>
      </c>
      <c r="D1527" s="517">
        <f t="shared" ref="D1527:O1527" si="1233">$C1527*D$24%</f>
        <v>6570.870438469844</v>
      </c>
      <c r="E1527" s="517">
        <f t="shared" si="1233"/>
        <v>6570.870438469844</v>
      </c>
      <c r="F1527" s="517">
        <f t="shared" si="1233"/>
        <v>6570.870438469844</v>
      </c>
      <c r="G1527" s="517">
        <f t="shared" si="1233"/>
        <v>6570.870438469844</v>
      </c>
      <c r="H1527" s="517">
        <f t="shared" si="1233"/>
        <v>6570.870438469844</v>
      </c>
      <c r="I1527" s="517">
        <f t="shared" si="1233"/>
        <v>6570.870438469844</v>
      </c>
      <c r="J1527" s="517">
        <f t="shared" si="1233"/>
        <v>6570.870438469844</v>
      </c>
      <c r="K1527" s="517">
        <f t="shared" si="1233"/>
        <v>6570.870438469844</v>
      </c>
      <c r="L1527" s="517">
        <f t="shared" si="1233"/>
        <v>6570.870438469844</v>
      </c>
      <c r="M1527" s="517">
        <f t="shared" si="1233"/>
        <v>6570.870438469844</v>
      </c>
      <c r="N1527" s="517">
        <f t="shared" si="1233"/>
        <v>6570.870438469844</v>
      </c>
      <c r="O1527" s="517">
        <f t="shared" si="1233"/>
        <v>6570.870438469844</v>
      </c>
      <c r="P1527" s="511">
        <f t="shared" si="1218"/>
        <v>3.1538183975499123E-7</v>
      </c>
      <c r="Q1527" s="530">
        <v>5763</v>
      </c>
      <c r="R1527" s="480"/>
      <c r="U1527" s="513"/>
    </row>
    <row r="1528" spans="1:21" s="479" customFormat="1" ht="27" x14ac:dyDescent="0.15">
      <c r="A1528" s="579"/>
      <c r="B1528" s="528" t="s">
        <v>242</v>
      </c>
      <c r="C1528" s="517">
        <f>ISAN!I114</f>
        <v>393867.22130403947</v>
      </c>
      <c r="D1528" s="517">
        <f t="shared" ref="D1528:O1528" si="1234">$C1528*D$25%</f>
        <v>37903.263591935254</v>
      </c>
      <c r="E1528" s="517">
        <f t="shared" si="1234"/>
        <v>42333.987369334071</v>
      </c>
      <c r="F1528" s="517">
        <f t="shared" si="1234"/>
        <v>32854.91196417874</v>
      </c>
      <c r="G1528" s="517">
        <f t="shared" si="1234"/>
        <v>30492.747310693416</v>
      </c>
      <c r="H1528" s="517">
        <f t="shared" si="1234"/>
        <v>32603.488436739444</v>
      </c>
      <c r="I1528" s="517">
        <f t="shared" si="1234"/>
        <v>28317.12175268299</v>
      </c>
      <c r="J1528" s="517">
        <f t="shared" si="1234"/>
        <v>30677.259731265582</v>
      </c>
      <c r="K1528" s="517">
        <f t="shared" si="1234"/>
        <v>31636.318650836391</v>
      </c>
      <c r="L1528" s="517">
        <f t="shared" si="1234"/>
        <v>31086.836405377548</v>
      </c>
      <c r="M1528" s="517">
        <f t="shared" si="1234"/>
        <v>31849.217854027695</v>
      </c>
      <c r="N1528" s="517">
        <f t="shared" si="1234"/>
        <v>30837.440386264032</v>
      </c>
      <c r="O1528" s="517">
        <f t="shared" si="1234"/>
        <v>33274.627845977906</v>
      </c>
      <c r="P1528" s="511">
        <f t="shared" si="1218"/>
        <v>4.7263965825550258E-6</v>
      </c>
      <c r="Q1528" s="530">
        <v>24758</v>
      </c>
      <c r="R1528" s="480"/>
      <c r="U1528" s="513"/>
    </row>
    <row r="1529" spans="1:21" s="479" customFormat="1" ht="18" x14ac:dyDescent="0.15">
      <c r="A1529" s="579"/>
      <c r="B1529" s="528" t="s">
        <v>403</v>
      </c>
      <c r="C1529" s="517">
        <f>LOT!I114</f>
        <v>19065.928621377294</v>
      </c>
      <c r="D1529" s="517">
        <f t="shared" ref="D1529:O1529" si="1235">$C1529*D$26%</f>
        <v>1441.582278621813</v>
      </c>
      <c r="E1529" s="517">
        <f t="shared" si="1235"/>
        <v>1421.1488093202979</v>
      </c>
      <c r="F1529" s="517">
        <f t="shared" si="1235"/>
        <v>1396.814837393892</v>
      </c>
      <c r="G1529" s="517">
        <f t="shared" si="1235"/>
        <v>1536.8082254413337</v>
      </c>
      <c r="H1529" s="517">
        <f t="shared" si="1235"/>
        <v>1257.3888569494743</v>
      </c>
      <c r="I1529" s="517">
        <f t="shared" si="1235"/>
        <v>1706.3407857607367</v>
      </c>
      <c r="J1529" s="517">
        <f t="shared" si="1235"/>
        <v>3916.0502686274567</v>
      </c>
      <c r="K1529" s="517">
        <f t="shared" si="1235"/>
        <v>1425.5827430529139</v>
      </c>
      <c r="L1529" s="517">
        <f t="shared" si="1235"/>
        <v>1729.7675850358139</v>
      </c>
      <c r="M1529" s="517">
        <f t="shared" si="1235"/>
        <v>1070.9631790041497</v>
      </c>
      <c r="N1529" s="517">
        <f t="shared" si="1235"/>
        <v>1081.7405259703107</v>
      </c>
      <c r="O1529" s="517">
        <f t="shared" si="1235"/>
        <v>1081.7405259703107</v>
      </c>
      <c r="P1529" s="511">
        <f t="shared" si="1218"/>
        <v>2.2879294192534871E-7</v>
      </c>
      <c r="Q1529" s="530">
        <v>1209</v>
      </c>
      <c r="R1529" s="480"/>
      <c r="U1529" s="513"/>
    </row>
    <row r="1530" spans="1:21" s="479" customFormat="1" ht="45" x14ac:dyDescent="0.15">
      <c r="A1530" s="579"/>
      <c r="B1530" s="518" t="s">
        <v>301</v>
      </c>
      <c r="C1530" s="517">
        <f>'ENAJENAC DE INMUE'!I114</f>
        <v>74969.49444505031</v>
      </c>
      <c r="D1530" s="517">
        <f t="shared" ref="D1530:O1530" si="1236">$C1530*D$27%</f>
        <v>3237.611419242277</v>
      </c>
      <c r="E1530" s="517">
        <f t="shared" si="1236"/>
        <v>3285.2981916721055</v>
      </c>
      <c r="F1530" s="517">
        <f t="shared" si="1236"/>
        <v>3241.0079783112051</v>
      </c>
      <c r="G1530" s="517">
        <f t="shared" si="1236"/>
        <v>3222.0230563443811</v>
      </c>
      <c r="H1530" s="517">
        <f t="shared" si="1236"/>
        <v>4469.5613076227874</v>
      </c>
      <c r="I1530" s="517">
        <f t="shared" si="1236"/>
        <v>3217.0900636098972</v>
      </c>
      <c r="J1530" s="517">
        <f t="shared" si="1236"/>
        <v>3697.3340611315416</v>
      </c>
      <c r="K1530" s="517">
        <f t="shared" si="1236"/>
        <v>3693.528256787069</v>
      </c>
      <c r="L1530" s="517">
        <f t="shared" si="1236"/>
        <v>3688.8492783175966</v>
      </c>
      <c r="M1530" s="517">
        <f t="shared" si="1236"/>
        <v>3221.4956239099288</v>
      </c>
      <c r="N1530" s="517">
        <f t="shared" si="1236"/>
        <v>13393.794099255472</v>
      </c>
      <c r="O1530" s="517">
        <f t="shared" si="1236"/>
        <v>26601.901108696107</v>
      </c>
      <c r="P1530" s="511">
        <f t="shared" si="1218"/>
        <v>1.4993929653428495E-7</v>
      </c>
      <c r="Q1530" s="530">
        <v>17647</v>
      </c>
      <c r="R1530" s="480"/>
      <c r="U1530" s="513"/>
    </row>
    <row r="1531" spans="1:21" s="479" customFormat="1" ht="27" x14ac:dyDescent="0.15">
      <c r="A1531" s="579"/>
      <c r="B1531" s="518" t="s">
        <v>248</v>
      </c>
      <c r="C1531" s="517">
        <f>'IMP BEBIDAS AL'!I114</f>
        <v>29302.040150409892</v>
      </c>
      <c r="D1531" s="517">
        <f t="shared" ref="D1531:O1531" si="1237">$C1531*D$28%</f>
        <v>6663.0083566353815</v>
      </c>
      <c r="E1531" s="517">
        <f t="shared" si="1237"/>
        <v>2291.8329067678719</v>
      </c>
      <c r="F1531" s="517">
        <f t="shared" si="1237"/>
        <v>2462.9252665077543</v>
      </c>
      <c r="G1531" s="517">
        <f t="shared" si="1237"/>
        <v>2445.2447460215144</v>
      </c>
      <c r="H1531" s="517">
        <f t="shared" si="1237"/>
        <v>1557.1436375596002</v>
      </c>
      <c r="I1531" s="517">
        <f t="shared" si="1237"/>
        <v>2548.268067803448</v>
      </c>
      <c r="J1531" s="517">
        <f t="shared" si="1237"/>
        <v>2533.9242438202878</v>
      </c>
      <c r="K1531" s="517">
        <f t="shared" si="1237"/>
        <v>2317.4586071229733</v>
      </c>
      <c r="L1531" s="517">
        <f t="shared" si="1237"/>
        <v>1680.6861939643579</v>
      </c>
      <c r="M1531" s="517">
        <f t="shared" si="1237"/>
        <v>1562.3466946991709</v>
      </c>
      <c r="N1531" s="517">
        <f t="shared" si="1237"/>
        <v>1573.3903122664528</v>
      </c>
      <c r="O1531" s="517">
        <f t="shared" si="1237"/>
        <v>1665.8111172410804</v>
      </c>
      <c r="P1531" s="511">
        <f t="shared" si="1218"/>
        <v>-3.637978807091713E-12</v>
      </c>
      <c r="Q1531" s="530">
        <v>756</v>
      </c>
      <c r="R1531" s="480"/>
      <c r="U1531" s="513"/>
    </row>
    <row r="1532" spans="1:21" s="479" customFormat="1" ht="18" x14ac:dyDescent="0.15">
      <c r="A1532" s="579"/>
      <c r="B1532" s="518" t="s">
        <v>253</v>
      </c>
      <c r="C1532" s="517">
        <f>'FOND GASO Y D'!Q115</f>
        <v>0</v>
      </c>
      <c r="D1532" s="517">
        <f t="shared" ref="D1532:O1532" si="1238">$C1532*D$29%</f>
        <v>0</v>
      </c>
      <c r="E1532" s="517">
        <f t="shared" si="1238"/>
        <v>0</v>
      </c>
      <c r="F1532" s="517">
        <f t="shared" si="1238"/>
        <v>0</v>
      </c>
      <c r="G1532" s="517">
        <f t="shared" si="1238"/>
        <v>0</v>
      </c>
      <c r="H1532" s="517">
        <f t="shared" si="1238"/>
        <v>0</v>
      </c>
      <c r="I1532" s="517">
        <f t="shared" si="1238"/>
        <v>0</v>
      </c>
      <c r="J1532" s="517">
        <f t="shared" si="1238"/>
        <v>0</v>
      </c>
      <c r="K1532" s="517">
        <f t="shared" si="1238"/>
        <v>0</v>
      </c>
      <c r="L1532" s="517">
        <f t="shared" si="1238"/>
        <v>0</v>
      </c>
      <c r="M1532" s="517">
        <f t="shared" si="1238"/>
        <v>0</v>
      </c>
      <c r="N1532" s="517">
        <f t="shared" si="1238"/>
        <v>0</v>
      </c>
      <c r="O1532" s="517">
        <f t="shared" si="1238"/>
        <v>0</v>
      </c>
      <c r="P1532" s="511">
        <f t="shared" si="1218"/>
        <v>0</v>
      </c>
      <c r="Q1532" s="530">
        <v>33493</v>
      </c>
      <c r="R1532" s="480"/>
      <c r="U1532" s="513"/>
    </row>
    <row r="1533" spans="1:21" s="479" customFormat="1" ht="18" x14ac:dyDescent="0.15">
      <c r="A1533" s="579"/>
      <c r="B1533" s="528" t="s">
        <v>408</v>
      </c>
      <c r="C1533" s="519">
        <f>'FOND GASO Y D'!H115</f>
        <v>1084852.2512300476</v>
      </c>
      <c r="D1533" s="517">
        <f t="shared" ref="D1533:O1533" si="1239">$C1533*D$30%</f>
        <v>84391.527347299285</v>
      </c>
      <c r="E1533" s="517">
        <f t="shared" si="1239"/>
        <v>92786.5636550419</v>
      </c>
      <c r="F1533" s="517">
        <f t="shared" si="1239"/>
        <v>90337.293263356842</v>
      </c>
      <c r="G1533" s="517">
        <f t="shared" si="1239"/>
        <v>84175.536460054107</v>
      </c>
      <c r="H1533" s="517">
        <f t="shared" si="1239"/>
        <v>92749.409558117244</v>
      </c>
      <c r="I1533" s="517">
        <f t="shared" si="1239"/>
        <v>89514.201065133588</v>
      </c>
      <c r="J1533" s="517">
        <f t="shared" si="1239"/>
        <v>91380.447857906125</v>
      </c>
      <c r="K1533" s="517">
        <f t="shared" si="1239"/>
        <v>91326.14683472972</v>
      </c>
      <c r="L1533" s="517">
        <f t="shared" si="1239"/>
        <v>95035.775911500023</v>
      </c>
      <c r="M1533" s="517">
        <f t="shared" si="1239"/>
        <v>94201.25242983218</v>
      </c>
      <c r="N1533" s="517">
        <f t="shared" si="1239"/>
        <v>88039.49562652946</v>
      </c>
      <c r="O1533" s="517">
        <f t="shared" si="1239"/>
        <v>90914.601221631907</v>
      </c>
      <c r="P1533" s="511">
        <f t="shared" si="1218"/>
        <v>-1.0848161764442921E-6</v>
      </c>
      <c r="Q1533" s="530">
        <v>66302</v>
      </c>
      <c r="R1533" s="480"/>
      <c r="U1533" s="513"/>
    </row>
    <row r="1534" spans="1:21" s="479" customFormat="1" x14ac:dyDescent="0.15">
      <c r="A1534" s="579"/>
      <c r="B1534" s="534"/>
      <c r="C1534" s="521"/>
      <c r="D1534" s="522"/>
      <c r="E1534" s="522"/>
      <c r="F1534" s="522"/>
      <c r="G1534" s="522"/>
      <c r="H1534" s="522"/>
      <c r="I1534" s="522"/>
      <c r="J1534" s="522"/>
      <c r="K1534" s="522"/>
      <c r="L1534" s="522"/>
      <c r="M1534" s="522"/>
      <c r="N1534" s="522"/>
      <c r="O1534" s="522"/>
      <c r="P1534" s="511">
        <f t="shared" si="1218"/>
        <v>0</v>
      </c>
      <c r="Q1534" s="530">
        <v>0</v>
      </c>
      <c r="R1534" s="480"/>
      <c r="U1534" s="513"/>
    </row>
    <row r="1535" spans="1:21" s="479" customFormat="1" x14ac:dyDescent="0.15">
      <c r="A1535" s="591"/>
      <c r="B1535" s="532"/>
      <c r="C1535" s="521"/>
      <c r="D1535" s="521"/>
      <c r="E1535" s="521"/>
      <c r="F1535" s="521"/>
      <c r="G1535" s="521"/>
      <c r="H1535" s="521"/>
      <c r="I1535" s="521"/>
      <c r="J1535" s="521"/>
      <c r="K1535" s="521"/>
      <c r="L1535" s="521"/>
      <c r="M1535" s="521"/>
      <c r="N1535" s="521"/>
      <c r="O1535" s="521"/>
      <c r="P1535" s="511">
        <f t="shared" si="1218"/>
        <v>0</v>
      </c>
      <c r="Q1535" s="530">
        <v>0</v>
      </c>
      <c r="R1535" s="480"/>
      <c r="U1535" s="513"/>
    </row>
    <row r="1536" spans="1:21" s="479" customFormat="1" x14ac:dyDescent="0.15">
      <c r="A1536" s="576">
        <v>101</v>
      </c>
      <c r="B1536" s="533" t="s">
        <v>66</v>
      </c>
      <c r="C1536" s="524">
        <f t="shared" ref="C1536:O1536" si="1240">SUM(C1537:C1548)</f>
        <v>59881491.013234496</v>
      </c>
      <c r="D1536" s="524">
        <f t="shared" si="1240"/>
        <v>4679796.6788418684</v>
      </c>
      <c r="E1536" s="524">
        <f t="shared" si="1240"/>
        <v>6303715.7542230627</v>
      </c>
      <c r="F1536" s="524">
        <f t="shared" si="1240"/>
        <v>4174374.8118008994</v>
      </c>
      <c r="G1536" s="524">
        <f t="shared" si="1240"/>
        <v>5320180.4805527329</v>
      </c>
      <c r="H1536" s="524">
        <f t="shared" si="1240"/>
        <v>6026567.05743015</v>
      </c>
      <c r="I1536" s="524">
        <f t="shared" si="1240"/>
        <v>5911428.3888180414</v>
      </c>
      <c r="J1536" s="524">
        <f t="shared" si="1240"/>
        <v>5109497.5830116756</v>
      </c>
      <c r="K1536" s="524">
        <f t="shared" si="1240"/>
        <v>4968274.711628573</v>
      </c>
      <c r="L1536" s="524">
        <f t="shared" si="1240"/>
        <v>4701004.7935876874</v>
      </c>
      <c r="M1536" s="524">
        <f t="shared" si="1240"/>
        <v>3496913.2565280241</v>
      </c>
      <c r="N1536" s="524">
        <f t="shared" si="1240"/>
        <v>4568822.677964448</v>
      </c>
      <c r="O1536" s="524">
        <f t="shared" si="1240"/>
        <v>4620914.8186711362</v>
      </c>
      <c r="P1536" s="511">
        <f t="shared" si="1218"/>
        <v>1.7620064318180084E-4</v>
      </c>
      <c r="Q1536" s="530">
        <v>3569445</v>
      </c>
      <c r="R1536" s="480"/>
      <c r="T1536" s="512"/>
      <c r="U1536" s="513"/>
    </row>
    <row r="1537" spans="1:21" s="479" customFormat="1" x14ac:dyDescent="0.15">
      <c r="A1537" s="579"/>
      <c r="B1537" s="528" t="s">
        <v>294</v>
      </c>
      <c r="C1537" s="517">
        <f>'FG1'!I116</f>
        <v>41499726.559774511</v>
      </c>
      <c r="D1537" s="517">
        <f t="shared" ref="D1537:O1537" si="1241">$C1537*D$19%</f>
        <v>3138819.3097914639</v>
      </c>
      <c r="E1537" s="517">
        <f t="shared" si="1241"/>
        <v>4497142.4496020023</v>
      </c>
      <c r="F1537" s="517">
        <f t="shared" si="1241"/>
        <v>2906933.7998793591</v>
      </c>
      <c r="G1537" s="517">
        <f t="shared" si="1241"/>
        <v>3570873.6428122972</v>
      </c>
      <c r="H1537" s="517">
        <f t="shared" si="1241"/>
        <v>4360816.9638222894</v>
      </c>
      <c r="I1537" s="517">
        <f t="shared" si="1241"/>
        <v>4275139.7121701594</v>
      </c>
      <c r="J1537" s="517">
        <f t="shared" si="1241"/>
        <v>3314103.6708285292</v>
      </c>
      <c r="K1537" s="517">
        <f t="shared" si="1241"/>
        <v>3518698.9632939086</v>
      </c>
      <c r="L1537" s="517">
        <f t="shared" si="1241"/>
        <v>3306704.2729858994</v>
      </c>
      <c r="M1537" s="517">
        <f t="shared" si="1241"/>
        <v>2192090.8076359653</v>
      </c>
      <c r="N1537" s="517">
        <f t="shared" si="1241"/>
        <v>3199244.8015600424</v>
      </c>
      <c r="O1537" s="517">
        <f t="shared" si="1241"/>
        <v>3219158.1653510956</v>
      </c>
      <c r="P1537" s="511">
        <f t="shared" si="1218"/>
        <v>4.15043905377388E-5</v>
      </c>
      <c r="Q1537" s="530">
        <v>2502348</v>
      </c>
      <c r="R1537" s="480"/>
      <c r="U1537" s="513"/>
    </row>
    <row r="1538" spans="1:21" s="479" customFormat="1" x14ac:dyDescent="0.15">
      <c r="A1538" s="579"/>
      <c r="B1538" s="528" t="s">
        <v>296</v>
      </c>
      <c r="C1538" s="517">
        <f>FFM!J116</f>
        <v>11154956.167910689</v>
      </c>
      <c r="D1538" s="517">
        <f t="shared" ref="D1538:O1538" si="1242">$C1538*D$20%</f>
        <v>843572.81131047616</v>
      </c>
      <c r="E1538" s="517">
        <f t="shared" si="1242"/>
        <v>1209398.6892396712</v>
      </c>
      <c r="F1538" s="517">
        <f t="shared" si="1242"/>
        <v>781121.01864236593</v>
      </c>
      <c r="G1538" s="517">
        <f t="shared" si="1242"/>
        <v>959934.4155949722</v>
      </c>
      <c r="H1538" s="517">
        <f t="shared" si="1242"/>
        <v>1172683.2826721417</v>
      </c>
      <c r="I1538" s="517">
        <f t="shared" si="1242"/>
        <v>1149608.5374261765</v>
      </c>
      <c r="J1538" s="517">
        <f t="shared" si="1242"/>
        <v>890702.59303673776</v>
      </c>
      <c r="K1538" s="517">
        <f t="shared" si="1242"/>
        <v>945804.54242646822</v>
      </c>
      <c r="L1538" s="517">
        <f t="shared" si="1242"/>
        <v>888709.76997832174</v>
      </c>
      <c r="M1538" s="517">
        <f t="shared" si="1242"/>
        <v>588520.19163152098</v>
      </c>
      <c r="N1538" s="517">
        <f t="shared" si="1242"/>
        <v>859768.60660099704</v>
      </c>
      <c r="O1538" s="517">
        <f t="shared" si="1242"/>
        <v>865131.70921698061</v>
      </c>
      <c r="P1538" s="511">
        <f t="shared" si="1218"/>
        <v>1.3385911006480455E-4</v>
      </c>
      <c r="Q1538" s="530">
        <v>766139</v>
      </c>
      <c r="R1538" s="480"/>
      <c r="U1538" s="513"/>
    </row>
    <row r="1539" spans="1:21" s="479" customFormat="1" ht="18" x14ac:dyDescent="0.15">
      <c r="A1539" s="579"/>
      <c r="B1539" s="528" t="s">
        <v>297</v>
      </c>
      <c r="C1539" s="517">
        <f>IEPS!I115</f>
        <v>1003629.4125442553</v>
      </c>
      <c r="D1539" s="517">
        <f t="shared" ref="D1539:O1539" si="1243">$C1539*D$21%</f>
        <v>70494.750213175066</v>
      </c>
      <c r="E1539" s="517">
        <f t="shared" si="1243"/>
        <v>161130.32132711716</v>
      </c>
      <c r="F1539" s="517">
        <f t="shared" si="1243"/>
        <v>66927.060320652759</v>
      </c>
      <c r="G1539" s="517">
        <f t="shared" si="1243"/>
        <v>65043.73072027602</v>
      </c>
      <c r="H1539" s="517">
        <f t="shared" si="1243"/>
        <v>71811.85694183319</v>
      </c>
      <c r="I1539" s="517">
        <f t="shared" si="1243"/>
        <v>74470.326345626556</v>
      </c>
      <c r="J1539" s="517">
        <f t="shared" si="1243"/>
        <v>76690.6696303926</v>
      </c>
      <c r="K1539" s="517">
        <f t="shared" si="1243"/>
        <v>84950.809900771303</v>
      </c>
      <c r="L1539" s="517">
        <f t="shared" si="1243"/>
        <v>85128.820480212598</v>
      </c>
      <c r="M1539" s="517">
        <f t="shared" si="1243"/>
        <v>84182.677168940383</v>
      </c>
      <c r="N1539" s="517">
        <f t="shared" si="1243"/>
        <v>81460.977508356926</v>
      </c>
      <c r="O1539" s="517">
        <f t="shared" si="1243"/>
        <v>81337.411985897066</v>
      </c>
      <c r="P1539" s="511">
        <f t="shared" si="1218"/>
        <v>1.0035873856395483E-6</v>
      </c>
      <c r="Q1539" s="530">
        <v>64625</v>
      </c>
      <c r="R1539" s="480"/>
      <c r="U1539" s="513"/>
    </row>
    <row r="1540" spans="1:21" s="479" customFormat="1" x14ac:dyDescent="0.15">
      <c r="A1540" s="579"/>
      <c r="B1540" s="528" t="s">
        <v>236</v>
      </c>
      <c r="C1540" s="517">
        <f>ISR!C106</f>
        <v>2465428.6</v>
      </c>
      <c r="D1540" s="517">
        <f>ISR!D106</f>
        <v>205452.38333333327</v>
      </c>
      <c r="E1540" s="517">
        <f>ISR!E106</f>
        <v>205452.38333333327</v>
      </c>
      <c r="F1540" s="517">
        <f>ISR!F106</f>
        <v>205452.38333333327</v>
      </c>
      <c r="G1540" s="517">
        <f>ISR!G106</f>
        <v>205452.38333333327</v>
      </c>
      <c r="H1540" s="517">
        <f>ISR!H106</f>
        <v>205452.38333333327</v>
      </c>
      <c r="I1540" s="517">
        <f>ISR!I106</f>
        <v>205452.38333333327</v>
      </c>
      <c r="J1540" s="517">
        <f>ISR!J106</f>
        <v>205452.38333333327</v>
      </c>
      <c r="K1540" s="517">
        <f>ISR!K106</f>
        <v>205452.38333333327</v>
      </c>
      <c r="L1540" s="517">
        <f>ISR!L106</f>
        <v>205452.38333333327</v>
      </c>
      <c r="M1540" s="517">
        <f>ISR!M106</f>
        <v>205452.38333333327</v>
      </c>
      <c r="N1540" s="517">
        <f>ISR!N106</f>
        <v>205452.38333333327</v>
      </c>
      <c r="O1540" s="517">
        <f>ISR!O106</f>
        <v>205452.38333333327</v>
      </c>
      <c r="P1540" s="511">
        <f t="shared" si="1218"/>
        <v>5.2386894822120667E-10</v>
      </c>
      <c r="Q1540" s="530">
        <v>0</v>
      </c>
      <c r="R1540" s="480"/>
      <c r="U1540" s="513"/>
    </row>
    <row r="1541" spans="1:21" s="479" customFormat="1" ht="18" x14ac:dyDescent="0.15">
      <c r="A1541" s="579"/>
      <c r="B1541" s="528" t="s">
        <v>298</v>
      </c>
      <c r="C1541" s="517">
        <f>FOFIR!I115</f>
        <v>1941014.3443273297</v>
      </c>
      <c r="D1541" s="517">
        <f t="shared" ref="D1541:O1541" si="1244">$C1541*D$23%</f>
        <v>265366.73802618671</v>
      </c>
      <c r="E1541" s="517">
        <f t="shared" si="1244"/>
        <v>67514.821183366788</v>
      </c>
      <c r="F1541" s="517">
        <f t="shared" si="1244"/>
        <v>67514.821183366788</v>
      </c>
      <c r="G1541" s="517">
        <f t="shared" si="1244"/>
        <v>381008.71351725649</v>
      </c>
      <c r="H1541" s="517">
        <f t="shared" si="1244"/>
        <v>67514.821183366788</v>
      </c>
      <c r="I1541" s="517">
        <f t="shared" si="1244"/>
        <v>67514.821183366788</v>
      </c>
      <c r="J1541" s="517">
        <f t="shared" si="1244"/>
        <v>473913.44700975524</v>
      </c>
      <c r="K1541" s="517">
        <f t="shared" si="1244"/>
        <v>67514.821183366788</v>
      </c>
      <c r="L1541" s="517">
        <f t="shared" si="1244"/>
        <v>67514.821183366788</v>
      </c>
      <c r="M1541" s="517">
        <f t="shared" si="1244"/>
        <v>280606.876314961</v>
      </c>
      <c r="N1541" s="517">
        <f t="shared" si="1244"/>
        <v>67514.821183366788</v>
      </c>
      <c r="O1541" s="517">
        <f t="shared" si="1244"/>
        <v>67514.821183366788</v>
      </c>
      <c r="P1541" s="511">
        <f t="shared" si="1218"/>
        <v>-7.7640288509428501E-6</v>
      </c>
      <c r="Q1541" s="530">
        <v>76124</v>
      </c>
      <c r="R1541" s="480"/>
      <c r="U1541" s="513"/>
    </row>
    <row r="1542" spans="1:21" s="479" customFormat="1" ht="27" x14ac:dyDescent="0.15">
      <c r="A1542" s="579"/>
      <c r="B1542" s="528" t="s">
        <v>407</v>
      </c>
      <c r="C1542" s="517">
        <f>FCISAN!I115</f>
        <v>123218.01450904342</v>
      </c>
      <c r="D1542" s="517">
        <f t="shared" ref="D1542:O1542" si="1245">$C1542*D$24%</f>
        <v>10268.167875712548</v>
      </c>
      <c r="E1542" s="517">
        <f t="shared" si="1245"/>
        <v>10268.167875712548</v>
      </c>
      <c r="F1542" s="517">
        <f t="shared" si="1245"/>
        <v>10268.167875712548</v>
      </c>
      <c r="G1542" s="517">
        <f t="shared" si="1245"/>
        <v>10268.167875712548</v>
      </c>
      <c r="H1542" s="517">
        <f t="shared" si="1245"/>
        <v>10268.167875712548</v>
      </c>
      <c r="I1542" s="517">
        <f t="shared" si="1245"/>
        <v>10268.167875712548</v>
      </c>
      <c r="J1542" s="517">
        <f t="shared" si="1245"/>
        <v>10268.167875712548</v>
      </c>
      <c r="K1542" s="517">
        <f t="shared" si="1245"/>
        <v>10268.167875712548</v>
      </c>
      <c r="L1542" s="517">
        <f t="shared" si="1245"/>
        <v>10268.167875712548</v>
      </c>
      <c r="M1542" s="517">
        <f t="shared" si="1245"/>
        <v>10268.167875712548</v>
      </c>
      <c r="N1542" s="517">
        <f t="shared" si="1245"/>
        <v>10268.167875712548</v>
      </c>
      <c r="O1542" s="517">
        <f t="shared" si="1245"/>
        <v>10268.167875712548</v>
      </c>
      <c r="P1542" s="511">
        <f t="shared" si="1218"/>
        <v>4.9284426495432854E-7</v>
      </c>
      <c r="Q1542" s="530">
        <v>9057</v>
      </c>
      <c r="R1542" s="480"/>
      <c r="U1542" s="513"/>
    </row>
    <row r="1543" spans="1:21" s="479" customFormat="1" ht="27" x14ac:dyDescent="0.15">
      <c r="A1543" s="579"/>
      <c r="B1543" s="528" t="s">
        <v>242</v>
      </c>
      <c r="C1543" s="517">
        <f>ISAN!I115</f>
        <v>615488.4329194132</v>
      </c>
      <c r="D1543" s="517">
        <f t="shared" ref="D1543:O1543" si="1246">$C1543*D$25%</f>
        <v>59230.6722897441</v>
      </c>
      <c r="E1543" s="517">
        <f t="shared" si="1246"/>
        <v>66154.475761942333</v>
      </c>
      <c r="F1543" s="517">
        <f t="shared" si="1246"/>
        <v>51341.714122810306</v>
      </c>
      <c r="G1543" s="517">
        <f t="shared" si="1246"/>
        <v>47650.406640919064</v>
      </c>
      <c r="H1543" s="517">
        <f t="shared" si="1246"/>
        <v>50948.819602696807</v>
      </c>
      <c r="I1543" s="517">
        <f t="shared" si="1246"/>
        <v>44250.600074417343</v>
      </c>
      <c r="J1543" s="517">
        <f t="shared" si="1246"/>
        <v>47938.740511953401</v>
      </c>
      <c r="K1543" s="517">
        <f t="shared" si="1246"/>
        <v>49437.442712988697</v>
      </c>
      <c r="L1543" s="517">
        <f t="shared" si="1246"/>
        <v>48578.777792727582</v>
      </c>
      <c r="M1543" s="517">
        <f t="shared" si="1246"/>
        <v>49770.136041740872</v>
      </c>
      <c r="N1543" s="517">
        <f t="shared" si="1246"/>
        <v>48189.051619342797</v>
      </c>
      <c r="O1543" s="517">
        <f t="shared" si="1246"/>
        <v>51997.595740744036</v>
      </c>
      <c r="P1543" s="511">
        <f t="shared" si="1218"/>
        <v>7.3858536779880524E-6</v>
      </c>
      <c r="Q1543" s="530">
        <v>38901</v>
      </c>
      <c r="R1543" s="480"/>
      <c r="U1543" s="513"/>
    </row>
    <row r="1544" spans="1:21" s="479" customFormat="1" ht="18" x14ac:dyDescent="0.15">
      <c r="A1544" s="579"/>
      <c r="B1544" s="528" t="s">
        <v>403</v>
      </c>
      <c r="C1544" s="517">
        <f>LOT!I115</f>
        <v>29793.945509028184</v>
      </c>
      <c r="D1544" s="517">
        <f t="shared" ref="D1544:O1544" si="1247">$C1544*D$26%</f>
        <v>2252.7318080841692</v>
      </c>
      <c r="E1544" s="517">
        <f t="shared" si="1247"/>
        <v>2220.8008340928395</v>
      </c>
      <c r="F1544" s="517">
        <f t="shared" si="1247"/>
        <v>2182.7746226246686</v>
      </c>
      <c r="G1544" s="517">
        <f t="shared" si="1247"/>
        <v>2401.5394915140391</v>
      </c>
      <c r="H1544" s="517">
        <f t="shared" si="1247"/>
        <v>1964.8964302534787</v>
      </c>
      <c r="I1544" s="517">
        <f t="shared" si="1247"/>
        <v>2666.4646343942527</v>
      </c>
      <c r="J1544" s="517">
        <f t="shared" si="1247"/>
        <v>6119.5334688960584</v>
      </c>
      <c r="K1544" s="517">
        <f t="shared" si="1247"/>
        <v>2227.7296536978856</v>
      </c>
      <c r="L1544" s="517">
        <f t="shared" si="1247"/>
        <v>2703.0732252955108</v>
      </c>
      <c r="M1544" s="517">
        <f t="shared" si="1247"/>
        <v>1673.5727501701008</v>
      </c>
      <c r="N1544" s="517">
        <f t="shared" si="1247"/>
        <v>1690.4142948238275</v>
      </c>
      <c r="O1544" s="517">
        <f t="shared" si="1247"/>
        <v>1690.4142948238275</v>
      </c>
      <c r="P1544" s="511">
        <f t="shared" si="1218"/>
        <v>3.5752964322455227E-7</v>
      </c>
      <c r="Q1544" s="530">
        <v>1900</v>
      </c>
      <c r="R1544" s="480"/>
      <c r="U1544" s="513"/>
    </row>
    <row r="1545" spans="1:21" s="479" customFormat="1" ht="45" x14ac:dyDescent="0.15">
      <c r="A1545" s="579"/>
      <c r="B1545" s="518" t="s">
        <v>301</v>
      </c>
      <c r="C1545" s="517">
        <f>'ENAJENAC DE INMUE'!I115</f>
        <v>117153.33025168255</v>
      </c>
      <c r="D1545" s="517">
        <f t="shared" ref="D1545:O1545" si="1248">$C1545*D$27%</f>
        <v>5059.3506416549053</v>
      </c>
      <c r="E1545" s="517">
        <f t="shared" si="1248"/>
        <v>5133.8698076231822</v>
      </c>
      <c r="F1545" s="517">
        <f t="shared" si="1248"/>
        <v>5064.6583766111962</v>
      </c>
      <c r="G1545" s="517">
        <f t="shared" si="1248"/>
        <v>5034.9910185818317</v>
      </c>
      <c r="H1545" s="517">
        <f t="shared" si="1248"/>
        <v>6984.4941042769105</v>
      </c>
      <c r="I1545" s="517">
        <f t="shared" si="1248"/>
        <v>5027.2823294512718</v>
      </c>
      <c r="J1545" s="517">
        <f t="shared" si="1248"/>
        <v>5777.7500238049988</v>
      </c>
      <c r="K1545" s="517">
        <f t="shared" si="1248"/>
        <v>5771.8027694378497</v>
      </c>
      <c r="L1545" s="517">
        <f t="shared" si="1248"/>
        <v>5764.4910233212149</v>
      </c>
      <c r="M1545" s="517">
        <f t="shared" si="1248"/>
        <v>5034.1668104604323</v>
      </c>
      <c r="N1545" s="517">
        <f t="shared" si="1248"/>
        <v>20930.214283133817</v>
      </c>
      <c r="O1545" s="517">
        <f t="shared" si="1248"/>
        <v>41570.259063090627</v>
      </c>
      <c r="P1545" s="511">
        <f t="shared" si="1218"/>
        <v>2.3430766304954886E-7</v>
      </c>
      <c r="Q1545" s="530">
        <v>27726</v>
      </c>
      <c r="R1545" s="480"/>
      <c r="U1545" s="513"/>
    </row>
    <row r="1546" spans="1:21" s="479" customFormat="1" ht="27" x14ac:dyDescent="0.15">
      <c r="A1546" s="579"/>
      <c r="B1546" s="518" t="s">
        <v>248</v>
      </c>
      <c r="C1546" s="517">
        <f>'IMP BEBIDAS AL'!I115</f>
        <v>45789.712365009502</v>
      </c>
      <c r="D1546" s="517">
        <f t="shared" ref="D1546:O1546" si="1249">$C1546*D$28%</f>
        <v>10412.149958497715</v>
      </c>
      <c r="E1546" s="517">
        <f t="shared" si="1249"/>
        <v>3581.4014673001025</v>
      </c>
      <c r="F1546" s="517">
        <f t="shared" si="1249"/>
        <v>3848.7640775526975</v>
      </c>
      <c r="G1546" s="517">
        <f t="shared" si="1249"/>
        <v>3821.1350816407098</v>
      </c>
      <c r="H1546" s="517">
        <f t="shared" si="1249"/>
        <v>2433.317233505371</v>
      </c>
      <c r="I1546" s="517">
        <f t="shared" si="1249"/>
        <v>3982.1275670467671</v>
      </c>
      <c r="J1546" s="517">
        <f t="shared" si="1249"/>
        <v>3959.7127600561325</v>
      </c>
      <c r="K1546" s="517">
        <f t="shared" si="1249"/>
        <v>3621.4462369608113</v>
      </c>
      <c r="L1546" s="517">
        <f t="shared" si="1249"/>
        <v>2626.3747166558296</v>
      </c>
      <c r="M1546" s="517">
        <f t="shared" si="1249"/>
        <v>2441.4479468828936</v>
      </c>
      <c r="N1546" s="517">
        <f t="shared" si="1249"/>
        <v>2458.7055872819678</v>
      </c>
      <c r="O1546" s="517">
        <f t="shared" si="1249"/>
        <v>2603.1297316285054</v>
      </c>
      <c r="P1546" s="511">
        <f t="shared" si="1218"/>
        <v>0</v>
      </c>
      <c r="Q1546" s="530">
        <v>1186</v>
      </c>
      <c r="R1546" s="480"/>
      <c r="U1546" s="513"/>
    </row>
    <row r="1547" spans="1:21" s="479" customFormat="1" ht="18" x14ac:dyDescent="0.15">
      <c r="A1547" s="579"/>
      <c r="B1547" s="518" t="s">
        <v>253</v>
      </c>
      <c r="C1547" s="517">
        <f>'FOND GASO Y D'!Q116</f>
        <v>0</v>
      </c>
      <c r="D1547" s="517">
        <f t="shared" ref="D1547:O1547" si="1250">$C1547*D$29%</f>
        <v>0</v>
      </c>
      <c r="E1547" s="517">
        <f t="shared" si="1250"/>
        <v>0</v>
      </c>
      <c r="F1547" s="517">
        <f t="shared" si="1250"/>
        <v>0</v>
      </c>
      <c r="G1547" s="517">
        <f t="shared" si="1250"/>
        <v>0</v>
      </c>
      <c r="H1547" s="517">
        <f t="shared" si="1250"/>
        <v>0</v>
      </c>
      <c r="I1547" s="517">
        <f t="shared" si="1250"/>
        <v>0</v>
      </c>
      <c r="J1547" s="517">
        <f t="shared" si="1250"/>
        <v>0</v>
      </c>
      <c r="K1547" s="517">
        <f t="shared" si="1250"/>
        <v>0</v>
      </c>
      <c r="L1547" s="517">
        <f t="shared" si="1250"/>
        <v>0</v>
      </c>
      <c r="M1547" s="517">
        <f t="shared" si="1250"/>
        <v>0</v>
      </c>
      <c r="N1547" s="517">
        <f t="shared" si="1250"/>
        <v>0</v>
      </c>
      <c r="O1547" s="517">
        <f t="shared" si="1250"/>
        <v>0</v>
      </c>
      <c r="P1547" s="511">
        <f t="shared" si="1218"/>
        <v>0</v>
      </c>
      <c r="Q1547" s="530">
        <v>27334</v>
      </c>
      <c r="R1547" s="480"/>
      <c r="U1547" s="513"/>
    </row>
    <row r="1548" spans="1:21" s="479" customFormat="1" ht="18" x14ac:dyDescent="0.15">
      <c r="A1548" s="579"/>
      <c r="B1548" s="528" t="s">
        <v>408</v>
      </c>
      <c r="C1548" s="519">
        <f>'FOND GASO Y D'!H116</f>
        <v>885292.49312352645</v>
      </c>
      <c r="D1548" s="517">
        <f t="shared" ref="D1548:O1548" si="1251">$C1548*D$30%</f>
        <v>68867.613593539951</v>
      </c>
      <c r="E1548" s="517">
        <f t="shared" si="1251"/>
        <v>75718.373790900674</v>
      </c>
      <c r="F1548" s="517">
        <f t="shared" si="1251"/>
        <v>73719.649366510188</v>
      </c>
      <c r="G1548" s="517">
        <f t="shared" si="1251"/>
        <v>68691.354466230739</v>
      </c>
      <c r="H1548" s="517">
        <f t="shared" si="1251"/>
        <v>75688.05423074041</v>
      </c>
      <c r="I1548" s="517">
        <f t="shared" si="1251"/>
        <v>73047.965878358344</v>
      </c>
      <c r="J1548" s="517">
        <f t="shared" si="1251"/>
        <v>74570.914532503724</v>
      </c>
      <c r="K1548" s="517">
        <f t="shared" si="1251"/>
        <v>74526.602241929126</v>
      </c>
      <c r="L1548" s="517">
        <f t="shared" si="1251"/>
        <v>77553.840992840938</v>
      </c>
      <c r="M1548" s="517">
        <f t="shared" si="1251"/>
        <v>76872.829018336415</v>
      </c>
      <c r="N1548" s="517">
        <f t="shared" si="1251"/>
        <v>71844.534118056981</v>
      </c>
      <c r="O1548" s="517">
        <f t="shared" si="1251"/>
        <v>74190.760894464256</v>
      </c>
      <c r="P1548" s="511">
        <f t="shared" si="1218"/>
        <v>-8.8530941866338253E-7</v>
      </c>
      <c r="Q1548" s="530">
        <v>54105</v>
      </c>
      <c r="R1548" s="480"/>
      <c r="U1548" s="513"/>
    </row>
    <row r="1549" spans="1:21" s="479" customFormat="1" x14ac:dyDescent="0.15">
      <c r="A1549" s="579"/>
      <c r="B1549" s="534"/>
      <c r="C1549" s="521"/>
      <c r="D1549" s="522"/>
      <c r="E1549" s="522"/>
      <c r="F1549" s="522"/>
      <c r="G1549" s="522"/>
      <c r="H1549" s="522"/>
      <c r="I1549" s="522"/>
      <c r="J1549" s="522"/>
      <c r="K1549" s="522"/>
      <c r="L1549" s="522"/>
      <c r="M1549" s="522"/>
      <c r="N1549" s="522"/>
      <c r="O1549" s="522"/>
      <c r="P1549" s="511">
        <f t="shared" si="1218"/>
        <v>0</v>
      </c>
      <c r="Q1549" s="530">
        <v>0</v>
      </c>
      <c r="R1549" s="480"/>
      <c r="U1549" s="513"/>
    </row>
    <row r="1550" spans="1:21" s="479" customFormat="1" x14ac:dyDescent="0.15">
      <c r="A1550" s="591"/>
      <c r="B1550" s="532"/>
      <c r="C1550" s="521"/>
      <c r="D1550" s="521"/>
      <c r="E1550" s="521"/>
      <c r="F1550" s="521"/>
      <c r="G1550" s="521"/>
      <c r="H1550" s="521"/>
      <c r="I1550" s="521"/>
      <c r="J1550" s="521"/>
      <c r="K1550" s="521"/>
      <c r="L1550" s="521"/>
      <c r="M1550" s="521"/>
      <c r="N1550" s="521"/>
      <c r="O1550" s="521"/>
      <c r="P1550" s="511">
        <f t="shared" si="1218"/>
        <v>0</v>
      </c>
      <c r="Q1550" s="530">
        <v>0</v>
      </c>
      <c r="R1550" s="480"/>
      <c r="U1550" s="513"/>
    </row>
    <row r="1551" spans="1:21" s="479" customFormat="1" x14ac:dyDescent="0.15">
      <c r="A1551" s="584">
        <v>102</v>
      </c>
      <c r="B1551" s="533" t="s">
        <v>117</v>
      </c>
      <c r="C1551" s="524">
        <f t="shared" ref="C1551:O1551" si="1252">SUM(C1552:C1563)</f>
        <v>457570801.66728741</v>
      </c>
      <c r="D1551" s="524">
        <f t="shared" si="1252"/>
        <v>36122871.870255217</v>
      </c>
      <c r="E1551" s="524">
        <f t="shared" si="1252"/>
        <v>48095064.699056804</v>
      </c>
      <c r="F1551" s="524">
        <f t="shared" si="1252"/>
        <v>31874967.025214147</v>
      </c>
      <c r="G1551" s="524">
        <f t="shared" si="1252"/>
        <v>40599025.164573081</v>
      </c>
      <c r="H1551" s="524">
        <f t="shared" si="1252"/>
        <v>45990657.385780402</v>
      </c>
      <c r="I1551" s="524">
        <f t="shared" si="1252"/>
        <v>45155246.490078524</v>
      </c>
      <c r="J1551" s="524">
        <f t="shared" si="1252"/>
        <v>39044503.558576263</v>
      </c>
      <c r="K1551" s="524">
        <f t="shared" si="1252"/>
        <v>37965920.09762942</v>
      </c>
      <c r="L1551" s="524">
        <f t="shared" si="1252"/>
        <v>35885409.795606345</v>
      </c>
      <c r="M1551" s="524">
        <f t="shared" si="1252"/>
        <v>26706335.405641578</v>
      </c>
      <c r="N1551" s="524">
        <f t="shared" si="1252"/>
        <v>34859117.500667639</v>
      </c>
      <c r="O1551" s="524">
        <f t="shared" si="1252"/>
        <v>35271682.672868378</v>
      </c>
      <c r="P1551" s="511">
        <f t="shared" si="1218"/>
        <v>1.3396292924880981E-3</v>
      </c>
      <c r="Q1551" s="530">
        <v>28243499</v>
      </c>
      <c r="R1551" s="480"/>
      <c r="T1551" s="512"/>
      <c r="U1551" s="513"/>
    </row>
    <row r="1552" spans="1:21" s="479" customFormat="1" x14ac:dyDescent="0.15">
      <c r="A1552" s="579"/>
      <c r="B1552" s="527" t="s">
        <v>294</v>
      </c>
      <c r="C1552" s="515">
        <f>'FG1'!I117</f>
        <v>316870099.58566058</v>
      </c>
      <c r="D1552" s="515">
        <f t="shared" ref="D1552:O1552" si="1253">$C1552*D$19%</f>
        <v>23966374.473394115</v>
      </c>
      <c r="E1552" s="515">
        <f t="shared" si="1253"/>
        <v>34337816.028830022</v>
      </c>
      <c r="F1552" s="515">
        <f t="shared" si="1253"/>
        <v>22195818.599670794</v>
      </c>
      <c r="G1552" s="515">
        <f t="shared" si="1253"/>
        <v>27265314.270829529</v>
      </c>
      <c r="H1552" s="515">
        <f t="shared" si="1253"/>
        <v>33296906.272644967</v>
      </c>
      <c r="I1552" s="515">
        <f t="shared" si="1253"/>
        <v>32642719.811340641</v>
      </c>
      <c r="J1552" s="515">
        <f t="shared" si="1253"/>
        <v>25304753.724101294</v>
      </c>
      <c r="K1552" s="515">
        <f t="shared" si="1253"/>
        <v>26866935.841250509</v>
      </c>
      <c r="L1552" s="515">
        <f t="shared" si="1253"/>
        <v>25248255.811328519</v>
      </c>
      <c r="M1552" s="515">
        <f t="shared" si="1253"/>
        <v>16737653.235279379</v>
      </c>
      <c r="N1552" s="515">
        <f t="shared" si="1253"/>
        <v>24427751.768655166</v>
      </c>
      <c r="O1552" s="515">
        <f t="shared" si="1253"/>
        <v>24579799.748018786</v>
      </c>
      <c r="P1552" s="511">
        <f t="shared" si="1218"/>
        <v>3.1688809394836426E-4</v>
      </c>
      <c r="Q1552" s="530">
        <v>19447288</v>
      </c>
      <c r="R1552" s="480"/>
      <c r="U1552" s="513"/>
    </row>
    <row r="1553" spans="1:21" s="479" customFormat="1" x14ac:dyDescent="0.15">
      <c r="A1553" s="579"/>
      <c r="B1553" s="528" t="s">
        <v>296</v>
      </c>
      <c r="C1553" s="517">
        <f>FFM!J117</f>
        <v>85173382.207912669</v>
      </c>
      <c r="D1553" s="517">
        <f t="shared" ref="D1553:O1553" si="1254">$C1553*D$20%</f>
        <v>6441078.6018720856</v>
      </c>
      <c r="E1553" s="517">
        <f t="shared" si="1254"/>
        <v>9234332.7261726484</v>
      </c>
      <c r="F1553" s="517">
        <f t="shared" si="1254"/>
        <v>5964229.53797419</v>
      </c>
      <c r="G1553" s="517">
        <f t="shared" si="1254"/>
        <v>7329554.6520568328</v>
      </c>
      <c r="H1553" s="517">
        <f t="shared" si="1254"/>
        <v>8953993.1793897562</v>
      </c>
      <c r="I1553" s="517">
        <f t="shared" si="1254"/>
        <v>8777806.5528713558</v>
      </c>
      <c r="J1553" s="517">
        <f t="shared" si="1254"/>
        <v>6800936.8435291871</v>
      </c>
      <c r="K1553" s="517">
        <f t="shared" si="1254"/>
        <v>7221666.3672608435</v>
      </c>
      <c r="L1553" s="517">
        <f t="shared" si="1254"/>
        <v>6785720.6940910127</v>
      </c>
      <c r="M1553" s="517">
        <f t="shared" si="1254"/>
        <v>4493630.8546960549</v>
      </c>
      <c r="N1553" s="517">
        <f t="shared" si="1254"/>
        <v>6564741.1821347401</v>
      </c>
      <c r="O1553" s="517">
        <f t="shared" si="1254"/>
        <v>6605691.0148418806</v>
      </c>
      <c r="P1553" s="511">
        <f t="shared" si="1218"/>
        <v>1.0220855474472046E-3</v>
      </c>
      <c r="Q1553" s="530">
        <v>5954126</v>
      </c>
      <c r="R1553" s="480"/>
      <c r="U1553" s="513"/>
    </row>
    <row r="1554" spans="1:21" s="479" customFormat="1" ht="18" x14ac:dyDescent="0.15">
      <c r="A1554" s="579"/>
      <c r="B1554" s="528" t="s">
        <v>297</v>
      </c>
      <c r="C1554" s="517">
        <f>IEPS!I116</f>
        <v>7663186.6824937509</v>
      </c>
      <c r="D1554" s="517">
        <f t="shared" ref="D1554:O1554" si="1255">$C1554*D$21%</f>
        <v>538260.86030086898</v>
      </c>
      <c r="E1554" s="517">
        <f t="shared" si="1255"/>
        <v>1230306.4429027536</v>
      </c>
      <c r="F1554" s="517">
        <f t="shared" si="1255"/>
        <v>511019.8554738618</v>
      </c>
      <c r="G1554" s="517">
        <f t="shared" si="1255"/>
        <v>496639.74053106969</v>
      </c>
      <c r="H1554" s="517">
        <f t="shared" si="1255"/>
        <v>548317.59500425821</v>
      </c>
      <c r="I1554" s="517">
        <f t="shared" si="1255"/>
        <v>568616.27006931172</v>
      </c>
      <c r="J1554" s="517">
        <f t="shared" si="1255"/>
        <v>585569.64437033969</v>
      </c>
      <c r="K1554" s="517">
        <f t="shared" si="1255"/>
        <v>648639.73391168751</v>
      </c>
      <c r="L1554" s="517">
        <f t="shared" si="1255"/>
        <v>649998.92913321778</v>
      </c>
      <c r="M1554" s="517">
        <f t="shared" si="1255"/>
        <v>642774.67610510916</v>
      </c>
      <c r="N1554" s="517">
        <f t="shared" si="1255"/>
        <v>621993.20803328615</v>
      </c>
      <c r="O1554" s="517">
        <f t="shared" si="1255"/>
        <v>621049.72665032302</v>
      </c>
      <c r="P1554" s="511">
        <f t="shared" si="1218"/>
        <v>7.6630385592579842E-6</v>
      </c>
      <c r="Q1554" s="530">
        <v>502243</v>
      </c>
      <c r="R1554" s="480"/>
      <c r="U1554" s="513"/>
    </row>
    <row r="1555" spans="1:21" s="479" customFormat="1" x14ac:dyDescent="0.15">
      <c r="A1555" s="579"/>
      <c r="B1555" s="528" t="s">
        <v>236</v>
      </c>
      <c r="C1555" s="517">
        <f>ISR!C107</f>
        <v>13581100.02</v>
      </c>
      <c r="D1555" s="517">
        <f>ISR!D107</f>
        <v>1524215.6300000048</v>
      </c>
      <c r="E1555" s="517">
        <f>ISR!E107</f>
        <v>1053751.7999999996</v>
      </c>
      <c r="F1555" s="517">
        <f>ISR!F107</f>
        <v>1104804.7799999996</v>
      </c>
      <c r="G1555" s="517">
        <f>ISR!G107</f>
        <v>1111847.9199999995</v>
      </c>
      <c r="H1555" s="517">
        <f>ISR!H107</f>
        <v>1065697.7399999998</v>
      </c>
      <c r="I1555" s="517">
        <f>ISR!I107</f>
        <v>1126097.97</v>
      </c>
      <c r="J1555" s="517">
        <f>ISR!J107</f>
        <v>1128859.4000000001</v>
      </c>
      <c r="K1555" s="517">
        <f>ISR!K107</f>
        <v>1128859.4000000001</v>
      </c>
      <c r="L1555" s="517">
        <f>ISR!L107</f>
        <v>1069963.9999999993</v>
      </c>
      <c r="M1555" s="517">
        <f>ISR!M107</f>
        <v>1089000.4600000002</v>
      </c>
      <c r="N1555" s="517">
        <f>ISR!N107</f>
        <v>1089000.4600000002</v>
      </c>
      <c r="O1555" s="517">
        <f>ISR!O107</f>
        <v>1089000.4600000002</v>
      </c>
      <c r="P1555" s="511">
        <f t="shared" si="1218"/>
        <v>-3.2596290111541748E-9</v>
      </c>
      <c r="Q1555" s="530">
        <v>0</v>
      </c>
      <c r="R1555" s="480"/>
      <c r="U1555" s="513"/>
    </row>
    <row r="1556" spans="1:21" s="479" customFormat="1" ht="18" x14ac:dyDescent="0.15">
      <c r="A1556" s="579"/>
      <c r="B1556" s="528" t="s">
        <v>298</v>
      </c>
      <c r="C1556" s="517">
        <f>FOFIR!I116</f>
        <v>14820565.32826318</v>
      </c>
      <c r="D1556" s="517">
        <f t="shared" ref="D1556:O1556" si="1256">$C1556*D$23%</f>
        <v>2026200.93373301</v>
      </c>
      <c r="E1556" s="517">
        <f t="shared" si="1256"/>
        <v>515507.68849205028</v>
      </c>
      <c r="F1556" s="517">
        <f t="shared" si="1256"/>
        <v>515507.68849205028</v>
      </c>
      <c r="G1556" s="517">
        <f t="shared" si="1256"/>
        <v>2909182.2766909697</v>
      </c>
      <c r="H1556" s="517">
        <f t="shared" si="1256"/>
        <v>515507.68849205028</v>
      </c>
      <c r="I1556" s="517">
        <f t="shared" si="1256"/>
        <v>515507.68849205028</v>
      </c>
      <c r="J1556" s="517">
        <f t="shared" si="1256"/>
        <v>3618553.9905345533</v>
      </c>
      <c r="K1556" s="517">
        <f t="shared" si="1256"/>
        <v>515507.68849205028</v>
      </c>
      <c r="L1556" s="517">
        <f t="shared" si="1256"/>
        <v>515507.68849205028</v>
      </c>
      <c r="M1556" s="517">
        <f t="shared" si="1256"/>
        <v>2142566.6194275273</v>
      </c>
      <c r="N1556" s="517">
        <f t="shared" si="1256"/>
        <v>515507.68849205028</v>
      </c>
      <c r="O1556" s="517">
        <f t="shared" si="1256"/>
        <v>515507.68849205028</v>
      </c>
      <c r="P1556" s="511">
        <f t="shared" si="1218"/>
        <v>-5.9283105656504631E-5</v>
      </c>
      <c r="Q1556" s="530">
        <v>591595</v>
      </c>
      <c r="R1556" s="480"/>
      <c r="U1556" s="513"/>
    </row>
    <row r="1557" spans="1:21" s="479" customFormat="1" ht="27" x14ac:dyDescent="0.15">
      <c r="A1557" s="579"/>
      <c r="B1557" s="528" t="s">
        <v>407</v>
      </c>
      <c r="C1557" s="517">
        <f>FCISAN!I116</f>
        <v>940827.99490233802</v>
      </c>
      <c r="D1557" s="517">
        <f t="shared" ref="D1557:O1557" si="1257">$C1557*D$24%</f>
        <v>78402.332908214565</v>
      </c>
      <c r="E1557" s="517">
        <f t="shared" si="1257"/>
        <v>78402.332908214565</v>
      </c>
      <c r="F1557" s="517">
        <f t="shared" si="1257"/>
        <v>78402.332908214565</v>
      </c>
      <c r="G1557" s="517">
        <f t="shared" si="1257"/>
        <v>78402.332908214565</v>
      </c>
      <c r="H1557" s="517">
        <f t="shared" si="1257"/>
        <v>78402.332908214565</v>
      </c>
      <c r="I1557" s="517">
        <f t="shared" si="1257"/>
        <v>78402.332908214565</v>
      </c>
      <c r="J1557" s="517">
        <f t="shared" si="1257"/>
        <v>78402.332908214565</v>
      </c>
      <c r="K1557" s="517">
        <f t="shared" si="1257"/>
        <v>78402.332908214565</v>
      </c>
      <c r="L1557" s="517">
        <f t="shared" si="1257"/>
        <v>78402.332908214565</v>
      </c>
      <c r="M1557" s="517">
        <f t="shared" si="1257"/>
        <v>78402.332908214565</v>
      </c>
      <c r="N1557" s="517">
        <f t="shared" si="1257"/>
        <v>78402.332908214565</v>
      </c>
      <c r="O1557" s="517">
        <f t="shared" si="1257"/>
        <v>78402.332908214565</v>
      </c>
      <c r="P1557" s="511">
        <f t="shared" si="1218"/>
        <v>3.7634745240211487E-6</v>
      </c>
      <c r="Q1557" s="530">
        <v>70371</v>
      </c>
      <c r="R1557" s="480"/>
      <c r="U1557" s="513"/>
    </row>
    <row r="1558" spans="1:21" s="479" customFormat="1" ht="27" x14ac:dyDescent="0.15">
      <c r="A1558" s="579"/>
      <c r="B1558" s="528" t="s">
        <v>242</v>
      </c>
      <c r="C1558" s="517">
        <f>ISAN!I116</f>
        <v>4699546.1705532819</v>
      </c>
      <c r="D1558" s="517">
        <f t="shared" ref="D1558:O1558" si="1258">$C1558*D$25%</f>
        <v>452254.28172264126</v>
      </c>
      <c r="E1558" s="517">
        <f t="shared" si="1258"/>
        <v>505120.80585712986</v>
      </c>
      <c r="F1558" s="517">
        <f t="shared" si="1258"/>
        <v>392018.34362837818</v>
      </c>
      <c r="G1558" s="517">
        <f t="shared" si="1258"/>
        <v>363833.45986285666</v>
      </c>
      <c r="H1558" s="517">
        <f t="shared" si="1258"/>
        <v>389018.40757974656</v>
      </c>
      <c r="I1558" s="517">
        <f t="shared" si="1258"/>
        <v>337874.3238731848</v>
      </c>
      <c r="J1558" s="517">
        <f t="shared" si="1258"/>
        <v>366035.02575262153</v>
      </c>
      <c r="K1558" s="517">
        <f t="shared" si="1258"/>
        <v>377478.32803576515</v>
      </c>
      <c r="L1558" s="517">
        <f t="shared" si="1258"/>
        <v>370922.01402241969</v>
      </c>
      <c r="M1558" s="517">
        <f t="shared" si="1258"/>
        <v>380018.59942915232</v>
      </c>
      <c r="N1558" s="517">
        <f t="shared" si="1258"/>
        <v>367946.26980411261</v>
      </c>
      <c r="O1558" s="517">
        <f t="shared" si="1258"/>
        <v>397026.31092887878</v>
      </c>
      <c r="P1558" s="511">
        <f t="shared" si="1218"/>
        <v>5.6394550483673811E-5</v>
      </c>
      <c r="Q1558" s="530">
        <v>302305</v>
      </c>
      <c r="R1558" s="480"/>
      <c r="U1558" s="513"/>
    </row>
    <row r="1559" spans="1:21" s="479" customFormat="1" ht="18" x14ac:dyDescent="0.15">
      <c r="A1559" s="579"/>
      <c r="B1559" s="528" t="s">
        <v>403</v>
      </c>
      <c r="C1559" s="517">
        <f>LOT!I116</f>
        <v>227490.90808820986</v>
      </c>
      <c r="D1559" s="517">
        <f t="shared" ref="D1559:O1559" si="1259">$C1559*D$26%</f>
        <v>17200.676041545812</v>
      </c>
      <c r="E1559" s="517">
        <f t="shared" si="1259"/>
        <v>16956.867907197597</v>
      </c>
      <c r="F1559" s="517">
        <f t="shared" si="1259"/>
        <v>16666.519743157784</v>
      </c>
      <c r="G1559" s="517">
        <f t="shared" si="1259"/>
        <v>18336.8932982937</v>
      </c>
      <c r="H1559" s="517">
        <f t="shared" si="1259"/>
        <v>15002.91638387392</v>
      </c>
      <c r="I1559" s="517">
        <f t="shared" si="1259"/>
        <v>20359.722443596256</v>
      </c>
      <c r="J1559" s="517">
        <f t="shared" si="1259"/>
        <v>46725.54111685243</v>
      </c>
      <c r="K1559" s="517">
        <f t="shared" si="1259"/>
        <v>17009.772731886012</v>
      </c>
      <c r="L1559" s="517">
        <f t="shared" si="1259"/>
        <v>20639.24640209425</v>
      </c>
      <c r="M1559" s="517">
        <f t="shared" si="1259"/>
        <v>12778.521883666335</v>
      </c>
      <c r="N1559" s="517">
        <f t="shared" si="1259"/>
        <v>12907.115066657943</v>
      </c>
      <c r="O1559" s="517">
        <f t="shared" si="1259"/>
        <v>12907.115066657943</v>
      </c>
      <c r="P1559" s="511">
        <f t="shared" si="1218"/>
        <v>2.7298774512019008E-6</v>
      </c>
      <c r="Q1559" s="530">
        <v>14766</v>
      </c>
      <c r="R1559" s="480"/>
      <c r="U1559" s="513"/>
    </row>
    <row r="1560" spans="1:21" s="479" customFormat="1" ht="45" x14ac:dyDescent="0.15">
      <c r="A1560" s="579"/>
      <c r="B1560" s="518" t="s">
        <v>301</v>
      </c>
      <c r="C1560" s="517">
        <f>'ENAJENAC DE INMUE'!I116</f>
        <v>894521.25353580003</v>
      </c>
      <c r="D1560" s="517">
        <f t="shared" ref="D1560:O1560" si="1260">$C1560*D$27%</f>
        <v>38630.542284437557</v>
      </c>
      <c r="E1560" s="517">
        <f t="shared" si="1260"/>
        <v>39199.53146819512</v>
      </c>
      <c r="F1560" s="517">
        <f t="shared" si="1260"/>
        <v>38671.069358796747</v>
      </c>
      <c r="G1560" s="517">
        <f t="shared" si="1260"/>
        <v>38444.545006168359</v>
      </c>
      <c r="H1560" s="517">
        <f t="shared" si="1260"/>
        <v>53329.925901798735</v>
      </c>
      <c r="I1560" s="517">
        <f t="shared" si="1260"/>
        <v>38385.68550768571</v>
      </c>
      <c r="J1560" s="517">
        <f t="shared" si="1260"/>
        <v>44115.862372903553</v>
      </c>
      <c r="K1560" s="517">
        <f t="shared" si="1260"/>
        <v>44070.452264457046</v>
      </c>
      <c r="L1560" s="517">
        <f t="shared" si="1260"/>
        <v>44014.623614193872</v>
      </c>
      <c r="M1560" s="517">
        <f t="shared" si="1260"/>
        <v>38438.251786160487</v>
      </c>
      <c r="N1560" s="517">
        <f t="shared" si="1260"/>
        <v>159812.11526040145</v>
      </c>
      <c r="O1560" s="517">
        <f t="shared" si="1260"/>
        <v>317408.64870881231</v>
      </c>
      <c r="P1560" s="511">
        <f t="shared" si="1218"/>
        <v>1.7891288734972477E-6</v>
      </c>
      <c r="Q1560" s="530">
        <v>215468</v>
      </c>
      <c r="R1560" s="480"/>
      <c r="U1560" s="513"/>
    </row>
    <row r="1561" spans="1:21" s="479" customFormat="1" ht="27" x14ac:dyDescent="0.15">
      <c r="A1561" s="579"/>
      <c r="B1561" s="518" t="s">
        <v>248</v>
      </c>
      <c r="C1561" s="517">
        <f>'IMP BEBIDAS AL'!I116</f>
        <v>349626.17636047746</v>
      </c>
      <c r="D1561" s="517">
        <f t="shared" ref="D1561:O1561" si="1261">$C1561*D$28%</f>
        <v>79501.704414794804</v>
      </c>
      <c r="E1561" s="517">
        <f t="shared" si="1261"/>
        <v>27345.699205151112</v>
      </c>
      <c r="F1561" s="517">
        <f t="shared" si="1261"/>
        <v>29387.13957016643</v>
      </c>
      <c r="G1561" s="517">
        <f t="shared" si="1261"/>
        <v>29176.179079294925</v>
      </c>
      <c r="H1561" s="517">
        <f t="shared" si="1261"/>
        <v>18579.53143362929</v>
      </c>
      <c r="I1561" s="517">
        <f t="shared" si="1261"/>
        <v>30405.433079551582</v>
      </c>
      <c r="J1561" s="517">
        <f t="shared" si="1261"/>
        <v>30234.285394684663</v>
      </c>
      <c r="K1561" s="517">
        <f t="shared" si="1261"/>
        <v>27651.460018586764</v>
      </c>
      <c r="L1561" s="517">
        <f t="shared" si="1261"/>
        <v>20053.616903169197</v>
      </c>
      <c r="M1561" s="517">
        <f t="shared" si="1261"/>
        <v>18641.613287444092</v>
      </c>
      <c r="N1561" s="517">
        <f t="shared" si="1261"/>
        <v>18773.383558845559</v>
      </c>
      <c r="O1561" s="517">
        <f t="shared" si="1261"/>
        <v>19876.130415159059</v>
      </c>
      <c r="P1561" s="511">
        <f t="shared" si="1218"/>
        <v>0</v>
      </c>
      <c r="Q1561" s="530">
        <v>9223</v>
      </c>
      <c r="R1561" s="480"/>
      <c r="U1561" s="513"/>
    </row>
    <row r="1562" spans="1:21" s="479" customFormat="1" ht="18" x14ac:dyDescent="0.15">
      <c r="A1562" s="579"/>
      <c r="B1562" s="518" t="s">
        <v>253</v>
      </c>
      <c r="C1562" s="517">
        <f>'FOND GASO Y D'!Q117</f>
        <v>0</v>
      </c>
      <c r="D1562" s="517">
        <f t="shared" ref="D1562:O1562" si="1262">$C1562*D$29%</f>
        <v>0</v>
      </c>
      <c r="E1562" s="517">
        <f t="shared" si="1262"/>
        <v>0</v>
      </c>
      <c r="F1562" s="517">
        <f t="shared" si="1262"/>
        <v>0</v>
      </c>
      <c r="G1562" s="517">
        <f t="shared" si="1262"/>
        <v>0</v>
      </c>
      <c r="H1562" s="517">
        <f t="shared" si="1262"/>
        <v>0</v>
      </c>
      <c r="I1562" s="517">
        <f t="shared" si="1262"/>
        <v>0</v>
      </c>
      <c r="J1562" s="517">
        <f t="shared" si="1262"/>
        <v>0</v>
      </c>
      <c r="K1562" s="517">
        <f t="shared" si="1262"/>
        <v>0</v>
      </c>
      <c r="L1562" s="517">
        <f t="shared" si="1262"/>
        <v>0</v>
      </c>
      <c r="M1562" s="517">
        <f t="shared" si="1262"/>
        <v>0</v>
      </c>
      <c r="N1562" s="517">
        <f t="shared" si="1262"/>
        <v>0</v>
      </c>
      <c r="O1562" s="517">
        <f t="shared" si="1262"/>
        <v>0</v>
      </c>
      <c r="P1562" s="511">
        <f t="shared" si="1218"/>
        <v>0</v>
      </c>
      <c r="Q1562" s="530">
        <v>381324</v>
      </c>
      <c r="R1562" s="480"/>
      <c r="U1562" s="513"/>
    </row>
    <row r="1563" spans="1:21" s="479" customFormat="1" ht="18" x14ac:dyDescent="0.15">
      <c r="A1563" s="579"/>
      <c r="B1563" s="528" t="s">
        <v>408</v>
      </c>
      <c r="C1563" s="519">
        <f>'FOND GASO Y D'!H117</f>
        <v>12350455.339517182</v>
      </c>
      <c r="D1563" s="517">
        <f t="shared" ref="D1563:O1563" si="1263">$C1563*D$30%</f>
        <v>960751.83358350617</v>
      </c>
      <c r="E1563" s="517">
        <f t="shared" si="1263"/>
        <v>1056324.7753134433</v>
      </c>
      <c r="F1563" s="517">
        <f t="shared" si="1263"/>
        <v>1028441.1583945403</v>
      </c>
      <c r="G1563" s="517">
        <f t="shared" si="1263"/>
        <v>958292.89430984971</v>
      </c>
      <c r="H1563" s="517">
        <f t="shared" si="1263"/>
        <v>1055901.7960420931</v>
      </c>
      <c r="I1563" s="517">
        <f t="shared" si="1263"/>
        <v>1019070.6994929386</v>
      </c>
      <c r="J1563" s="517">
        <f t="shared" si="1263"/>
        <v>1040316.9084956121</v>
      </c>
      <c r="K1563" s="517">
        <f t="shared" si="1263"/>
        <v>1039698.7207554198</v>
      </c>
      <c r="L1563" s="517">
        <f t="shared" si="1263"/>
        <v>1081930.8387114627</v>
      </c>
      <c r="M1563" s="517">
        <f t="shared" si="1263"/>
        <v>1072430.2408388669</v>
      </c>
      <c r="N1563" s="517">
        <f t="shared" si="1263"/>
        <v>1002281.9767541763</v>
      </c>
      <c r="O1563" s="517">
        <f t="shared" si="1263"/>
        <v>1035013.4968376231</v>
      </c>
      <c r="P1563" s="511">
        <f t="shared" si="1218"/>
        <v>-1.2349104508757591E-5</v>
      </c>
      <c r="Q1563" s="530">
        <v>754790</v>
      </c>
      <c r="R1563" s="480"/>
      <c r="U1563" s="513"/>
    </row>
    <row r="1564" spans="1:21" s="479" customFormat="1" x14ac:dyDescent="0.15">
      <c r="A1564" s="579"/>
      <c r="B1564" s="534"/>
      <c r="C1564" s="521"/>
      <c r="D1564" s="522"/>
      <c r="E1564" s="522"/>
      <c r="F1564" s="522"/>
      <c r="G1564" s="522"/>
      <c r="H1564" s="522"/>
      <c r="I1564" s="522"/>
      <c r="J1564" s="522"/>
      <c r="K1564" s="522"/>
      <c r="L1564" s="522"/>
      <c r="M1564" s="522"/>
      <c r="N1564" s="522"/>
      <c r="O1564" s="522"/>
      <c r="P1564" s="511">
        <f t="shared" si="1218"/>
        <v>0</v>
      </c>
      <c r="Q1564" s="530">
        <v>0</v>
      </c>
      <c r="R1564" s="480"/>
      <c r="U1564" s="513"/>
    </row>
    <row r="1565" spans="1:21" s="479" customFormat="1" x14ac:dyDescent="0.15">
      <c r="A1565" s="591"/>
      <c r="B1565" s="532"/>
      <c r="C1565" s="521"/>
      <c r="D1565" s="521"/>
      <c r="E1565" s="521"/>
      <c r="F1565" s="521"/>
      <c r="G1565" s="521"/>
      <c r="H1565" s="521"/>
      <c r="I1565" s="521"/>
      <c r="J1565" s="521"/>
      <c r="K1565" s="521"/>
      <c r="L1565" s="521"/>
      <c r="M1565" s="521"/>
      <c r="N1565" s="521"/>
      <c r="O1565" s="521"/>
      <c r="P1565" s="511">
        <f t="shared" si="1218"/>
        <v>0</v>
      </c>
      <c r="Q1565" s="530">
        <v>0</v>
      </c>
      <c r="R1565" s="480"/>
      <c r="U1565" s="513"/>
    </row>
    <row r="1566" spans="1:21" s="479" customFormat="1" x14ac:dyDescent="0.15">
      <c r="A1566" s="584">
        <v>103</v>
      </c>
      <c r="B1566" s="533" t="s">
        <v>68</v>
      </c>
      <c r="C1566" s="524">
        <f t="shared" ref="C1566:O1566" si="1264">SUM(C1567:C1578)</f>
        <v>52523351.259527743</v>
      </c>
      <c r="D1566" s="524">
        <f t="shared" si="1264"/>
        <v>4095340.0791846388</v>
      </c>
      <c r="E1566" s="524">
        <f t="shared" si="1264"/>
        <v>5532193.9155849079</v>
      </c>
      <c r="F1566" s="524">
        <f t="shared" si="1264"/>
        <v>3649401.5536376066</v>
      </c>
      <c r="G1566" s="524">
        <f t="shared" si="1264"/>
        <v>4664916.8458734583</v>
      </c>
      <c r="H1566" s="524">
        <f t="shared" si="1264"/>
        <v>5307329.2715977132</v>
      </c>
      <c r="I1566" s="524">
        <f t="shared" si="1264"/>
        <v>5189204.804004956</v>
      </c>
      <c r="J1566" s="524">
        <f t="shared" si="1264"/>
        <v>4483014.8520206856</v>
      </c>
      <c r="K1566" s="524">
        <f t="shared" si="1264"/>
        <v>4358445.3758276366</v>
      </c>
      <c r="L1566" s="524">
        <f t="shared" si="1264"/>
        <v>4124752.5130269169</v>
      </c>
      <c r="M1566" s="524">
        <f t="shared" si="1264"/>
        <v>3062450.0659204549</v>
      </c>
      <c r="N1566" s="524">
        <f t="shared" si="1264"/>
        <v>4004405.0464632865</v>
      </c>
      <c r="O1566" s="524">
        <f t="shared" si="1264"/>
        <v>4051896.9362307023</v>
      </c>
      <c r="P1566" s="511">
        <f t="shared" si="1218"/>
        <v>1.5477836132049561E-4</v>
      </c>
      <c r="Q1566" s="530">
        <v>3241721</v>
      </c>
      <c r="R1566" s="480"/>
      <c r="T1566" s="512"/>
      <c r="U1566" s="513"/>
    </row>
    <row r="1567" spans="1:21" s="479" customFormat="1" x14ac:dyDescent="0.15">
      <c r="A1567" s="579"/>
      <c r="B1567" s="525" t="s">
        <v>294</v>
      </c>
      <c r="C1567" s="526">
        <f>'FG1'!I118</f>
        <v>36597341.446104348</v>
      </c>
      <c r="D1567" s="526">
        <f t="shared" ref="D1567:O1567" si="1265">$C1567*D$19%</f>
        <v>2768028.8893616251</v>
      </c>
      <c r="E1567" s="526">
        <f t="shared" si="1265"/>
        <v>3965892.582997994</v>
      </c>
      <c r="F1567" s="526">
        <f t="shared" si="1265"/>
        <v>2563536.1399832922</v>
      </c>
      <c r="G1567" s="526">
        <f t="shared" si="1265"/>
        <v>3149044.410658068</v>
      </c>
      <c r="H1567" s="526">
        <f t="shared" si="1265"/>
        <v>3845671.3004866499</v>
      </c>
      <c r="I1567" s="526">
        <f t="shared" si="1265"/>
        <v>3770115.148848868</v>
      </c>
      <c r="J1567" s="526">
        <f t="shared" si="1265"/>
        <v>2922606.8141533923</v>
      </c>
      <c r="K1567" s="526">
        <f t="shared" si="1265"/>
        <v>3103033.1542121917</v>
      </c>
      <c r="L1567" s="526">
        <f t="shared" si="1265"/>
        <v>2916081.511174534</v>
      </c>
      <c r="M1567" s="526">
        <f t="shared" si="1265"/>
        <v>1933137.9365203211</v>
      </c>
      <c r="N1567" s="526">
        <f t="shared" si="1265"/>
        <v>2821316.2851500823</v>
      </c>
      <c r="O1567" s="526">
        <f t="shared" si="1265"/>
        <v>2838877.2725207331</v>
      </c>
      <c r="P1567" s="511">
        <f t="shared" si="1218"/>
        <v>3.6593060940504074E-5</v>
      </c>
      <c r="Q1567" s="530">
        <v>2235454</v>
      </c>
      <c r="R1567" s="480"/>
      <c r="U1567" s="513"/>
    </row>
    <row r="1568" spans="1:21" s="479" customFormat="1" x14ac:dyDescent="0.15">
      <c r="A1568" s="579"/>
      <c r="B1568" s="527" t="s">
        <v>296</v>
      </c>
      <c r="C1568" s="515">
        <f>FFM!J118</f>
        <v>9837215.1706913132</v>
      </c>
      <c r="D1568" s="515">
        <f t="shared" ref="D1568:O1568" si="1266">$C1568*D$20%</f>
        <v>743921.09947308013</v>
      </c>
      <c r="E1568" s="515">
        <f t="shared" si="1266"/>
        <v>1066531.7688497023</v>
      </c>
      <c r="F1568" s="515">
        <f t="shared" si="1266"/>
        <v>688846.77080481523</v>
      </c>
      <c r="G1568" s="515">
        <f t="shared" si="1266"/>
        <v>846536.84459328896</v>
      </c>
      <c r="H1568" s="515">
        <f t="shared" si="1266"/>
        <v>1034153.5730910137</v>
      </c>
      <c r="I1568" s="515">
        <f t="shared" si="1266"/>
        <v>1013804.6599642702</v>
      </c>
      <c r="J1568" s="515">
        <f t="shared" si="1266"/>
        <v>785483.41462790407</v>
      </c>
      <c r="K1568" s="515">
        <f t="shared" si="1266"/>
        <v>834076.14097412035</v>
      </c>
      <c r="L1568" s="515">
        <f t="shared" si="1266"/>
        <v>783726.00483375823</v>
      </c>
      <c r="M1568" s="515">
        <f t="shared" si="1266"/>
        <v>518997.98351785948</v>
      </c>
      <c r="N1568" s="515">
        <f t="shared" si="1266"/>
        <v>758203.67671812931</v>
      </c>
      <c r="O1568" s="515">
        <f t="shared" si="1266"/>
        <v>762933.23312532494</v>
      </c>
      <c r="P1568" s="511">
        <f t="shared" si="1218"/>
        <v>1.1804688256233931E-4</v>
      </c>
      <c r="Q1568" s="530">
        <v>684423</v>
      </c>
      <c r="R1568" s="480"/>
      <c r="U1568" s="513"/>
    </row>
    <row r="1569" spans="1:21" s="479" customFormat="1" ht="18" x14ac:dyDescent="0.15">
      <c r="A1569" s="579"/>
      <c r="B1569" s="528" t="s">
        <v>297</v>
      </c>
      <c r="C1569" s="517">
        <f>IEPS!I117</f>
        <v>885070.12795206229</v>
      </c>
      <c r="D1569" s="517">
        <f t="shared" ref="D1569:O1569" si="1267">$C1569*D$21%</f>
        <v>62167.16729430476</v>
      </c>
      <c r="E1569" s="517">
        <f t="shared" si="1267"/>
        <v>142095.90943774776</v>
      </c>
      <c r="F1569" s="517">
        <f t="shared" si="1267"/>
        <v>59020.930535795291</v>
      </c>
      <c r="G1569" s="517">
        <f t="shared" si="1267"/>
        <v>57360.079678350092</v>
      </c>
      <c r="H1569" s="517">
        <f t="shared" si="1267"/>
        <v>63328.683493700286</v>
      </c>
      <c r="I1569" s="517">
        <f t="shared" si="1267"/>
        <v>65673.106470909799</v>
      </c>
      <c r="J1569" s="517">
        <f t="shared" si="1267"/>
        <v>67631.159404176869</v>
      </c>
      <c r="K1569" s="517">
        <f t="shared" si="1267"/>
        <v>74915.524842882762</v>
      </c>
      <c r="L1569" s="517">
        <f t="shared" si="1267"/>
        <v>75072.506936426144</v>
      </c>
      <c r="M1569" s="517">
        <f t="shared" si="1267"/>
        <v>74238.132045553008</v>
      </c>
      <c r="N1569" s="517">
        <f t="shared" si="1267"/>
        <v>71837.94823594045</v>
      </c>
      <c r="O1569" s="517">
        <f t="shared" si="1267"/>
        <v>71728.979575389967</v>
      </c>
      <c r="P1569" s="511">
        <f t="shared" si="1218"/>
        <v>8.8498927652835846E-7</v>
      </c>
      <c r="Q1569" s="530">
        <v>57733</v>
      </c>
      <c r="R1569" s="480"/>
      <c r="U1569" s="513"/>
    </row>
    <row r="1570" spans="1:21" s="479" customFormat="1" x14ac:dyDescent="0.15">
      <c r="A1570" s="579"/>
      <c r="B1570" s="528" t="s">
        <v>236</v>
      </c>
      <c r="C1570" s="517">
        <f>ISR!C108</f>
        <v>1303732.8</v>
      </c>
      <c r="D1570" s="517">
        <f>ISR!D108</f>
        <v>103955.68446465445</v>
      </c>
      <c r="E1570" s="517">
        <f>ISR!E108</f>
        <v>104189.03836646728</v>
      </c>
      <c r="F1570" s="517">
        <f>ISR!F108</f>
        <v>100520.76588511023</v>
      </c>
      <c r="G1570" s="517">
        <f>ISR!G108</f>
        <v>108914.23387152088</v>
      </c>
      <c r="H1570" s="517">
        <f>ISR!H108</f>
        <v>123753.44031160146</v>
      </c>
      <c r="I1570" s="517">
        <f>ISR!I108</f>
        <v>108914.23387152088</v>
      </c>
      <c r="J1570" s="517">
        <f>ISR!J108</f>
        <v>108914.23387152088</v>
      </c>
      <c r="K1570" s="517">
        <f>ISR!K108</f>
        <v>108914.23387152088</v>
      </c>
      <c r="L1570" s="517">
        <f>ISR!L108</f>
        <v>108914.23387152088</v>
      </c>
      <c r="M1570" s="517">
        <f>ISR!M108</f>
        <v>108914.23387152088</v>
      </c>
      <c r="N1570" s="517">
        <f>ISR!N108</f>
        <v>108914.23387152088</v>
      </c>
      <c r="O1570" s="517">
        <f>ISR!O108</f>
        <v>108914.23387152088</v>
      </c>
      <c r="P1570" s="511">
        <f t="shared" si="1218"/>
        <v>-2.0372681319713593E-10</v>
      </c>
      <c r="Q1570" s="530">
        <v>0</v>
      </c>
      <c r="R1570" s="480"/>
      <c r="U1570" s="513"/>
    </row>
    <row r="1571" spans="1:21" s="479" customFormat="1" ht="18" x14ac:dyDescent="0.15">
      <c r="A1571" s="579"/>
      <c r="B1571" s="528" t="s">
        <v>298</v>
      </c>
      <c r="C1571" s="517">
        <f>FOFIR!I117</f>
        <v>1711721.2714357604</v>
      </c>
      <c r="D1571" s="517">
        <f t="shared" ref="D1571:O1571" si="1268">$C1571*D$23%</f>
        <v>234018.82193114972</v>
      </c>
      <c r="E1571" s="517">
        <f t="shared" si="1268"/>
        <v>59539.258890330813</v>
      </c>
      <c r="F1571" s="517">
        <f t="shared" si="1268"/>
        <v>59539.258890330813</v>
      </c>
      <c r="G1571" s="517">
        <f t="shared" si="1268"/>
        <v>335999.94839599135</v>
      </c>
      <c r="H1571" s="517">
        <f t="shared" si="1268"/>
        <v>59539.258890330813</v>
      </c>
      <c r="I1571" s="517">
        <f t="shared" si="1268"/>
        <v>59539.258890330813</v>
      </c>
      <c r="J1571" s="517">
        <f t="shared" si="1268"/>
        <v>417929.79554057395</v>
      </c>
      <c r="K1571" s="517">
        <f t="shared" si="1268"/>
        <v>59539.258890330813</v>
      </c>
      <c r="L1571" s="517">
        <f t="shared" si="1268"/>
        <v>59539.258890330813</v>
      </c>
      <c r="M1571" s="517">
        <f t="shared" si="1268"/>
        <v>247458.63445224578</v>
      </c>
      <c r="N1571" s="517">
        <f t="shared" si="1268"/>
        <v>59539.258890330813</v>
      </c>
      <c r="O1571" s="517">
        <f t="shared" si="1268"/>
        <v>59539.258890330813</v>
      </c>
      <c r="P1571" s="511">
        <f t="shared" si="1218"/>
        <v>-6.8468361860141158E-6</v>
      </c>
      <c r="Q1571" s="530">
        <v>68005</v>
      </c>
      <c r="R1571" s="480"/>
      <c r="U1571" s="513"/>
    </row>
    <row r="1572" spans="1:21" s="479" customFormat="1" ht="27" x14ac:dyDescent="0.15">
      <c r="A1572" s="579"/>
      <c r="B1572" s="528" t="s">
        <v>407</v>
      </c>
      <c r="C1572" s="517">
        <f>FCISAN!I117</f>
        <v>108662.20390159126</v>
      </c>
      <c r="D1572" s="517">
        <f t="shared" ref="D1572:O1572" si="1269">$C1572*D$24%</f>
        <v>9055.183658429718</v>
      </c>
      <c r="E1572" s="517">
        <f t="shared" si="1269"/>
        <v>9055.183658429718</v>
      </c>
      <c r="F1572" s="517">
        <f t="shared" si="1269"/>
        <v>9055.183658429718</v>
      </c>
      <c r="G1572" s="517">
        <f t="shared" si="1269"/>
        <v>9055.183658429718</v>
      </c>
      <c r="H1572" s="517">
        <f t="shared" si="1269"/>
        <v>9055.183658429718</v>
      </c>
      <c r="I1572" s="517">
        <f t="shared" si="1269"/>
        <v>9055.183658429718</v>
      </c>
      <c r="J1572" s="517">
        <f t="shared" si="1269"/>
        <v>9055.183658429718</v>
      </c>
      <c r="K1572" s="517">
        <f t="shared" si="1269"/>
        <v>9055.183658429718</v>
      </c>
      <c r="L1572" s="517">
        <f t="shared" si="1269"/>
        <v>9055.183658429718</v>
      </c>
      <c r="M1572" s="517">
        <f t="shared" si="1269"/>
        <v>9055.183658429718</v>
      </c>
      <c r="N1572" s="517">
        <f t="shared" si="1269"/>
        <v>9055.183658429718</v>
      </c>
      <c r="O1572" s="517">
        <f t="shared" si="1269"/>
        <v>9055.183658429718</v>
      </c>
      <c r="P1572" s="511">
        <f t="shared" ref="P1572:P1635" si="1270">C1572-D1572-E1572-F1572-G1572-H1572-I1572-J1572-K1572-L1572-M1572-N1572-O1572</f>
        <v>4.3465479393489659E-7</v>
      </c>
      <c r="Q1572" s="530">
        <v>8094</v>
      </c>
      <c r="R1572" s="480"/>
      <c r="U1572" s="513"/>
    </row>
    <row r="1573" spans="1:21" s="479" customFormat="1" ht="27" x14ac:dyDescent="0.15">
      <c r="A1573" s="579"/>
      <c r="B1573" s="528" t="s">
        <v>242</v>
      </c>
      <c r="C1573" s="517">
        <f>ISAN!I117</f>
        <v>542780.45189611102</v>
      </c>
      <c r="D1573" s="517">
        <f t="shared" ref="D1573:O1573" si="1271">$C1573*D$25%</f>
        <v>52233.720980012491</v>
      </c>
      <c r="E1573" s="517">
        <f t="shared" si="1271"/>
        <v>58339.61180829988</v>
      </c>
      <c r="F1573" s="517">
        <f t="shared" si="1271"/>
        <v>45276.689702385724</v>
      </c>
      <c r="G1573" s="517">
        <f t="shared" si="1271"/>
        <v>42021.4383671088</v>
      </c>
      <c r="H1573" s="517">
        <f t="shared" si="1271"/>
        <v>44930.208024146566</v>
      </c>
      <c r="I1573" s="517">
        <f t="shared" si="1271"/>
        <v>39023.252786638623</v>
      </c>
      <c r="J1573" s="517">
        <f t="shared" si="1271"/>
        <v>42275.711202220649</v>
      </c>
      <c r="K1573" s="517">
        <f t="shared" si="1271"/>
        <v>43597.370902756644</v>
      </c>
      <c r="L1573" s="517">
        <f t="shared" si="1271"/>
        <v>42840.140533314923</v>
      </c>
      <c r="M1573" s="517">
        <f t="shared" si="1271"/>
        <v>43890.762988886338</v>
      </c>
      <c r="N1573" s="517">
        <f t="shared" si="1271"/>
        <v>42496.452923294106</v>
      </c>
      <c r="O1573" s="517">
        <f t="shared" si="1271"/>
        <v>45855.091670532922</v>
      </c>
      <c r="P1573" s="511">
        <f t="shared" si="1270"/>
        <v>6.5133062889799476E-6</v>
      </c>
      <c r="Q1573" s="530">
        <v>34748</v>
      </c>
      <c r="R1573" s="480"/>
      <c r="U1573" s="513"/>
    </row>
    <row r="1574" spans="1:21" s="479" customFormat="1" ht="18" x14ac:dyDescent="0.15">
      <c r="A1574" s="579"/>
      <c r="B1574" s="528" t="s">
        <v>403</v>
      </c>
      <c r="C1574" s="517">
        <f>LOT!I117</f>
        <v>26274.370633502698</v>
      </c>
      <c r="D1574" s="517">
        <f t="shared" ref="D1574:O1574" si="1272">$C1574*D$26%</f>
        <v>1986.6153828316762</v>
      </c>
      <c r="E1574" s="517">
        <f t="shared" si="1272"/>
        <v>1958.4564320447555</v>
      </c>
      <c r="F1574" s="517">
        <f t="shared" si="1272"/>
        <v>1924.9222774763405</v>
      </c>
      <c r="G1574" s="517">
        <f t="shared" si="1272"/>
        <v>2117.8443342427804</v>
      </c>
      <c r="H1574" s="517">
        <f t="shared" si="1272"/>
        <v>1732.7821536520701</v>
      </c>
      <c r="I1574" s="517">
        <f t="shared" si="1272"/>
        <v>2351.4737269010684</v>
      </c>
      <c r="J1574" s="517">
        <f t="shared" si="1272"/>
        <v>5396.6296748840368</v>
      </c>
      <c r="K1574" s="517">
        <f t="shared" si="1272"/>
        <v>1964.5667464474079</v>
      </c>
      <c r="L1574" s="517">
        <f t="shared" si="1272"/>
        <v>2383.7577251858365</v>
      </c>
      <c r="M1574" s="517">
        <f t="shared" si="1272"/>
        <v>1475.8726972490163</v>
      </c>
      <c r="N1574" s="517">
        <f t="shared" si="1272"/>
        <v>1490.7247411362086</v>
      </c>
      <c r="O1574" s="517">
        <f t="shared" si="1272"/>
        <v>1490.7247411362086</v>
      </c>
      <c r="P1574" s="511">
        <f t="shared" si="1270"/>
        <v>3.1528952604276128E-7</v>
      </c>
      <c r="Q1574" s="530">
        <v>1698</v>
      </c>
      <c r="R1574" s="480"/>
      <c r="U1574" s="513"/>
    </row>
    <row r="1575" spans="1:21" s="479" customFormat="1" ht="45" x14ac:dyDescent="0.15">
      <c r="A1575" s="579"/>
      <c r="B1575" s="518" t="s">
        <v>301</v>
      </c>
      <c r="C1575" s="517">
        <f>'ENAJENAC DE INMUE'!I117</f>
        <v>103313.94407125816</v>
      </c>
      <c r="D1575" s="517">
        <f t="shared" ref="D1575:O1575" si="1273">$C1575*D$27%</f>
        <v>4461.6868176593034</v>
      </c>
      <c r="E1575" s="517">
        <f t="shared" si="1273"/>
        <v>4527.4029943018604</v>
      </c>
      <c r="F1575" s="517">
        <f t="shared" si="1273"/>
        <v>4466.3675470183516</v>
      </c>
      <c r="G1575" s="517">
        <f t="shared" si="1273"/>
        <v>4440.2048100171669</v>
      </c>
      <c r="H1575" s="517">
        <f t="shared" si="1273"/>
        <v>6159.412043217897</v>
      </c>
      <c r="I1575" s="517">
        <f t="shared" si="1273"/>
        <v>4433.4067524972788</v>
      </c>
      <c r="J1575" s="517">
        <f t="shared" si="1273"/>
        <v>5095.2212927683904</v>
      </c>
      <c r="K1575" s="517">
        <f t="shared" si="1273"/>
        <v>5089.9765907719111</v>
      </c>
      <c r="L1575" s="517">
        <f t="shared" si="1273"/>
        <v>5083.5285851733133</v>
      </c>
      <c r="M1575" s="517">
        <f t="shared" si="1273"/>
        <v>4439.4779660463264</v>
      </c>
      <c r="N1575" s="517">
        <f t="shared" si="1273"/>
        <v>18457.716764872588</v>
      </c>
      <c r="O1575" s="517">
        <f t="shared" si="1273"/>
        <v>36659.541906707142</v>
      </c>
      <c r="P1575" s="511">
        <f t="shared" si="1270"/>
        <v>2.0665174815803766E-7</v>
      </c>
      <c r="Q1575" s="530">
        <v>24769</v>
      </c>
      <c r="R1575" s="480"/>
      <c r="U1575" s="513"/>
    </row>
    <row r="1576" spans="1:21" s="479" customFormat="1" ht="27" x14ac:dyDescent="0.15">
      <c r="A1576" s="579"/>
      <c r="B1576" s="518" t="s">
        <v>248</v>
      </c>
      <c r="C1576" s="517">
        <f>'IMP BEBIDAS AL'!I117</f>
        <v>40380.5489110255</v>
      </c>
      <c r="D1576" s="517">
        <f t="shared" ref="D1576:O1576" si="1274">$C1576*D$28%</f>
        <v>9182.1570600067225</v>
      </c>
      <c r="E1576" s="517">
        <f t="shared" si="1274"/>
        <v>3158.3285775527556</v>
      </c>
      <c r="F1576" s="517">
        <f t="shared" si="1274"/>
        <v>3394.1074982461814</v>
      </c>
      <c r="G1576" s="517">
        <f t="shared" si="1274"/>
        <v>3369.7423305444713</v>
      </c>
      <c r="H1576" s="517">
        <f t="shared" si="1274"/>
        <v>2145.8681544086285</v>
      </c>
      <c r="I1576" s="517">
        <f t="shared" si="1274"/>
        <v>3511.7166866929629</v>
      </c>
      <c r="J1576" s="517">
        <f t="shared" si="1274"/>
        <v>3491.9497529589967</v>
      </c>
      <c r="K1576" s="517">
        <f t="shared" si="1274"/>
        <v>3193.6428369441442</v>
      </c>
      <c r="L1576" s="517">
        <f t="shared" si="1274"/>
        <v>2316.1196527987727</v>
      </c>
      <c r="M1576" s="517">
        <f t="shared" si="1274"/>
        <v>2153.0383822232384</v>
      </c>
      <c r="N1576" s="517">
        <f t="shared" si="1274"/>
        <v>2168.2573682406355</v>
      </c>
      <c r="O1576" s="517">
        <f t="shared" si="1274"/>
        <v>2295.6206104079929</v>
      </c>
      <c r="P1576" s="511">
        <f t="shared" si="1270"/>
        <v>3.637978807091713E-12</v>
      </c>
      <c r="Q1576" s="530">
        <v>1060</v>
      </c>
      <c r="R1576" s="480"/>
      <c r="U1576" s="513"/>
    </row>
    <row r="1577" spans="1:21" s="479" customFormat="1" ht="18" x14ac:dyDescent="0.15">
      <c r="A1577" s="579"/>
      <c r="B1577" s="518" t="s">
        <v>253</v>
      </c>
      <c r="C1577" s="517">
        <f>'FOND GASO Y D'!Q118</f>
        <v>0</v>
      </c>
      <c r="D1577" s="517">
        <f t="shared" ref="D1577:O1577" si="1275">$C1577*D$29%</f>
        <v>0</v>
      </c>
      <c r="E1577" s="517">
        <f t="shared" si="1275"/>
        <v>0</v>
      </c>
      <c r="F1577" s="517">
        <f t="shared" si="1275"/>
        <v>0</v>
      </c>
      <c r="G1577" s="517">
        <f t="shared" si="1275"/>
        <v>0</v>
      </c>
      <c r="H1577" s="517">
        <f t="shared" si="1275"/>
        <v>0</v>
      </c>
      <c r="I1577" s="517">
        <f t="shared" si="1275"/>
        <v>0</v>
      </c>
      <c r="J1577" s="517">
        <f t="shared" si="1275"/>
        <v>0</v>
      </c>
      <c r="K1577" s="517">
        <f t="shared" si="1275"/>
        <v>0</v>
      </c>
      <c r="L1577" s="517">
        <f t="shared" si="1275"/>
        <v>0</v>
      </c>
      <c r="M1577" s="517">
        <f t="shared" si="1275"/>
        <v>0</v>
      </c>
      <c r="N1577" s="517">
        <f t="shared" si="1275"/>
        <v>0</v>
      </c>
      <c r="O1577" s="517">
        <f t="shared" si="1275"/>
        <v>0</v>
      </c>
      <c r="P1577" s="511">
        <f t="shared" si="1270"/>
        <v>0</v>
      </c>
      <c r="Q1577" s="530">
        <v>42201</v>
      </c>
      <c r="R1577" s="480"/>
      <c r="U1577" s="513"/>
    </row>
    <row r="1578" spans="1:21" s="479" customFormat="1" ht="18" x14ac:dyDescent="0.15">
      <c r="A1578" s="579"/>
      <c r="B1578" s="528" t="s">
        <v>408</v>
      </c>
      <c r="C1578" s="519">
        <f>'FOND GASO Y D'!H118</f>
        <v>1366858.9239307754</v>
      </c>
      <c r="D1578" s="517">
        <f t="shared" ref="D1578:O1578" si="1276">$C1578*D$30%</f>
        <v>106329.05276088454</v>
      </c>
      <c r="E1578" s="517">
        <f t="shared" si="1276"/>
        <v>116906.37357203671</v>
      </c>
      <c r="F1578" s="517">
        <f t="shared" si="1276"/>
        <v>113820.41685470652</v>
      </c>
      <c r="G1578" s="517">
        <f t="shared" si="1276"/>
        <v>106056.91517589631</v>
      </c>
      <c r="H1578" s="517">
        <f t="shared" si="1276"/>
        <v>116859.56129056292</v>
      </c>
      <c r="I1578" s="517">
        <f t="shared" si="1276"/>
        <v>112783.36234789822</v>
      </c>
      <c r="J1578" s="517">
        <f t="shared" si="1276"/>
        <v>115134.73884185491</v>
      </c>
      <c r="K1578" s="517">
        <f t="shared" si="1276"/>
        <v>115066.32230124019</v>
      </c>
      <c r="L1578" s="517">
        <f t="shared" si="1276"/>
        <v>119740.26716544396</v>
      </c>
      <c r="M1578" s="517">
        <f t="shared" si="1276"/>
        <v>118688.80982011964</v>
      </c>
      <c r="N1578" s="517">
        <f t="shared" si="1276"/>
        <v>110925.30814130945</v>
      </c>
      <c r="O1578" s="517">
        <f t="shared" si="1276"/>
        <v>114547.79566018886</v>
      </c>
      <c r="P1578" s="511">
        <f t="shared" si="1270"/>
        <v>-1.3668322935700417E-6</v>
      </c>
      <c r="Q1578" s="530">
        <v>83536</v>
      </c>
      <c r="R1578" s="480"/>
      <c r="U1578" s="513"/>
    </row>
    <row r="1579" spans="1:21" s="479" customFormat="1" x14ac:dyDescent="0.15">
      <c r="A1579" s="579"/>
      <c r="B1579" s="534"/>
      <c r="C1579" s="521"/>
      <c r="D1579" s="522"/>
      <c r="E1579" s="522"/>
      <c r="F1579" s="522"/>
      <c r="G1579" s="522"/>
      <c r="H1579" s="522"/>
      <c r="I1579" s="522"/>
      <c r="J1579" s="522"/>
      <c r="K1579" s="522"/>
      <c r="L1579" s="522"/>
      <c r="M1579" s="522"/>
      <c r="N1579" s="522"/>
      <c r="O1579" s="522"/>
      <c r="P1579" s="511">
        <f t="shared" si="1270"/>
        <v>0</v>
      </c>
      <c r="Q1579" s="530">
        <v>0</v>
      </c>
      <c r="R1579" s="480"/>
      <c r="U1579" s="513"/>
    </row>
    <row r="1580" spans="1:21" s="479" customFormat="1" x14ac:dyDescent="0.15">
      <c r="A1580" s="591"/>
      <c r="B1580" s="532"/>
      <c r="C1580" s="521"/>
      <c r="D1580" s="521"/>
      <c r="E1580" s="521"/>
      <c r="F1580" s="521"/>
      <c r="G1580" s="521"/>
      <c r="H1580" s="521"/>
      <c r="I1580" s="521"/>
      <c r="J1580" s="521"/>
      <c r="K1580" s="521"/>
      <c r="L1580" s="521"/>
      <c r="M1580" s="521"/>
      <c r="N1580" s="521"/>
      <c r="O1580" s="521"/>
      <c r="P1580" s="511">
        <f t="shared" si="1270"/>
        <v>0</v>
      </c>
      <c r="Q1580" s="530">
        <v>0</v>
      </c>
      <c r="R1580" s="480"/>
      <c r="T1580" s="532"/>
      <c r="U1580" s="513"/>
    </row>
    <row r="1581" spans="1:21" s="479" customFormat="1" x14ac:dyDescent="0.15">
      <c r="A1581" s="584">
        <v>104</v>
      </c>
      <c r="B1581" s="533" t="s">
        <v>109</v>
      </c>
      <c r="C1581" s="524">
        <f t="shared" ref="C1581:O1581" si="1277">SUM(C1582:C1593)</f>
        <v>42694051.126067899</v>
      </c>
      <c r="D1581" s="524">
        <f t="shared" si="1277"/>
        <v>3340988.9485016381</v>
      </c>
      <c r="E1581" s="524">
        <f t="shared" si="1277"/>
        <v>4464987.9996663453</v>
      </c>
      <c r="F1581" s="524">
        <f t="shared" si="1277"/>
        <v>2995149.149969866</v>
      </c>
      <c r="G1581" s="524">
        <f t="shared" si="1277"/>
        <v>3782588.3052377682</v>
      </c>
      <c r="H1581" s="524">
        <f t="shared" si="1277"/>
        <v>4273809.4035188667</v>
      </c>
      <c r="I1581" s="524">
        <f t="shared" si="1277"/>
        <v>4192885.4742352208</v>
      </c>
      <c r="J1581" s="524">
        <f t="shared" si="1277"/>
        <v>3640629.4145344263</v>
      </c>
      <c r="K1581" s="524">
        <f t="shared" si="1277"/>
        <v>3543196.6668114592</v>
      </c>
      <c r="L1581" s="524">
        <f t="shared" si="1277"/>
        <v>3360578.2001591478</v>
      </c>
      <c r="M1581" s="524">
        <f t="shared" si="1277"/>
        <v>2529675.9432386835</v>
      </c>
      <c r="N1581" s="524">
        <f t="shared" si="1277"/>
        <v>3266145.7043488291</v>
      </c>
      <c r="O1581" s="524">
        <f t="shared" si="1277"/>
        <v>3303415.9157246286</v>
      </c>
      <c r="P1581" s="511">
        <f t="shared" si="1270"/>
        <v>1.2101838365197182E-4</v>
      </c>
      <c r="Q1581" s="530">
        <v>2478429</v>
      </c>
      <c r="R1581" s="480"/>
      <c r="T1581" s="512"/>
      <c r="U1581" s="513"/>
    </row>
    <row r="1582" spans="1:21" s="479" customFormat="1" x14ac:dyDescent="0.15">
      <c r="A1582" s="579"/>
      <c r="B1582" s="525" t="s">
        <v>294</v>
      </c>
      <c r="C1582" s="526">
        <f>'FG1'!I119</f>
        <v>28624131.769992739</v>
      </c>
      <c r="D1582" s="526">
        <f t="shared" ref="D1582:O1582" si="1278">$C1582*D$19%</f>
        <v>2164977.5787379718</v>
      </c>
      <c r="E1582" s="526">
        <f t="shared" si="1278"/>
        <v>3101870.993786497</v>
      </c>
      <c r="F1582" s="526">
        <f t="shared" si="1278"/>
        <v>2005036.2504085999</v>
      </c>
      <c r="G1582" s="526">
        <f t="shared" si="1278"/>
        <v>2462983.8834872688</v>
      </c>
      <c r="H1582" s="526">
        <f t="shared" si="1278"/>
        <v>3007841.4906535977</v>
      </c>
      <c r="I1582" s="526">
        <f t="shared" si="1278"/>
        <v>2948746.2352318787</v>
      </c>
      <c r="J1582" s="526">
        <f t="shared" si="1278"/>
        <v>2285878.6801058841</v>
      </c>
      <c r="K1582" s="526">
        <f t="shared" si="1278"/>
        <v>2426996.7812725017</v>
      </c>
      <c r="L1582" s="526">
        <f t="shared" si="1278"/>
        <v>2280774.9997584736</v>
      </c>
      <c r="M1582" s="526">
        <f t="shared" si="1278"/>
        <v>1511978.5437425447</v>
      </c>
      <c r="N1582" s="526">
        <f t="shared" si="1278"/>
        <v>2206655.6181380418</v>
      </c>
      <c r="O1582" s="526">
        <f t="shared" si="1278"/>
        <v>2220390.7146408558</v>
      </c>
      <c r="P1582" s="511">
        <f t="shared" si="1270"/>
        <v>2.8626527637243271E-5</v>
      </c>
      <c r="Q1582" s="530">
        <v>1704399</v>
      </c>
      <c r="R1582" s="480"/>
      <c r="U1582" s="513"/>
    </row>
    <row r="1583" spans="1:21" s="479" customFormat="1" x14ac:dyDescent="0.15">
      <c r="A1583" s="579"/>
      <c r="B1583" s="525" t="s">
        <v>296</v>
      </c>
      <c r="C1583" s="526">
        <f>FFM!J119</f>
        <v>7694049.1349710645</v>
      </c>
      <c r="D1583" s="526">
        <f t="shared" ref="D1583:O1583" si="1279">$C1583*D$20%</f>
        <v>581848.1544391528</v>
      </c>
      <c r="E1583" s="526">
        <f t="shared" si="1279"/>
        <v>834173.86843237421</v>
      </c>
      <c r="F1583" s="526">
        <f t="shared" si="1279"/>
        <v>538772.48886749102</v>
      </c>
      <c r="G1583" s="526">
        <f t="shared" si="1279"/>
        <v>662107.71685361082</v>
      </c>
      <c r="H1583" s="526">
        <f t="shared" si="1279"/>
        <v>808849.68625820766</v>
      </c>
      <c r="I1583" s="526">
        <f t="shared" si="1279"/>
        <v>792934.0501026737</v>
      </c>
      <c r="J1583" s="526">
        <f t="shared" si="1279"/>
        <v>614355.57543337042</v>
      </c>
      <c r="K1583" s="526">
        <f t="shared" si="1279"/>
        <v>652361.74055456265</v>
      </c>
      <c r="L1583" s="526">
        <f t="shared" si="1279"/>
        <v>612981.04035694723</v>
      </c>
      <c r="M1583" s="526">
        <f t="shared" si="1279"/>
        <v>405927.48220395896</v>
      </c>
      <c r="N1583" s="526">
        <f t="shared" si="1279"/>
        <v>593019.08535716636</v>
      </c>
      <c r="O1583" s="526">
        <f t="shared" si="1279"/>
        <v>596718.24601922021</v>
      </c>
      <c r="P1583" s="511">
        <f t="shared" si="1270"/>
        <v>9.2327361926436424E-5</v>
      </c>
      <c r="Q1583" s="530">
        <v>521830</v>
      </c>
      <c r="R1583" s="480"/>
      <c r="U1583" s="513"/>
    </row>
    <row r="1584" spans="1:21" s="479" customFormat="1" ht="18" x14ac:dyDescent="0.15">
      <c r="A1584" s="579"/>
      <c r="B1584" s="527" t="s">
        <v>297</v>
      </c>
      <c r="C1584" s="515">
        <f>IEPS!I118</f>
        <v>692246.0202606034</v>
      </c>
      <c r="D1584" s="515">
        <f t="shared" ref="D1584:O1584" si="1280">$C1584*D$21%</f>
        <v>48623.236499840947</v>
      </c>
      <c r="E1584" s="515">
        <f t="shared" si="1280"/>
        <v>111138.45637429504</v>
      </c>
      <c r="F1584" s="515">
        <f t="shared" si="1280"/>
        <v>46162.448584746198</v>
      </c>
      <c r="G1584" s="515">
        <f t="shared" si="1280"/>
        <v>44863.435817279802</v>
      </c>
      <c r="H1584" s="515">
        <f t="shared" si="1280"/>
        <v>49531.701197842056</v>
      </c>
      <c r="I1584" s="515">
        <f t="shared" si="1280"/>
        <v>51365.36095487851</v>
      </c>
      <c r="J1584" s="515">
        <f t="shared" si="1280"/>
        <v>52896.826437337033</v>
      </c>
      <c r="K1584" s="515">
        <f t="shared" si="1280"/>
        <v>58594.19755609335</v>
      </c>
      <c r="L1584" s="515">
        <f t="shared" si="1280"/>
        <v>58716.979046594039</v>
      </c>
      <c r="M1584" s="515">
        <f t="shared" si="1280"/>
        <v>58064.38364271482</v>
      </c>
      <c r="N1584" s="515">
        <f t="shared" si="1280"/>
        <v>56187.111280192803</v>
      </c>
      <c r="O1584" s="515">
        <f t="shared" si="1280"/>
        <v>56101.882868096531</v>
      </c>
      <c r="P1584" s="511">
        <f t="shared" si="1270"/>
        <v>6.9222005549818277E-7</v>
      </c>
      <c r="Q1584" s="530">
        <v>44017</v>
      </c>
      <c r="R1584" s="480"/>
      <c r="U1584" s="513"/>
    </row>
    <row r="1585" spans="1:21" s="479" customFormat="1" x14ac:dyDescent="0.15">
      <c r="A1585" s="579"/>
      <c r="B1585" s="528" t="s">
        <v>236</v>
      </c>
      <c r="C1585" s="517">
        <f>ISR!C109</f>
        <v>2586111.64</v>
      </c>
      <c r="D1585" s="517">
        <f>ISR!D109</f>
        <v>215509.30333333326</v>
      </c>
      <c r="E1585" s="517">
        <f>ISR!E109</f>
        <v>215509.30333333326</v>
      </c>
      <c r="F1585" s="517">
        <f>ISR!F109</f>
        <v>215509.30333333326</v>
      </c>
      <c r="G1585" s="517">
        <f>ISR!G109</f>
        <v>215509.30333333326</v>
      </c>
      <c r="H1585" s="517">
        <f>ISR!H109</f>
        <v>215509.30333333326</v>
      </c>
      <c r="I1585" s="517">
        <f>ISR!I109</f>
        <v>215509.30333333326</v>
      </c>
      <c r="J1585" s="517">
        <f>ISR!J109</f>
        <v>215509.30333333326</v>
      </c>
      <c r="K1585" s="517">
        <f>ISR!K109</f>
        <v>215509.30333333326</v>
      </c>
      <c r="L1585" s="517">
        <f>ISR!L109</f>
        <v>215509.30333333326</v>
      </c>
      <c r="M1585" s="517">
        <f>ISR!M109</f>
        <v>215509.30333333326</v>
      </c>
      <c r="N1585" s="517">
        <f>ISR!N109</f>
        <v>215509.30333333326</v>
      </c>
      <c r="O1585" s="517">
        <f>ISR!O109</f>
        <v>215509.30333333326</v>
      </c>
      <c r="P1585" s="511">
        <f t="shared" si="1270"/>
        <v>1.3387762010097504E-9</v>
      </c>
      <c r="Q1585" s="530">
        <v>0</v>
      </c>
      <c r="R1585" s="480"/>
      <c r="U1585" s="513"/>
    </row>
    <row r="1586" spans="1:21" s="479" customFormat="1" ht="18" x14ac:dyDescent="0.15">
      <c r="A1586" s="579"/>
      <c r="B1586" s="528" t="s">
        <v>298</v>
      </c>
      <c r="C1586" s="517">
        <f>FOFIR!I118</f>
        <v>1338800.3961771992</v>
      </c>
      <c r="D1586" s="517">
        <f t="shared" ref="D1586:O1586" si="1281">$C1586*D$23%</f>
        <v>183034.75965543772</v>
      </c>
      <c r="E1586" s="517">
        <f t="shared" si="1281"/>
        <v>46567.852325403102</v>
      </c>
      <c r="F1586" s="517">
        <f t="shared" si="1281"/>
        <v>46567.852325403102</v>
      </c>
      <c r="G1586" s="517">
        <f t="shared" si="1281"/>
        <v>262797.9633919936</v>
      </c>
      <c r="H1586" s="517">
        <f t="shared" si="1281"/>
        <v>46567.852325403102</v>
      </c>
      <c r="I1586" s="517">
        <f t="shared" si="1281"/>
        <v>46567.852325403102</v>
      </c>
      <c r="J1586" s="517">
        <f t="shared" si="1281"/>
        <v>326878.32136049657</v>
      </c>
      <c r="K1586" s="517">
        <f t="shared" si="1281"/>
        <v>46567.852325403102</v>
      </c>
      <c r="L1586" s="517">
        <f t="shared" si="1281"/>
        <v>46567.852325403102</v>
      </c>
      <c r="M1586" s="517">
        <f t="shared" si="1281"/>
        <v>193546.53317140174</v>
      </c>
      <c r="N1586" s="517">
        <f t="shared" si="1281"/>
        <v>46567.852325403102</v>
      </c>
      <c r="O1586" s="517">
        <f t="shared" si="1281"/>
        <v>46567.852325403102</v>
      </c>
      <c r="P1586" s="511">
        <f t="shared" si="1270"/>
        <v>-5.3554249461740255E-6</v>
      </c>
      <c r="Q1586" s="530">
        <v>51851</v>
      </c>
      <c r="R1586" s="480"/>
      <c r="U1586" s="513"/>
    </row>
    <row r="1587" spans="1:21" s="479" customFormat="1" ht="27" x14ac:dyDescent="0.15">
      <c r="A1587" s="579"/>
      <c r="B1587" s="528" t="s">
        <v>407</v>
      </c>
      <c r="C1587" s="517">
        <f>FCISAN!I118</f>
        <v>84988.721038042902</v>
      </c>
      <c r="D1587" s="517">
        <f t="shared" ref="D1587:O1587" si="1282">$C1587*D$24%</f>
        <v>7082.3934198085799</v>
      </c>
      <c r="E1587" s="517">
        <f t="shared" si="1282"/>
        <v>7082.3934198085799</v>
      </c>
      <c r="F1587" s="517">
        <f t="shared" si="1282"/>
        <v>7082.3934198085799</v>
      </c>
      <c r="G1587" s="517">
        <f t="shared" si="1282"/>
        <v>7082.3934198085799</v>
      </c>
      <c r="H1587" s="517">
        <f t="shared" si="1282"/>
        <v>7082.3934198085799</v>
      </c>
      <c r="I1587" s="517">
        <f t="shared" si="1282"/>
        <v>7082.3934198085799</v>
      </c>
      <c r="J1587" s="517">
        <f t="shared" si="1282"/>
        <v>7082.3934198085799</v>
      </c>
      <c r="K1587" s="517">
        <f t="shared" si="1282"/>
        <v>7082.3934198085799</v>
      </c>
      <c r="L1587" s="517">
        <f t="shared" si="1282"/>
        <v>7082.3934198085799</v>
      </c>
      <c r="M1587" s="517">
        <f t="shared" si="1282"/>
        <v>7082.3934198085799</v>
      </c>
      <c r="N1587" s="517">
        <f t="shared" si="1282"/>
        <v>7082.3934198085799</v>
      </c>
      <c r="O1587" s="517">
        <f t="shared" si="1282"/>
        <v>7082.3934198085799</v>
      </c>
      <c r="P1587" s="511">
        <f t="shared" si="1270"/>
        <v>3.3996002457570285E-7</v>
      </c>
      <c r="Q1587" s="530">
        <v>6167</v>
      </c>
      <c r="R1587" s="480"/>
      <c r="U1587" s="513"/>
    </row>
    <row r="1588" spans="1:21" s="479" customFormat="1" ht="27" x14ac:dyDescent="0.15">
      <c r="A1588" s="579"/>
      <c r="B1588" s="528" t="s">
        <v>242</v>
      </c>
      <c r="C1588" s="517">
        <f>ISAN!I118</f>
        <v>424528.62867459212</v>
      </c>
      <c r="D1588" s="517">
        <f t="shared" ref="D1588:O1588" si="1283">$C1588*D$25%</f>
        <v>40853.921434997159</v>
      </c>
      <c r="E1588" s="517">
        <f t="shared" si="1283"/>
        <v>45629.56405645574</v>
      </c>
      <c r="F1588" s="517">
        <f t="shared" si="1283"/>
        <v>35412.570447466693</v>
      </c>
      <c r="G1588" s="517">
        <f t="shared" si="1283"/>
        <v>32866.518207507332</v>
      </c>
      <c r="H1588" s="517">
        <f t="shared" si="1283"/>
        <v>35141.574336221522</v>
      </c>
      <c r="I1588" s="517">
        <f t="shared" si="1283"/>
        <v>30521.526584204435</v>
      </c>
      <c r="J1588" s="517">
        <f t="shared" si="1283"/>
        <v>33065.394378567187</v>
      </c>
      <c r="K1588" s="517">
        <f t="shared" si="1283"/>
        <v>34099.113220656967</v>
      </c>
      <c r="L1588" s="517">
        <f t="shared" si="1283"/>
        <v>33506.855394851227</v>
      </c>
      <c r="M1588" s="517">
        <f t="shared" si="1283"/>
        <v>34328.586002061515</v>
      </c>
      <c r="N1588" s="517">
        <f t="shared" si="1283"/>
        <v>33238.04462750526</v>
      </c>
      <c r="O1588" s="517">
        <f t="shared" si="1283"/>
        <v>35864.959979002757</v>
      </c>
      <c r="P1588" s="511">
        <f t="shared" si="1270"/>
        <v>5.09435631101951E-6</v>
      </c>
      <c r="Q1588" s="530">
        <v>26494</v>
      </c>
      <c r="R1588" s="480"/>
      <c r="U1588" s="513"/>
    </row>
    <row r="1589" spans="1:21" s="479" customFormat="1" ht="18" x14ac:dyDescent="0.15">
      <c r="A1589" s="579"/>
      <c r="B1589" s="528" t="s">
        <v>403</v>
      </c>
      <c r="C1589" s="517">
        <f>LOT!I118</f>
        <v>20550.15521536101</v>
      </c>
      <c r="D1589" s="517">
        <f t="shared" ref="D1589:O1589" si="1284">$C1589*D$26%</f>
        <v>1553.8052286724658</v>
      </c>
      <c r="E1589" s="517">
        <f t="shared" si="1284"/>
        <v>1531.7810737480825</v>
      </c>
      <c r="F1589" s="517">
        <f t="shared" si="1284"/>
        <v>1505.5527735155313</v>
      </c>
      <c r="G1589" s="517">
        <f t="shared" si="1284"/>
        <v>1656.4442360102316</v>
      </c>
      <c r="H1589" s="517">
        <f t="shared" si="1284"/>
        <v>1355.2728896406857</v>
      </c>
      <c r="I1589" s="517">
        <f t="shared" si="1284"/>
        <v>1839.1744086552194</v>
      </c>
      <c r="J1589" s="517">
        <f t="shared" si="1284"/>
        <v>4220.9032903447942</v>
      </c>
      <c r="K1589" s="517">
        <f t="shared" si="1284"/>
        <v>1536.5601762103524</v>
      </c>
      <c r="L1589" s="517">
        <f t="shared" si="1284"/>
        <v>1864.424915507645</v>
      </c>
      <c r="M1589" s="517">
        <f t="shared" si="1284"/>
        <v>1154.3345197356496</v>
      </c>
      <c r="N1589" s="517">
        <f t="shared" si="1284"/>
        <v>1165.9508515368757</v>
      </c>
      <c r="O1589" s="517">
        <f t="shared" si="1284"/>
        <v>1165.9508515368757</v>
      </c>
      <c r="P1589" s="511">
        <f t="shared" si="1270"/>
        <v>2.4659948394400999E-7</v>
      </c>
      <c r="Q1589" s="530">
        <v>1294</v>
      </c>
      <c r="R1589" s="480"/>
      <c r="U1589" s="513"/>
    </row>
    <row r="1590" spans="1:21" s="479" customFormat="1" ht="45" x14ac:dyDescent="0.15">
      <c r="A1590" s="579"/>
      <c r="B1590" s="518" t="s">
        <v>301</v>
      </c>
      <c r="C1590" s="517">
        <f>'ENAJENAC DE INMUE'!I118</f>
        <v>80805.649588739325</v>
      </c>
      <c r="D1590" s="517">
        <f t="shared" ref="D1590:O1590" si="1285">$C1590*D$27%</f>
        <v>3489.6499674217175</v>
      </c>
      <c r="E1590" s="517">
        <f t="shared" si="1285"/>
        <v>3541.049015147817</v>
      </c>
      <c r="F1590" s="517">
        <f t="shared" si="1285"/>
        <v>3493.3109386469191</v>
      </c>
      <c r="G1590" s="517">
        <f t="shared" si="1285"/>
        <v>3472.8480962164535</v>
      </c>
      <c r="H1590" s="517">
        <f t="shared" si="1285"/>
        <v>4817.5035394412962</v>
      </c>
      <c r="I1590" s="517">
        <f t="shared" si="1285"/>
        <v>3467.531084473515</v>
      </c>
      <c r="J1590" s="517">
        <f t="shared" si="1285"/>
        <v>3985.1606679205925</v>
      </c>
      <c r="K1590" s="517">
        <f t="shared" si="1285"/>
        <v>3981.0585928760806</v>
      </c>
      <c r="L1590" s="517">
        <f t="shared" si="1285"/>
        <v>3976.0153696632765</v>
      </c>
      <c r="M1590" s="517">
        <f t="shared" si="1285"/>
        <v>3472.2796047147358</v>
      </c>
      <c r="N1590" s="517">
        <f t="shared" si="1285"/>
        <v>14436.461665637098</v>
      </c>
      <c r="O1590" s="517">
        <f t="shared" si="1285"/>
        <v>28672.781046418211</v>
      </c>
      <c r="P1590" s="511">
        <f t="shared" si="1270"/>
        <v>1.6162084648385644E-7</v>
      </c>
      <c r="Q1590" s="530">
        <v>18883</v>
      </c>
      <c r="R1590" s="480"/>
      <c r="U1590" s="513"/>
    </row>
    <row r="1591" spans="1:21" s="479" customFormat="1" ht="27" x14ac:dyDescent="0.15">
      <c r="A1591" s="579"/>
      <c r="B1591" s="518" t="s">
        <v>248</v>
      </c>
      <c r="C1591" s="517">
        <f>'IMP BEBIDAS AL'!I118</f>
        <v>31583.117988939819</v>
      </c>
      <c r="D1591" s="517">
        <f t="shared" ref="D1591:O1591" si="1286">$C1591*D$28%</f>
        <v>7181.7040045235053</v>
      </c>
      <c r="E1591" s="517">
        <f t="shared" si="1286"/>
        <v>2470.2453731492851</v>
      </c>
      <c r="F1591" s="517">
        <f t="shared" si="1286"/>
        <v>2654.6567710223867</v>
      </c>
      <c r="G1591" s="517">
        <f t="shared" si="1286"/>
        <v>2635.5998738999874</v>
      </c>
      <c r="H1591" s="517">
        <f t="shared" si="1286"/>
        <v>1678.3627002874011</v>
      </c>
      <c r="I1591" s="517">
        <f t="shared" si="1286"/>
        <v>2746.643258959502</v>
      </c>
      <c r="J1591" s="517">
        <f t="shared" si="1286"/>
        <v>2731.1828103713715</v>
      </c>
      <c r="K1591" s="517">
        <f t="shared" si="1286"/>
        <v>2497.8659590781135</v>
      </c>
      <c r="L1591" s="517">
        <f t="shared" si="1286"/>
        <v>1811.5226821711929</v>
      </c>
      <c r="M1591" s="517">
        <f t="shared" si="1286"/>
        <v>1683.9708001568554</v>
      </c>
      <c r="N1591" s="517">
        <f t="shared" si="1286"/>
        <v>1695.8741309441255</v>
      </c>
      <c r="O1591" s="517">
        <f t="shared" si="1286"/>
        <v>1795.4896243760948</v>
      </c>
      <c r="P1591" s="511">
        <f t="shared" si="1270"/>
        <v>-2.2737367544323206E-12</v>
      </c>
      <c r="Q1591" s="530">
        <v>808</v>
      </c>
      <c r="R1591" s="480"/>
      <c r="U1591" s="513"/>
    </row>
    <row r="1592" spans="1:21" s="479" customFormat="1" ht="18" x14ac:dyDescent="0.15">
      <c r="A1592" s="579"/>
      <c r="B1592" s="518" t="s">
        <v>253</v>
      </c>
      <c r="C1592" s="517">
        <f>'FOND GASO Y D'!Q119</f>
        <v>0</v>
      </c>
      <c r="D1592" s="517">
        <f t="shared" ref="D1592:O1592" si="1287">$C1592*D$29%</f>
        <v>0</v>
      </c>
      <c r="E1592" s="517">
        <f t="shared" si="1287"/>
        <v>0</v>
      </c>
      <c r="F1592" s="517">
        <f t="shared" si="1287"/>
        <v>0</v>
      </c>
      <c r="G1592" s="517">
        <f t="shared" si="1287"/>
        <v>0</v>
      </c>
      <c r="H1592" s="517">
        <f t="shared" si="1287"/>
        <v>0</v>
      </c>
      <c r="I1592" s="517">
        <f t="shared" si="1287"/>
        <v>0</v>
      </c>
      <c r="J1592" s="517">
        <f t="shared" si="1287"/>
        <v>0</v>
      </c>
      <c r="K1592" s="517">
        <f t="shared" si="1287"/>
        <v>0</v>
      </c>
      <c r="L1592" s="517">
        <f t="shared" si="1287"/>
        <v>0</v>
      </c>
      <c r="M1592" s="517">
        <f t="shared" si="1287"/>
        <v>0</v>
      </c>
      <c r="N1592" s="517">
        <f t="shared" si="1287"/>
        <v>0</v>
      </c>
      <c r="O1592" s="517">
        <f t="shared" si="1287"/>
        <v>0</v>
      </c>
      <c r="P1592" s="511">
        <f t="shared" si="1270"/>
        <v>0</v>
      </c>
      <c r="Q1592" s="530">
        <v>34465</v>
      </c>
      <c r="R1592" s="480"/>
      <c r="U1592" s="513"/>
    </row>
    <row r="1593" spans="1:21" s="479" customFormat="1" ht="18" x14ac:dyDescent="0.15">
      <c r="A1593" s="579"/>
      <c r="B1593" s="528" t="s">
        <v>408</v>
      </c>
      <c r="C1593" s="519">
        <f>'FOND GASO Y D'!H119</f>
        <v>1116255.8921606147</v>
      </c>
      <c r="D1593" s="517">
        <f t="shared" ref="D1593:O1593" si="1288">$C1593*D$30%</f>
        <v>86834.441780478388</v>
      </c>
      <c r="E1593" s="517">
        <f t="shared" si="1288"/>
        <v>95472.492476132815</v>
      </c>
      <c r="F1593" s="517">
        <f t="shared" si="1288"/>
        <v>92952.322099832207</v>
      </c>
      <c r="G1593" s="517">
        <f t="shared" si="1288"/>
        <v>86612.198520839054</v>
      </c>
      <c r="H1593" s="517">
        <f t="shared" si="1288"/>
        <v>95434.262865083918</v>
      </c>
      <c r="I1593" s="517">
        <f t="shared" si="1288"/>
        <v>92105.403530952084</v>
      </c>
      <c r="J1593" s="517">
        <f t="shared" si="1288"/>
        <v>94025.67329699274</v>
      </c>
      <c r="K1593" s="517">
        <f t="shared" si="1288"/>
        <v>93969.800400934953</v>
      </c>
      <c r="L1593" s="517">
        <f t="shared" si="1288"/>
        <v>97786.8135563947</v>
      </c>
      <c r="M1593" s="517">
        <f t="shared" si="1288"/>
        <v>96928.132798252846</v>
      </c>
      <c r="N1593" s="517">
        <f t="shared" si="1288"/>
        <v>90588.009219259693</v>
      </c>
      <c r="O1593" s="517">
        <f t="shared" si="1288"/>
        <v>93546.341616577556</v>
      </c>
      <c r="P1593" s="511">
        <f t="shared" si="1270"/>
        <v>-1.116190105676651E-6</v>
      </c>
      <c r="Q1593" s="530">
        <v>68221</v>
      </c>
      <c r="R1593" s="480"/>
      <c r="U1593" s="513"/>
    </row>
    <row r="1594" spans="1:21" s="479" customFormat="1" x14ac:dyDescent="0.15">
      <c r="A1594" s="579"/>
      <c r="B1594" s="534"/>
      <c r="C1594" s="521"/>
      <c r="D1594" s="522"/>
      <c r="E1594" s="522"/>
      <c r="F1594" s="522"/>
      <c r="G1594" s="522"/>
      <c r="H1594" s="522"/>
      <c r="I1594" s="522"/>
      <c r="J1594" s="522"/>
      <c r="K1594" s="522"/>
      <c r="L1594" s="522"/>
      <c r="M1594" s="522"/>
      <c r="N1594" s="522"/>
      <c r="O1594" s="522"/>
      <c r="P1594" s="511">
        <f t="shared" si="1270"/>
        <v>0</v>
      </c>
      <c r="Q1594" s="530">
        <v>0</v>
      </c>
      <c r="R1594" s="480"/>
      <c r="T1594" s="537"/>
      <c r="U1594" s="513"/>
    </row>
    <row r="1595" spans="1:21" s="479" customFormat="1" x14ac:dyDescent="0.15">
      <c r="A1595" s="591"/>
      <c r="B1595" s="532"/>
      <c r="C1595" s="521"/>
      <c r="D1595" s="521"/>
      <c r="E1595" s="521"/>
      <c r="F1595" s="521"/>
      <c r="G1595" s="521"/>
      <c r="H1595" s="521"/>
      <c r="I1595" s="521"/>
      <c r="J1595" s="521"/>
      <c r="K1595" s="521"/>
      <c r="L1595" s="521"/>
      <c r="M1595" s="521"/>
      <c r="N1595" s="521"/>
      <c r="O1595" s="521"/>
      <c r="P1595" s="511">
        <f t="shared" si="1270"/>
        <v>0</v>
      </c>
      <c r="Q1595" s="530">
        <v>0</v>
      </c>
      <c r="R1595" s="480"/>
      <c r="T1595" s="532"/>
      <c r="U1595" s="513"/>
    </row>
    <row r="1596" spans="1:21" s="479" customFormat="1" x14ac:dyDescent="0.15">
      <c r="A1596" s="584">
        <v>105</v>
      </c>
      <c r="B1596" s="533" t="s">
        <v>150</v>
      </c>
      <c r="C1596" s="524">
        <f t="shared" ref="C1596:O1596" si="1289">SUM(C1597:C1608)</f>
        <v>48202736.615435265</v>
      </c>
      <c r="D1596" s="524">
        <f t="shared" si="1289"/>
        <v>3787877.7450399417</v>
      </c>
      <c r="E1596" s="524">
        <f t="shared" si="1289"/>
        <v>5071867.0687344652</v>
      </c>
      <c r="F1596" s="524">
        <f t="shared" si="1289"/>
        <v>3377243.8534256686</v>
      </c>
      <c r="G1596" s="524">
        <f t="shared" si="1289"/>
        <v>4170604.5374269243</v>
      </c>
      <c r="H1596" s="524">
        <f t="shared" si="1289"/>
        <v>4849453.0524278395</v>
      </c>
      <c r="I1596" s="524">
        <f t="shared" si="1289"/>
        <v>4756280.6840923792</v>
      </c>
      <c r="J1596" s="524">
        <f t="shared" si="1289"/>
        <v>4120429.579011464</v>
      </c>
      <c r="K1596" s="524">
        <f t="shared" si="1289"/>
        <v>4008248.5400266466</v>
      </c>
      <c r="L1596" s="524">
        <f t="shared" si="1289"/>
        <v>3797986.1994991591</v>
      </c>
      <c r="M1596" s="524">
        <f t="shared" si="1289"/>
        <v>2841311.2610976719</v>
      </c>
      <c r="N1596" s="524">
        <f t="shared" si="1289"/>
        <v>3689261.5814979421</v>
      </c>
      <c r="O1596" s="524">
        <f t="shared" si="1289"/>
        <v>3732172.5130158337</v>
      </c>
      <c r="P1596" s="511">
        <f t="shared" si="1270"/>
        <v>1.3932958245277405E-4</v>
      </c>
      <c r="Q1596" s="530">
        <v>2869129</v>
      </c>
      <c r="R1596" s="480"/>
      <c r="T1596" s="512"/>
      <c r="U1596" s="513"/>
    </row>
    <row r="1597" spans="1:21" s="479" customFormat="1" x14ac:dyDescent="0.15">
      <c r="A1597" s="579"/>
      <c r="B1597" s="525" t="s">
        <v>294</v>
      </c>
      <c r="C1597" s="526">
        <f>'FG1'!I120</f>
        <v>32956940.763117444</v>
      </c>
      <c r="D1597" s="526">
        <f t="shared" ref="D1597:O1597" si="1290">$C1597*D$19%</f>
        <v>2492688.2809680016</v>
      </c>
      <c r="E1597" s="526">
        <f t="shared" si="1290"/>
        <v>3571398.4067185475</v>
      </c>
      <c r="F1597" s="526">
        <f t="shared" si="1290"/>
        <v>2308536.7781143393</v>
      </c>
      <c r="G1597" s="526">
        <f t="shared" si="1290"/>
        <v>2835803.5311204642</v>
      </c>
      <c r="H1597" s="526">
        <f t="shared" si="1290"/>
        <v>3463135.7425568001</v>
      </c>
      <c r="I1597" s="526">
        <f t="shared" si="1290"/>
        <v>3395095.2916545789</v>
      </c>
      <c r="J1597" s="526">
        <f t="shared" si="1290"/>
        <v>2631890.0729383356</v>
      </c>
      <c r="K1597" s="526">
        <f t="shared" si="1290"/>
        <v>2794369.0937213297</v>
      </c>
      <c r="L1597" s="526">
        <f t="shared" si="1290"/>
        <v>2626013.8531027413</v>
      </c>
      <c r="M1597" s="526">
        <f t="shared" si="1290"/>
        <v>1740845.3713682811</v>
      </c>
      <c r="N1597" s="526">
        <f t="shared" si="1290"/>
        <v>2540675.087578183</v>
      </c>
      <c r="O1597" s="526">
        <f t="shared" si="1290"/>
        <v>2556489.2532428857</v>
      </c>
      <c r="P1597" s="511">
        <f t="shared" si="1270"/>
        <v>3.295019268989563E-5</v>
      </c>
      <c r="Q1597" s="530">
        <v>1973569</v>
      </c>
      <c r="R1597" s="480"/>
      <c r="U1597" s="513"/>
    </row>
    <row r="1598" spans="1:21" s="479" customFormat="1" x14ac:dyDescent="0.15">
      <c r="A1598" s="579"/>
      <c r="B1598" s="527" t="s">
        <v>296</v>
      </c>
      <c r="C1598" s="515">
        <f>FFM!J120</f>
        <v>8858690.408754386</v>
      </c>
      <c r="D1598" s="515">
        <f t="shared" ref="D1598:O1598" si="1291">$C1598*D$20%</f>
        <v>669921.98446636868</v>
      </c>
      <c r="E1598" s="515">
        <f t="shared" si="1291"/>
        <v>960442.01406613539</v>
      </c>
      <c r="F1598" s="515">
        <f t="shared" si="1291"/>
        <v>620325.99427234114</v>
      </c>
      <c r="G1598" s="515">
        <f t="shared" si="1291"/>
        <v>762330.36441031331</v>
      </c>
      <c r="H1598" s="515">
        <f t="shared" si="1291"/>
        <v>931284.53329100367</v>
      </c>
      <c r="I1598" s="515">
        <f t="shared" si="1291"/>
        <v>912959.76165425696</v>
      </c>
      <c r="J1598" s="515">
        <f t="shared" si="1291"/>
        <v>707350.02443896502</v>
      </c>
      <c r="K1598" s="515">
        <f t="shared" si="1291"/>
        <v>751109.14847449237</v>
      </c>
      <c r="L1598" s="515">
        <f t="shared" si="1291"/>
        <v>705767.42722852342</v>
      </c>
      <c r="M1598" s="515">
        <f t="shared" si="1291"/>
        <v>467372.358841006</v>
      </c>
      <c r="N1598" s="515">
        <f t="shared" si="1291"/>
        <v>682783.84911582514</v>
      </c>
      <c r="O1598" s="515">
        <f t="shared" si="1291"/>
        <v>687042.94838885067</v>
      </c>
      <c r="P1598" s="511">
        <f t="shared" si="1270"/>
        <v>1.0630441829562187E-4</v>
      </c>
      <c r="Q1598" s="530">
        <v>604242</v>
      </c>
      <c r="R1598" s="480"/>
      <c r="U1598" s="513"/>
    </row>
    <row r="1599" spans="1:21" s="479" customFormat="1" ht="18" x14ac:dyDescent="0.15">
      <c r="A1599" s="579"/>
      <c r="B1599" s="528" t="s">
        <v>297</v>
      </c>
      <c r="C1599" s="517">
        <f>IEPS!I119</f>
        <v>797030.67560460325</v>
      </c>
      <c r="D1599" s="517">
        <f t="shared" ref="D1599:O1599" si="1292">$C1599*D$21%</f>
        <v>55983.291926996128</v>
      </c>
      <c r="E1599" s="517">
        <f t="shared" si="1292"/>
        <v>127961.38421468994</v>
      </c>
      <c r="F1599" s="517">
        <f t="shared" si="1292"/>
        <v>53150.016766021923</v>
      </c>
      <c r="G1599" s="517">
        <f t="shared" si="1292"/>
        <v>51654.373608285925</v>
      </c>
      <c r="H1599" s="517">
        <f t="shared" si="1292"/>
        <v>57029.27010645633</v>
      </c>
      <c r="I1599" s="517">
        <f t="shared" si="1292"/>
        <v>59140.489286061791</v>
      </c>
      <c r="J1599" s="517">
        <f t="shared" si="1292"/>
        <v>60903.771316472783</v>
      </c>
      <c r="K1599" s="517">
        <f t="shared" si="1292"/>
        <v>67463.548359673397</v>
      </c>
      <c r="L1599" s="517">
        <f t="shared" si="1292"/>
        <v>67604.915173582514</v>
      </c>
      <c r="M1599" s="517">
        <f t="shared" si="1292"/>
        <v>66853.536992376801</v>
      </c>
      <c r="N1599" s="517">
        <f t="shared" si="1292"/>
        <v>64692.103606553224</v>
      </c>
      <c r="O1599" s="517">
        <f t="shared" si="1292"/>
        <v>64593.974246635451</v>
      </c>
      <c r="P1599" s="511">
        <f t="shared" si="1270"/>
        <v>7.9702294897288084E-7</v>
      </c>
      <c r="Q1599" s="530">
        <v>50969</v>
      </c>
      <c r="R1599" s="480"/>
      <c r="U1599" s="513"/>
    </row>
    <row r="1600" spans="1:21" s="479" customFormat="1" x14ac:dyDescent="0.15">
      <c r="A1600" s="579"/>
      <c r="B1600" s="528" t="s">
        <v>236</v>
      </c>
      <c r="C1600" s="517">
        <f>ISR!C110</f>
        <v>2024010.77</v>
      </c>
      <c r="D1600" s="517">
        <f>ISR!D110</f>
        <v>189321.66754198429</v>
      </c>
      <c r="E1600" s="517">
        <f>ISR!E110</f>
        <v>179175.66531646796</v>
      </c>
      <c r="F1600" s="517">
        <f>ISR!F110</f>
        <v>176878.76588927777</v>
      </c>
      <c r="G1600" s="517">
        <f>ISR!G110</f>
        <v>63604.544138048543</v>
      </c>
      <c r="H1600" s="517">
        <f>ISR!H110</f>
        <v>176878.76588927777</v>
      </c>
      <c r="I1600" s="517">
        <f>ISR!I110</f>
        <v>176878.76588927777</v>
      </c>
      <c r="J1600" s="517">
        <f>ISR!J110</f>
        <v>176878.76588927777</v>
      </c>
      <c r="K1600" s="517">
        <f>ISR!K110</f>
        <v>176878.76588927777</v>
      </c>
      <c r="L1600" s="517">
        <f>ISR!L110</f>
        <v>176878.76588927777</v>
      </c>
      <c r="M1600" s="517">
        <f>ISR!M110</f>
        <v>176878.76588927777</v>
      </c>
      <c r="N1600" s="517">
        <f>ISR!N110</f>
        <v>176878.76588927777</v>
      </c>
      <c r="O1600" s="517">
        <f>ISR!O110</f>
        <v>176878.76588927777</v>
      </c>
      <c r="P1600" s="511">
        <f t="shared" si="1270"/>
        <v>-4.0745362639427185E-10</v>
      </c>
      <c r="Q1600" s="530">
        <v>0</v>
      </c>
      <c r="R1600" s="480"/>
      <c r="U1600" s="513"/>
    </row>
    <row r="1601" spans="1:21" s="479" customFormat="1" ht="18" x14ac:dyDescent="0.15">
      <c r="A1601" s="579"/>
      <c r="B1601" s="528" t="s">
        <v>298</v>
      </c>
      <c r="C1601" s="517">
        <f>FOFIR!I119</f>
        <v>1541453.403896949</v>
      </c>
      <c r="D1601" s="517">
        <f t="shared" ref="D1601:O1601" si="1293">$C1601*D$23%</f>
        <v>210740.56603803945</v>
      </c>
      <c r="E1601" s="517">
        <f t="shared" si="1293"/>
        <v>53616.786105030558</v>
      </c>
      <c r="F1601" s="517">
        <f t="shared" si="1293"/>
        <v>53616.786105030558</v>
      </c>
      <c r="G1601" s="517">
        <f t="shared" si="1293"/>
        <v>302577.45393896481</v>
      </c>
      <c r="H1601" s="517">
        <f t="shared" si="1293"/>
        <v>53616.786105030558</v>
      </c>
      <c r="I1601" s="517">
        <f t="shared" si="1293"/>
        <v>53616.786105030558</v>
      </c>
      <c r="J1601" s="517">
        <f t="shared" si="1293"/>
        <v>376357.5978614873</v>
      </c>
      <c r="K1601" s="517">
        <f t="shared" si="1293"/>
        <v>53616.786105030558</v>
      </c>
      <c r="L1601" s="517">
        <f t="shared" si="1293"/>
        <v>53616.786105030558</v>
      </c>
      <c r="M1601" s="517">
        <f t="shared" si="1293"/>
        <v>222843.49722437884</v>
      </c>
      <c r="N1601" s="517">
        <f t="shared" si="1293"/>
        <v>53616.786105030558</v>
      </c>
      <c r="O1601" s="517">
        <f t="shared" si="1293"/>
        <v>53616.786105030558</v>
      </c>
      <c r="P1601" s="511">
        <f t="shared" si="1270"/>
        <v>-6.1656610341742635E-6</v>
      </c>
      <c r="Q1601" s="530">
        <v>60034</v>
      </c>
      <c r="R1601" s="480"/>
      <c r="U1601" s="513"/>
    </row>
    <row r="1602" spans="1:21" s="479" customFormat="1" ht="27" x14ac:dyDescent="0.15">
      <c r="A1602" s="579"/>
      <c r="B1602" s="528" t="s">
        <v>407</v>
      </c>
      <c r="C1602" s="517">
        <f>FCISAN!I119</f>
        <v>97853.387040378468</v>
      </c>
      <c r="D1602" s="517">
        <f t="shared" ref="D1602:O1602" si="1294">$C1602*D$24%</f>
        <v>8154.4489199989221</v>
      </c>
      <c r="E1602" s="517">
        <f t="shared" si="1294"/>
        <v>8154.4489199989221</v>
      </c>
      <c r="F1602" s="517">
        <f t="shared" si="1294"/>
        <v>8154.4489199989221</v>
      </c>
      <c r="G1602" s="517">
        <f t="shared" si="1294"/>
        <v>8154.4489199989221</v>
      </c>
      <c r="H1602" s="517">
        <f t="shared" si="1294"/>
        <v>8154.4489199989221</v>
      </c>
      <c r="I1602" s="517">
        <f t="shared" si="1294"/>
        <v>8154.4489199989221</v>
      </c>
      <c r="J1602" s="517">
        <f t="shared" si="1294"/>
        <v>8154.4489199989221</v>
      </c>
      <c r="K1602" s="517">
        <f t="shared" si="1294"/>
        <v>8154.4489199989221</v>
      </c>
      <c r="L1602" s="517">
        <f t="shared" si="1294"/>
        <v>8154.4489199989221</v>
      </c>
      <c r="M1602" s="517">
        <f t="shared" si="1294"/>
        <v>8154.4489199989221</v>
      </c>
      <c r="N1602" s="517">
        <f t="shared" si="1294"/>
        <v>8154.4489199989221</v>
      </c>
      <c r="O1602" s="517">
        <f t="shared" si="1294"/>
        <v>8154.4489199989221</v>
      </c>
      <c r="P1602" s="511">
        <f t="shared" si="1270"/>
        <v>3.9142832974903286E-7</v>
      </c>
      <c r="Q1602" s="530">
        <v>7139</v>
      </c>
      <c r="R1602" s="480"/>
      <c r="U1602" s="513"/>
    </row>
    <row r="1603" spans="1:21" s="479" customFormat="1" ht="27" x14ac:dyDescent="0.15">
      <c r="A1603" s="579"/>
      <c r="B1603" s="528" t="s">
        <v>242</v>
      </c>
      <c r="C1603" s="517">
        <f>ISAN!I119</f>
        <v>488789.14406561101</v>
      </c>
      <c r="D1603" s="517">
        <f t="shared" ref="D1603:O1603" si="1295">$C1603*D$25%</f>
        <v>47037.942652490696</v>
      </c>
      <c r="E1603" s="517">
        <f t="shared" si="1295"/>
        <v>52536.469987605356</v>
      </c>
      <c r="F1603" s="517">
        <f t="shared" si="1295"/>
        <v>40772.939276724799</v>
      </c>
      <c r="G1603" s="517">
        <f t="shared" si="1295"/>
        <v>37841.49340698115</v>
      </c>
      <c r="H1603" s="517">
        <f t="shared" si="1295"/>
        <v>40460.92272869085</v>
      </c>
      <c r="I1603" s="517">
        <f t="shared" si="1295"/>
        <v>35141.542517982722</v>
      </c>
      <c r="J1603" s="517">
        <f t="shared" si="1295"/>
        <v>38070.473284571235</v>
      </c>
      <c r="K1603" s="517">
        <f t="shared" si="1295"/>
        <v>39260.665214870605</v>
      </c>
      <c r="L1603" s="517">
        <f t="shared" si="1295"/>
        <v>38578.757856477481</v>
      </c>
      <c r="M1603" s="517">
        <f t="shared" si="1295"/>
        <v>39524.873084100218</v>
      </c>
      <c r="N1603" s="517">
        <f t="shared" si="1295"/>
        <v>38269.257445876501</v>
      </c>
      <c r="O1603" s="517">
        <f t="shared" si="1295"/>
        <v>41293.806603373931</v>
      </c>
      <c r="P1603" s="511">
        <f t="shared" si="1270"/>
        <v>5.8654259191825986E-6</v>
      </c>
      <c r="Q1603" s="530">
        <v>30678</v>
      </c>
      <c r="R1603" s="480"/>
      <c r="U1603" s="513"/>
    </row>
    <row r="1604" spans="1:21" s="479" customFormat="1" ht="18" x14ac:dyDescent="0.15">
      <c r="A1604" s="579"/>
      <c r="B1604" s="528" t="s">
        <v>403</v>
      </c>
      <c r="C1604" s="517">
        <f>LOT!I119</f>
        <v>23660.813664067817</v>
      </c>
      <c r="D1604" s="517">
        <f t="shared" ref="D1604:O1604" si="1296">$C1604*D$26%</f>
        <v>1789.0033238480166</v>
      </c>
      <c r="E1604" s="517">
        <f t="shared" si="1296"/>
        <v>1763.6453924692366</v>
      </c>
      <c r="F1604" s="517">
        <f t="shared" si="1296"/>
        <v>1733.4469381011772</v>
      </c>
      <c r="G1604" s="517">
        <f t="shared" si="1296"/>
        <v>1907.1787050961577</v>
      </c>
      <c r="H1604" s="517">
        <f t="shared" si="1296"/>
        <v>1560.4193238297971</v>
      </c>
      <c r="I1604" s="517">
        <f t="shared" si="1296"/>
        <v>2117.5685790628613</v>
      </c>
      <c r="J1604" s="517">
        <f t="shared" si="1296"/>
        <v>4859.8176120950766</v>
      </c>
      <c r="K1604" s="517">
        <f t="shared" si="1296"/>
        <v>1769.1479033581438</v>
      </c>
      <c r="L1604" s="517">
        <f t="shared" si="1296"/>
        <v>2146.6412323492909</v>
      </c>
      <c r="M1604" s="517">
        <f t="shared" si="1296"/>
        <v>1329.0650942164484</v>
      </c>
      <c r="N1604" s="517">
        <f t="shared" si="1296"/>
        <v>1342.4397796788408</v>
      </c>
      <c r="O1604" s="517">
        <f t="shared" si="1296"/>
        <v>1342.4397796788408</v>
      </c>
      <c r="P1604" s="511">
        <f t="shared" si="1270"/>
        <v>2.8392923923092894E-7</v>
      </c>
      <c r="Q1604" s="530">
        <v>1498</v>
      </c>
      <c r="R1604" s="480"/>
      <c r="U1604" s="513"/>
    </row>
    <row r="1605" spans="1:21" s="479" customFormat="1" ht="45" x14ac:dyDescent="0.15">
      <c r="A1605" s="579"/>
      <c r="B1605" s="518" t="s">
        <v>301</v>
      </c>
      <c r="C1605" s="517">
        <f>'ENAJENAC DE INMUE'!I119</f>
        <v>93037.127840960282</v>
      </c>
      <c r="D1605" s="517">
        <f t="shared" ref="D1605:O1605" si="1297">$C1605*D$27%</f>
        <v>4017.8751336275527</v>
      </c>
      <c r="E1605" s="517">
        <f t="shared" si="1297"/>
        <v>4077.0544088209936</v>
      </c>
      <c r="F1605" s="517">
        <f t="shared" si="1297"/>
        <v>4022.0902627631353</v>
      </c>
      <c r="G1605" s="517">
        <f t="shared" si="1297"/>
        <v>3998.5299783414139</v>
      </c>
      <c r="H1605" s="517">
        <f t="shared" si="1297"/>
        <v>5546.7247024735061</v>
      </c>
      <c r="I1605" s="517">
        <f t="shared" si="1297"/>
        <v>3992.4081353294791</v>
      </c>
      <c r="J1605" s="517">
        <f t="shared" si="1297"/>
        <v>4588.3908416691102</v>
      </c>
      <c r="K1605" s="517">
        <f t="shared" si="1297"/>
        <v>4583.6678392271788</v>
      </c>
      <c r="L1605" s="517">
        <f t="shared" si="1297"/>
        <v>4577.8612278680948</v>
      </c>
      <c r="M1605" s="517">
        <f t="shared" si="1297"/>
        <v>3997.8754347941372</v>
      </c>
      <c r="N1605" s="517">
        <f t="shared" si="1297"/>
        <v>16621.695839249496</v>
      </c>
      <c r="O1605" s="517">
        <f t="shared" si="1297"/>
        <v>33012.954036610114</v>
      </c>
      <c r="P1605" s="511">
        <f t="shared" si="1270"/>
        <v>1.8607534002512693E-7</v>
      </c>
      <c r="Q1605" s="530">
        <v>21868</v>
      </c>
      <c r="R1605" s="480"/>
      <c r="U1605" s="513"/>
    </row>
    <row r="1606" spans="1:21" s="479" customFormat="1" ht="27" x14ac:dyDescent="0.15">
      <c r="A1606" s="579"/>
      <c r="B1606" s="518" t="s">
        <v>248</v>
      </c>
      <c r="C1606" s="517">
        <f>'IMP BEBIDAS AL'!I119</f>
        <v>36363.826055580743</v>
      </c>
      <c r="D1606" s="517">
        <f t="shared" ref="D1606:O1606" si="1298">$C1606*D$28%</f>
        <v>8268.7920582956613</v>
      </c>
      <c r="E1606" s="517">
        <f t="shared" si="1298"/>
        <v>2844.1641859192218</v>
      </c>
      <c r="F1606" s="517">
        <f t="shared" si="1298"/>
        <v>3056.4897706595352</v>
      </c>
      <c r="G1606" s="517">
        <f t="shared" si="1298"/>
        <v>3034.5482482183147</v>
      </c>
      <c r="H1606" s="517">
        <f t="shared" si="1298"/>
        <v>1932.4149475298389</v>
      </c>
      <c r="I1606" s="517">
        <f t="shared" si="1298"/>
        <v>3162.4001702591067</v>
      </c>
      <c r="J1606" s="517">
        <f t="shared" si="1298"/>
        <v>3144.5994875210408</v>
      </c>
      <c r="K1606" s="517">
        <f t="shared" si="1298"/>
        <v>2875.9656750128847</v>
      </c>
      <c r="L1606" s="517">
        <f t="shared" si="1298"/>
        <v>2085.7312356962634</v>
      </c>
      <c r="M1606" s="517">
        <f t="shared" si="1298"/>
        <v>1938.8719404152969</v>
      </c>
      <c r="N1606" s="517">
        <f t="shared" si="1298"/>
        <v>1952.5770676412376</v>
      </c>
      <c r="O1606" s="517">
        <f t="shared" si="1298"/>
        <v>2067.271268412343</v>
      </c>
      <c r="P1606" s="511">
        <f t="shared" si="1270"/>
        <v>0</v>
      </c>
      <c r="Q1606" s="530">
        <v>936</v>
      </c>
      <c r="R1606" s="480"/>
      <c r="U1606" s="513"/>
    </row>
    <row r="1607" spans="1:21" s="479" customFormat="1" ht="18" x14ac:dyDescent="0.15">
      <c r="A1607" s="579"/>
      <c r="B1607" s="518" t="s">
        <v>253</v>
      </c>
      <c r="C1607" s="517">
        <f>'FOND GASO Y D'!Q120</f>
        <v>0</v>
      </c>
      <c r="D1607" s="517">
        <f t="shared" ref="D1607:O1607" si="1299">$C1607*D$29%</f>
        <v>0</v>
      </c>
      <c r="E1607" s="517">
        <f t="shared" si="1299"/>
        <v>0</v>
      </c>
      <c r="F1607" s="517">
        <f t="shared" si="1299"/>
        <v>0</v>
      </c>
      <c r="G1607" s="517">
        <f t="shared" si="1299"/>
        <v>0</v>
      </c>
      <c r="H1607" s="517">
        <f t="shared" si="1299"/>
        <v>0</v>
      </c>
      <c r="I1607" s="517">
        <f t="shared" si="1299"/>
        <v>0</v>
      </c>
      <c r="J1607" s="517">
        <f t="shared" si="1299"/>
        <v>0</v>
      </c>
      <c r="K1607" s="517">
        <f t="shared" si="1299"/>
        <v>0</v>
      </c>
      <c r="L1607" s="517">
        <f t="shared" si="1299"/>
        <v>0</v>
      </c>
      <c r="M1607" s="517">
        <f t="shared" si="1299"/>
        <v>0</v>
      </c>
      <c r="N1607" s="517">
        <f t="shared" si="1299"/>
        <v>0</v>
      </c>
      <c r="O1607" s="517">
        <f t="shared" si="1299"/>
        <v>0</v>
      </c>
      <c r="P1607" s="511">
        <f t="shared" si="1270"/>
        <v>0</v>
      </c>
      <c r="Q1607" s="530">
        <v>39671</v>
      </c>
      <c r="R1607" s="480"/>
      <c r="U1607" s="513"/>
    </row>
    <row r="1608" spans="1:21" s="479" customFormat="1" ht="18" x14ac:dyDescent="0.15">
      <c r="A1608" s="579"/>
      <c r="B1608" s="528" t="s">
        <v>408</v>
      </c>
      <c r="C1608" s="519">
        <f>'FOND GASO Y D'!H120</f>
        <v>1284906.2953952868</v>
      </c>
      <c r="D1608" s="517">
        <f t="shared" ref="D1608:O1608" si="1300">$C1608*D$30%</f>
        <v>99953.892010290176</v>
      </c>
      <c r="E1608" s="517">
        <f t="shared" si="1300"/>
        <v>109897.02941878056</v>
      </c>
      <c r="F1608" s="517">
        <f t="shared" si="1300"/>
        <v>106996.09711041032</v>
      </c>
      <c r="G1608" s="517">
        <f t="shared" si="1300"/>
        <v>99698.07095221091</v>
      </c>
      <c r="H1608" s="517">
        <f t="shared" si="1300"/>
        <v>109853.02385674749</v>
      </c>
      <c r="I1608" s="517">
        <f t="shared" si="1300"/>
        <v>106021.22118054186</v>
      </c>
      <c r="J1608" s="517">
        <f t="shared" si="1300"/>
        <v>108231.6164210696</v>
      </c>
      <c r="K1608" s="517">
        <f t="shared" si="1300"/>
        <v>108167.30192437508</v>
      </c>
      <c r="L1608" s="517">
        <f t="shared" si="1300"/>
        <v>112561.01152761285</v>
      </c>
      <c r="M1608" s="517">
        <f t="shared" si="1300"/>
        <v>111572.59630882669</v>
      </c>
      <c r="N1608" s="517">
        <f t="shared" si="1300"/>
        <v>104274.57015062729</v>
      </c>
      <c r="O1608" s="517">
        <f t="shared" si="1300"/>
        <v>107679.86453507887</v>
      </c>
      <c r="P1608" s="511">
        <f t="shared" si="1270"/>
        <v>-1.2848759070038795E-6</v>
      </c>
      <c r="Q1608" s="530">
        <v>78525</v>
      </c>
      <c r="R1608" s="480"/>
      <c r="U1608" s="513"/>
    </row>
    <row r="1609" spans="1:21" s="479" customFormat="1" x14ac:dyDescent="0.15">
      <c r="A1609" s="579"/>
      <c r="B1609" s="534"/>
      <c r="C1609" s="521"/>
      <c r="D1609" s="522"/>
      <c r="E1609" s="522"/>
      <c r="F1609" s="522"/>
      <c r="G1609" s="522"/>
      <c r="H1609" s="522"/>
      <c r="I1609" s="522"/>
      <c r="J1609" s="522"/>
      <c r="K1609" s="522"/>
      <c r="L1609" s="522"/>
      <c r="M1609" s="522"/>
      <c r="N1609" s="522"/>
      <c r="O1609" s="522"/>
      <c r="P1609" s="511">
        <f t="shared" si="1270"/>
        <v>0</v>
      </c>
      <c r="Q1609" s="530">
        <v>0</v>
      </c>
      <c r="R1609" s="480"/>
      <c r="T1609" s="537"/>
      <c r="U1609" s="513"/>
    </row>
    <row r="1610" spans="1:21" s="479" customFormat="1" x14ac:dyDescent="0.15">
      <c r="A1610" s="591"/>
      <c r="B1610" s="532"/>
      <c r="C1610" s="521"/>
      <c r="D1610" s="521"/>
      <c r="E1610" s="521"/>
      <c r="F1610" s="521"/>
      <c r="G1610" s="521"/>
      <c r="H1610" s="521"/>
      <c r="I1610" s="521"/>
      <c r="J1610" s="521"/>
      <c r="K1610" s="521"/>
      <c r="L1610" s="521"/>
      <c r="M1610" s="521"/>
      <c r="N1610" s="521"/>
      <c r="O1610" s="521"/>
      <c r="P1610" s="511">
        <f t="shared" si="1270"/>
        <v>0</v>
      </c>
      <c r="Q1610" s="530">
        <v>0</v>
      </c>
      <c r="R1610" s="480"/>
      <c r="T1610" s="532"/>
      <c r="U1610" s="513"/>
    </row>
    <row r="1611" spans="1:21" s="479" customFormat="1" x14ac:dyDescent="0.15">
      <c r="A1611" s="584">
        <v>106</v>
      </c>
      <c r="B1611" s="533" t="s">
        <v>145</v>
      </c>
      <c r="C1611" s="524">
        <f t="shared" ref="C1611:O1611" si="1301">SUM(C1612:C1623)</f>
        <v>67374801.803261042</v>
      </c>
      <c r="D1611" s="524">
        <f t="shared" si="1301"/>
        <v>5271695.6927162986</v>
      </c>
      <c r="E1611" s="524">
        <f t="shared" si="1301"/>
        <v>7051223.592120355</v>
      </c>
      <c r="F1611" s="524">
        <f t="shared" si="1301"/>
        <v>4723292.2386600934</v>
      </c>
      <c r="G1611" s="524">
        <f t="shared" si="1301"/>
        <v>5971197.5793025512</v>
      </c>
      <c r="H1611" s="524">
        <f t="shared" si="1301"/>
        <v>6748406.2808463499</v>
      </c>
      <c r="I1611" s="524">
        <f t="shared" si="1301"/>
        <v>6620553.7374035018</v>
      </c>
      <c r="J1611" s="524">
        <f t="shared" si="1301"/>
        <v>5745607.4321114467</v>
      </c>
      <c r="K1611" s="524">
        <f t="shared" si="1301"/>
        <v>5591282.4356574295</v>
      </c>
      <c r="L1611" s="524">
        <f t="shared" si="1301"/>
        <v>5301643.6642086832</v>
      </c>
      <c r="M1611" s="524">
        <f t="shared" si="1301"/>
        <v>3985604.4880581424</v>
      </c>
      <c r="N1611" s="524">
        <f t="shared" si="1301"/>
        <v>5152775.8579843203</v>
      </c>
      <c r="O1611" s="524">
        <f t="shared" si="1301"/>
        <v>5211518.8040000796</v>
      </c>
      <c r="P1611" s="511">
        <f t="shared" si="1270"/>
        <v>1.9179191440343857E-4</v>
      </c>
      <c r="Q1611" s="530">
        <v>3947900</v>
      </c>
      <c r="R1611" s="480"/>
      <c r="T1611" s="512"/>
      <c r="U1611" s="513"/>
    </row>
    <row r="1612" spans="1:21" s="479" customFormat="1" x14ac:dyDescent="0.15">
      <c r="A1612" s="579"/>
      <c r="B1612" s="527" t="s">
        <v>294</v>
      </c>
      <c r="C1612" s="515">
        <f>'FG1'!I121</f>
        <v>45339754.460194029</v>
      </c>
      <c r="D1612" s="515">
        <f t="shared" ref="D1612:O1612" si="1302">$C1612*D$19%</f>
        <v>3429258.6626053643</v>
      </c>
      <c r="E1612" s="515">
        <f t="shared" si="1302"/>
        <v>4913269.347540929</v>
      </c>
      <c r="F1612" s="515">
        <f t="shared" si="1302"/>
        <v>3175916.4612501743</v>
      </c>
      <c r="G1612" s="515">
        <f t="shared" si="1302"/>
        <v>3901291.5890009627</v>
      </c>
      <c r="H1612" s="515">
        <f t="shared" si="1302"/>
        <v>4764329.4733705288</v>
      </c>
      <c r="I1612" s="515">
        <f t="shared" si="1302"/>
        <v>4670724.3854638264</v>
      </c>
      <c r="J1612" s="515">
        <f t="shared" si="1302"/>
        <v>3620762.3313990738</v>
      </c>
      <c r="K1612" s="515">
        <f t="shared" si="1302"/>
        <v>3844289.1132136639</v>
      </c>
      <c r="L1612" s="515">
        <f t="shared" si="1302"/>
        <v>3612678.2568966816</v>
      </c>
      <c r="M1612" s="515">
        <f t="shared" si="1302"/>
        <v>2394928.0443934356</v>
      </c>
      <c r="N1612" s="515">
        <f t="shared" si="1302"/>
        <v>3495275.4098718246</v>
      </c>
      <c r="O1612" s="515">
        <f t="shared" si="1302"/>
        <v>3517031.3851422258</v>
      </c>
      <c r="P1612" s="511">
        <f t="shared" si="1270"/>
        <v>4.5334454625844955E-5</v>
      </c>
      <c r="Q1612" s="530">
        <v>2722874</v>
      </c>
      <c r="R1612" s="480"/>
      <c r="U1612" s="513"/>
    </row>
    <row r="1613" spans="1:21" s="479" customFormat="1" x14ac:dyDescent="0.15">
      <c r="A1613" s="579"/>
      <c r="B1613" s="528" t="s">
        <v>296</v>
      </c>
      <c r="C1613" s="517">
        <f>FFM!J121</f>
        <v>12187139.906544134</v>
      </c>
      <c r="D1613" s="517">
        <f t="shared" ref="D1613:O1613" si="1303">$C1613*D$20%</f>
        <v>921629.78662094555</v>
      </c>
      <c r="E1613" s="517">
        <f t="shared" si="1303"/>
        <v>1321306.0460922981</v>
      </c>
      <c r="F1613" s="517">
        <f t="shared" si="1303"/>
        <v>853399.2419909077</v>
      </c>
      <c r="G1613" s="517">
        <f t="shared" si="1303"/>
        <v>1048758.4933427658</v>
      </c>
      <c r="H1613" s="517">
        <f t="shared" si="1303"/>
        <v>1281193.3114630645</v>
      </c>
      <c r="I1613" s="517">
        <f t="shared" si="1303"/>
        <v>1255983.4276780067</v>
      </c>
      <c r="J1613" s="517">
        <f t="shared" si="1303"/>
        <v>973120.55314812751</v>
      </c>
      <c r="K1613" s="517">
        <f t="shared" si="1303"/>
        <v>1033321.1631933516</v>
      </c>
      <c r="L1613" s="517">
        <f t="shared" si="1303"/>
        <v>970943.33137725503</v>
      </c>
      <c r="M1613" s="517">
        <f t="shared" si="1303"/>
        <v>642976.79034115723</v>
      </c>
      <c r="N1613" s="517">
        <f t="shared" si="1303"/>
        <v>939324.20156370685</v>
      </c>
      <c r="O1613" s="517">
        <f t="shared" si="1303"/>
        <v>945183.55958630203</v>
      </c>
      <c r="P1613" s="511">
        <f t="shared" si="1270"/>
        <v>1.462477957829833E-4</v>
      </c>
      <c r="Q1613" s="530">
        <v>833655</v>
      </c>
      <c r="R1613" s="480"/>
      <c r="U1613" s="513"/>
    </row>
    <row r="1614" spans="1:21" s="479" customFormat="1" ht="18" x14ac:dyDescent="0.15">
      <c r="A1614" s="579"/>
      <c r="B1614" s="528" t="s">
        <v>297</v>
      </c>
      <c r="C1614" s="517">
        <f>IEPS!I120</f>
        <v>1096496.6496403962</v>
      </c>
      <c r="D1614" s="517">
        <f t="shared" ref="D1614:O1614" si="1304">$C1614*D$21%</f>
        <v>77017.728316700392</v>
      </c>
      <c r="E1614" s="517">
        <f t="shared" si="1304"/>
        <v>176039.93593887798</v>
      </c>
      <c r="F1614" s="517">
        <f t="shared" si="1304"/>
        <v>73119.915074868841</v>
      </c>
      <c r="G1614" s="517">
        <f t="shared" si="1304"/>
        <v>71062.318345268592</v>
      </c>
      <c r="H1614" s="517">
        <f t="shared" si="1304"/>
        <v>78456.708778155109</v>
      </c>
      <c r="I1614" s="517">
        <f t="shared" si="1304"/>
        <v>81361.170084287252</v>
      </c>
      <c r="J1614" s="517">
        <f t="shared" si="1304"/>
        <v>83786.964847142677</v>
      </c>
      <c r="K1614" s="517">
        <f t="shared" si="1304"/>
        <v>92811.427481283128</v>
      </c>
      <c r="L1614" s="517">
        <f t="shared" si="1304"/>
        <v>93005.909629293426</v>
      </c>
      <c r="M1614" s="517">
        <f t="shared" si="1304"/>
        <v>91972.218350497918</v>
      </c>
      <c r="N1614" s="517">
        <f t="shared" si="1304"/>
        <v>88998.676003236775</v>
      </c>
      <c r="O1614" s="517">
        <f t="shared" si="1304"/>
        <v>88863.676789687597</v>
      </c>
      <c r="P1614" s="511">
        <f t="shared" si="1270"/>
        <v>1.0963849490508437E-6</v>
      </c>
      <c r="Q1614" s="530">
        <v>70320</v>
      </c>
      <c r="R1614" s="480"/>
      <c r="U1614" s="513"/>
    </row>
    <row r="1615" spans="1:21" s="479" customFormat="1" x14ac:dyDescent="0.15">
      <c r="A1615" s="579"/>
      <c r="B1615" s="528" t="s">
        <v>236</v>
      </c>
      <c r="C1615" s="517">
        <f>ISR!C111</f>
        <v>3955200</v>
      </c>
      <c r="D1615" s="517">
        <f>ISR!D111</f>
        <v>329599.99999999988</v>
      </c>
      <c r="E1615" s="517">
        <f>ISR!E111</f>
        <v>329599.99999999988</v>
      </c>
      <c r="F1615" s="517">
        <f>ISR!F111</f>
        <v>329599.99999999988</v>
      </c>
      <c r="G1615" s="517">
        <f>ISR!G111</f>
        <v>329599.99999999988</v>
      </c>
      <c r="H1615" s="517">
        <f>ISR!H111</f>
        <v>329599.99999999988</v>
      </c>
      <c r="I1615" s="517">
        <f>ISR!I111</f>
        <v>329599.99999999988</v>
      </c>
      <c r="J1615" s="517">
        <f>ISR!J111</f>
        <v>329599.99999999988</v>
      </c>
      <c r="K1615" s="517">
        <f>ISR!K111</f>
        <v>329599.99999999988</v>
      </c>
      <c r="L1615" s="517">
        <f>ISR!L111</f>
        <v>329599.99999999988</v>
      </c>
      <c r="M1615" s="517">
        <f>ISR!M111</f>
        <v>329599.99999999988</v>
      </c>
      <c r="N1615" s="517">
        <f>ISR!N111</f>
        <v>329599.99999999988</v>
      </c>
      <c r="O1615" s="517">
        <f>ISR!O111</f>
        <v>329599.99999999988</v>
      </c>
      <c r="P1615" s="511">
        <f t="shared" si="1270"/>
        <v>4.6566128730773926E-10</v>
      </c>
      <c r="Q1615" s="530">
        <v>0</v>
      </c>
      <c r="R1615" s="480"/>
      <c r="U1615" s="513"/>
    </row>
    <row r="1616" spans="1:21" s="479" customFormat="1" ht="18" x14ac:dyDescent="0.15">
      <c r="A1616" s="579"/>
      <c r="B1616" s="528" t="s">
        <v>298</v>
      </c>
      <c r="C1616" s="517">
        <f>FOFIR!I120</f>
        <v>2120619.123809326</v>
      </c>
      <c r="D1616" s="517">
        <f t="shared" ref="D1616:O1616" si="1305">$C1616*D$23%</f>
        <v>289921.49446286168</v>
      </c>
      <c r="E1616" s="517">
        <f t="shared" si="1305"/>
        <v>73762.062274522832</v>
      </c>
      <c r="F1616" s="517">
        <f t="shared" si="1305"/>
        <v>73762.062274522832</v>
      </c>
      <c r="G1616" s="517">
        <f t="shared" si="1305"/>
        <v>416263.98412974708</v>
      </c>
      <c r="H1616" s="517">
        <f t="shared" si="1305"/>
        <v>73762.062274522832</v>
      </c>
      <c r="I1616" s="517">
        <f t="shared" si="1305"/>
        <v>73762.062274522832</v>
      </c>
      <c r="J1616" s="517">
        <f t="shared" si="1305"/>
        <v>517765.32290778612</v>
      </c>
      <c r="K1616" s="517">
        <f t="shared" si="1305"/>
        <v>73762.062274522832</v>
      </c>
      <c r="L1616" s="517">
        <f t="shared" si="1305"/>
        <v>73762.062274522832</v>
      </c>
      <c r="M1616" s="517">
        <f t="shared" si="1305"/>
        <v>306571.82412123092</v>
      </c>
      <c r="N1616" s="517">
        <f t="shared" si="1305"/>
        <v>73762.062274522832</v>
      </c>
      <c r="O1616" s="517">
        <f t="shared" si="1305"/>
        <v>73762.062274522832</v>
      </c>
      <c r="P1616" s="511">
        <f t="shared" si="1270"/>
        <v>-8.482631528750062E-6</v>
      </c>
      <c r="Q1616" s="530">
        <v>82828</v>
      </c>
      <c r="R1616" s="480"/>
      <c r="U1616" s="513"/>
    </row>
    <row r="1617" spans="1:21" s="479" customFormat="1" ht="27" x14ac:dyDescent="0.15">
      <c r="A1617" s="579"/>
      <c r="B1617" s="528" t="s">
        <v>407</v>
      </c>
      <c r="C1617" s="517">
        <f>FCISAN!I120</f>
        <v>134619.55020030879</v>
      </c>
      <c r="D1617" s="517">
        <f t="shared" ref="D1617:O1617" si="1306">$C1617*D$24%</f>
        <v>11218.295849980861</v>
      </c>
      <c r="E1617" s="517">
        <f t="shared" si="1306"/>
        <v>11218.295849980861</v>
      </c>
      <c r="F1617" s="517">
        <f t="shared" si="1306"/>
        <v>11218.295849980861</v>
      </c>
      <c r="G1617" s="517">
        <f t="shared" si="1306"/>
        <v>11218.295849980861</v>
      </c>
      <c r="H1617" s="517">
        <f t="shared" si="1306"/>
        <v>11218.295849980861</v>
      </c>
      <c r="I1617" s="517">
        <f t="shared" si="1306"/>
        <v>11218.295849980861</v>
      </c>
      <c r="J1617" s="517">
        <f t="shared" si="1306"/>
        <v>11218.295849980861</v>
      </c>
      <c r="K1617" s="517">
        <f t="shared" si="1306"/>
        <v>11218.295849980861</v>
      </c>
      <c r="L1617" s="517">
        <f t="shared" si="1306"/>
        <v>11218.295849980861</v>
      </c>
      <c r="M1617" s="517">
        <f t="shared" si="1306"/>
        <v>11218.295849980861</v>
      </c>
      <c r="N1617" s="517">
        <f t="shared" si="1306"/>
        <v>11218.295849980861</v>
      </c>
      <c r="O1617" s="517">
        <f t="shared" si="1306"/>
        <v>11218.295849980861</v>
      </c>
      <c r="P1617" s="511">
        <f t="shared" si="1270"/>
        <v>5.3847543313167989E-7</v>
      </c>
      <c r="Q1617" s="530">
        <v>9854</v>
      </c>
      <c r="R1617" s="480"/>
      <c r="U1617" s="513"/>
    </row>
    <row r="1618" spans="1:21" s="479" customFormat="1" ht="27" x14ac:dyDescent="0.15">
      <c r="A1618" s="579"/>
      <c r="B1618" s="528" t="s">
        <v>242</v>
      </c>
      <c r="C1618" s="517">
        <f>ISAN!I120</f>
        <v>672440.44081738696</v>
      </c>
      <c r="D1618" s="517">
        <f t="shared" ref="D1618:O1618" si="1307">$C1618*D$25%</f>
        <v>64711.369465558404</v>
      </c>
      <c r="E1618" s="517">
        <f t="shared" si="1307"/>
        <v>72275.842183419431</v>
      </c>
      <c r="F1618" s="517">
        <f t="shared" si="1307"/>
        <v>56092.434935463898</v>
      </c>
      <c r="G1618" s="517">
        <f t="shared" si="1307"/>
        <v>52059.565595349981</v>
      </c>
      <c r="H1618" s="517">
        <f t="shared" si="1307"/>
        <v>55663.185334384158</v>
      </c>
      <c r="I1618" s="517">
        <f t="shared" si="1307"/>
        <v>48345.170159145906</v>
      </c>
      <c r="J1618" s="517">
        <f t="shared" si="1307"/>
        <v>52374.579403848802</v>
      </c>
      <c r="K1618" s="517">
        <f t="shared" si="1307"/>
        <v>54011.95862142073</v>
      </c>
      <c r="L1618" s="517">
        <f t="shared" si="1307"/>
        <v>53073.840231841808</v>
      </c>
      <c r="M1618" s="517">
        <f t="shared" si="1307"/>
        <v>54375.436530472529</v>
      </c>
      <c r="N1618" s="517">
        <f t="shared" si="1307"/>
        <v>52648.052149057083</v>
      </c>
      <c r="O1618" s="517">
        <f t="shared" si="1307"/>
        <v>56809.006199354946</v>
      </c>
      <c r="P1618" s="511">
        <f t="shared" si="1270"/>
        <v>8.0693134805187583E-6</v>
      </c>
      <c r="Q1618" s="530">
        <v>42327</v>
      </c>
      <c r="R1618" s="480"/>
      <c r="U1618" s="513"/>
    </row>
    <row r="1619" spans="1:21" s="479" customFormat="1" ht="18" x14ac:dyDescent="0.15">
      <c r="A1619" s="579"/>
      <c r="B1619" s="528" t="s">
        <v>403</v>
      </c>
      <c r="C1619" s="517">
        <f>LOT!I120</f>
        <v>32550.821071893784</v>
      </c>
      <c r="D1619" s="517">
        <f t="shared" ref="D1619:O1619" si="1308">$C1619*D$26%</f>
        <v>2461.1802416598894</v>
      </c>
      <c r="E1619" s="517">
        <f t="shared" si="1308"/>
        <v>2426.2946498631227</v>
      </c>
      <c r="F1619" s="517">
        <f t="shared" si="1308"/>
        <v>2384.7498197174355</v>
      </c>
      <c r="G1619" s="517">
        <f t="shared" si="1308"/>
        <v>2623.7573087348405</v>
      </c>
      <c r="H1619" s="517">
        <f t="shared" si="1308"/>
        <v>2146.7110526399701</v>
      </c>
      <c r="I1619" s="517">
        <f t="shared" si="1308"/>
        <v>2913.196346633551</v>
      </c>
      <c r="J1619" s="517">
        <f t="shared" si="1308"/>
        <v>6685.7824831941307</v>
      </c>
      <c r="K1619" s="517">
        <f t="shared" si="1308"/>
        <v>2433.864602863639</v>
      </c>
      <c r="L1619" s="517">
        <f t="shared" si="1308"/>
        <v>2953.1923817931079</v>
      </c>
      <c r="M1619" s="517">
        <f t="shared" si="1308"/>
        <v>1828.4307838677069</v>
      </c>
      <c r="N1619" s="517">
        <f t="shared" si="1308"/>
        <v>1846.8307002678912</v>
      </c>
      <c r="O1619" s="517">
        <f t="shared" si="1308"/>
        <v>1846.8307002678912</v>
      </c>
      <c r="P1619" s="511">
        <f t="shared" si="1270"/>
        <v>3.9061342249624431E-7</v>
      </c>
      <c r="Q1619" s="530">
        <v>2067</v>
      </c>
      <c r="R1619" s="480"/>
      <c r="U1619" s="513"/>
    </row>
    <row r="1620" spans="1:21" s="479" customFormat="1" ht="45" x14ac:dyDescent="0.15">
      <c r="A1620" s="579"/>
      <c r="B1620" s="518" t="s">
        <v>301</v>
      </c>
      <c r="C1620" s="517">
        <f>'ENAJENAC DE INMUE'!I120</f>
        <v>127993.69220311721</v>
      </c>
      <c r="D1620" s="517">
        <f t="shared" ref="D1620:O1620" si="1309">$C1620*D$27%</f>
        <v>5527.499452080845</v>
      </c>
      <c r="E1620" s="517">
        <f t="shared" si="1309"/>
        <v>5608.9139809865619</v>
      </c>
      <c r="F1620" s="517">
        <f t="shared" si="1309"/>
        <v>5533.298319196545</v>
      </c>
      <c r="G1620" s="517">
        <f t="shared" si="1309"/>
        <v>5500.885798921342</v>
      </c>
      <c r="H1620" s="517">
        <f t="shared" si="1309"/>
        <v>7630.7791392423223</v>
      </c>
      <c r="I1620" s="517">
        <f t="shared" si="1309"/>
        <v>5492.4638139743774</v>
      </c>
      <c r="J1620" s="517">
        <f t="shared" si="1309"/>
        <v>6312.3733365900562</v>
      </c>
      <c r="K1620" s="517">
        <f t="shared" si="1309"/>
        <v>6305.8757744355089</v>
      </c>
      <c r="L1620" s="517">
        <f t="shared" si="1309"/>
        <v>6297.8874621962468</v>
      </c>
      <c r="M1620" s="517">
        <f t="shared" si="1309"/>
        <v>5499.9853256665483</v>
      </c>
      <c r="N1620" s="517">
        <f t="shared" si="1309"/>
        <v>22866.916364609642</v>
      </c>
      <c r="O1620" s="517">
        <f t="shared" si="1309"/>
        <v>45416.81343496123</v>
      </c>
      <c r="P1620" s="511">
        <f t="shared" si="1270"/>
        <v>2.5599001673981547E-7</v>
      </c>
      <c r="Q1620" s="530">
        <v>30168</v>
      </c>
      <c r="R1620" s="480"/>
      <c r="U1620" s="513"/>
    </row>
    <row r="1621" spans="1:21" s="479" customFormat="1" ht="27" x14ac:dyDescent="0.15">
      <c r="A1621" s="579"/>
      <c r="B1621" s="518" t="s">
        <v>248</v>
      </c>
      <c r="C1621" s="517">
        <f>'IMP BEBIDAS AL'!I120</f>
        <v>50026.698668535078</v>
      </c>
      <c r="D1621" s="517">
        <f t="shared" ref="D1621:O1621" si="1310">$C1621*D$28%</f>
        <v>11375.600796815732</v>
      </c>
      <c r="E1621" s="517">
        <f t="shared" si="1310"/>
        <v>3912.7935678535123</v>
      </c>
      <c r="F1621" s="517">
        <f t="shared" si="1310"/>
        <v>4204.8956153990293</v>
      </c>
      <c r="G1621" s="517">
        <f t="shared" si="1310"/>
        <v>4174.7100697466531</v>
      </c>
      <c r="H1621" s="517">
        <f t="shared" si="1310"/>
        <v>2658.4754897597472</v>
      </c>
      <c r="I1621" s="517">
        <f t="shared" si="1310"/>
        <v>4350.5994156133847</v>
      </c>
      <c r="J1621" s="517">
        <f t="shared" si="1310"/>
        <v>4326.1105350959633</v>
      </c>
      <c r="K1621" s="517">
        <f t="shared" si="1310"/>
        <v>3956.5437362122466</v>
      </c>
      <c r="L1621" s="517">
        <f t="shared" si="1310"/>
        <v>2869.3968525821538</v>
      </c>
      <c r="M1621" s="517">
        <f t="shared" si="1310"/>
        <v>2667.3585494491194</v>
      </c>
      <c r="N1621" s="517">
        <f t="shared" si="1310"/>
        <v>2686.2130635175272</v>
      </c>
      <c r="O1621" s="517">
        <f t="shared" si="1310"/>
        <v>2844.0009764900124</v>
      </c>
      <c r="P1621" s="511">
        <f t="shared" si="1270"/>
        <v>0</v>
      </c>
      <c r="Q1621" s="530">
        <v>1292</v>
      </c>
      <c r="R1621" s="480"/>
      <c r="U1621" s="513"/>
    </row>
    <row r="1622" spans="1:21" s="479" customFormat="1" ht="18" x14ac:dyDescent="0.15">
      <c r="A1622" s="579"/>
      <c r="B1622" s="518" t="s">
        <v>253</v>
      </c>
      <c r="C1622" s="517">
        <f>'FOND GASO Y D'!Q121</f>
        <v>0</v>
      </c>
      <c r="D1622" s="517">
        <f t="shared" ref="D1622:O1622" si="1311">$C1622*D$29%</f>
        <v>0</v>
      </c>
      <c r="E1622" s="517">
        <f t="shared" si="1311"/>
        <v>0</v>
      </c>
      <c r="F1622" s="517">
        <f t="shared" si="1311"/>
        <v>0</v>
      </c>
      <c r="G1622" s="517">
        <f t="shared" si="1311"/>
        <v>0</v>
      </c>
      <c r="H1622" s="517">
        <f t="shared" si="1311"/>
        <v>0</v>
      </c>
      <c r="I1622" s="517">
        <f t="shared" si="1311"/>
        <v>0</v>
      </c>
      <c r="J1622" s="517">
        <f t="shared" si="1311"/>
        <v>0</v>
      </c>
      <c r="K1622" s="517">
        <f t="shared" si="1311"/>
        <v>0</v>
      </c>
      <c r="L1622" s="517">
        <f t="shared" si="1311"/>
        <v>0</v>
      </c>
      <c r="M1622" s="517">
        <f t="shared" si="1311"/>
        <v>0</v>
      </c>
      <c r="N1622" s="517">
        <f t="shared" si="1311"/>
        <v>0</v>
      </c>
      <c r="O1622" s="517">
        <f t="shared" si="1311"/>
        <v>0</v>
      </c>
      <c r="P1622" s="511">
        <f t="shared" si="1270"/>
        <v>0</v>
      </c>
      <c r="Q1622" s="530">
        <v>51190</v>
      </c>
      <c r="R1622" s="480"/>
      <c r="U1622" s="513"/>
    </row>
    <row r="1623" spans="1:21" s="479" customFormat="1" ht="18" x14ac:dyDescent="0.15">
      <c r="A1623" s="579"/>
      <c r="B1623" s="528" t="s">
        <v>408</v>
      </c>
      <c r="C1623" s="519">
        <f>'FOND GASO Y D'!H121</f>
        <v>1657960.4601119189</v>
      </c>
      <c r="D1623" s="517">
        <f t="shared" ref="D1623:O1623" si="1312">$C1623*D$30%</f>
        <v>128974.07490433067</v>
      </c>
      <c r="E1623" s="517">
        <f t="shared" si="1312"/>
        <v>141804.06004162444</v>
      </c>
      <c r="F1623" s="517">
        <f t="shared" si="1312"/>
        <v>138060.88352986224</v>
      </c>
      <c r="G1623" s="517">
        <f t="shared" si="1312"/>
        <v>128643.97986107388</v>
      </c>
      <c r="H1623" s="517">
        <f t="shared" si="1312"/>
        <v>141747.27809407131</v>
      </c>
      <c r="I1623" s="517">
        <f t="shared" si="1312"/>
        <v>136802.96631751055</v>
      </c>
      <c r="J1623" s="517">
        <f t="shared" si="1312"/>
        <v>139655.11820060734</v>
      </c>
      <c r="K1623" s="517">
        <f t="shared" si="1312"/>
        <v>139572.13090969465</v>
      </c>
      <c r="L1623" s="517">
        <f t="shared" si="1312"/>
        <v>145241.4912525368</v>
      </c>
      <c r="M1623" s="517">
        <f t="shared" si="1312"/>
        <v>143966.10381238407</v>
      </c>
      <c r="N1623" s="517">
        <f t="shared" si="1312"/>
        <v>134549.20014359572</v>
      </c>
      <c r="O1623" s="517">
        <f t="shared" si="1312"/>
        <v>138943.17304628511</v>
      </c>
      <c r="P1623" s="511">
        <f t="shared" si="1270"/>
        <v>-1.657841494306922E-6</v>
      </c>
      <c r="Q1623" s="530">
        <v>101325</v>
      </c>
      <c r="R1623" s="480"/>
      <c r="T1623" s="537"/>
      <c r="U1623" s="513"/>
    </row>
    <row r="1624" spans="1:21" s="479" customFormat="1" x14ac:dyDescent="0.15">
      <c r="A1624" s="579"/>
      <c r="B1624" s="534"/>
      <c r="C1624" s="521"/>
      <c r="D1624" s="522"/>
      <c r="E1624" s="522"/>
      <c r="F1624" s="522"/>
      <c r="G1624" s="522"/>
      <c r="H1624" s="522"/>
      <c r="I1624" s="522"/>
      <c r="J1624" s="522"/>
      <c r="K1624" s="522"/>
      <c r="L1624" s="522"/>
      <c r="M1624" s="522"/>
      <c r="N1624" s="522"/>
      <c r="O1624" s="522"/>
      <c r="P1624" s="511">
        <f t="shared" si="1270"/>
        <v>0</v>
      </c>
      <c r="Q1624" s="530">
        <v>0</v>
      </c>
      <c r="R1624" s="480"/>
      <c r="T1624" s="537"/>
      <c r="U1624" s="513"/>
    </row>
    <row r="1625" spans="1:21" s="479" customFormat="1" x14ac:dyDescent="0.15">
      <c r="A1625" s="591"/>
      <c r="B1625" s="532"/>
      <c r="C1625" s="521"/>
      <c r="D1625" s="521"/>
      <c r="E1625" s="521"/>
      <c r="F1625" s="521"/>
      <c r="G1625" s="521"/>
      <c r="H1625" s="521"/>
      <c r="I1625" s="521"/>
      <c r="J1625" s="521"/>
      <c r="K1625" s="521"/>
      <c r="L1625" s="521"/>
      <c r="M1625" s="521"/>
      <c r="N1625" s="521"/>
      <c r="O1625" s="521"/>
      <c r="P1625" s="511">
        <f t="shared" si="1270"/>
        <v>0</v>
      </c>
      <c r="Q1625" s="530">
        <v>0</v>
      </c>
      <c r="R1625" s="480"/>
      <c r="T1625" s="532"/>
      <c r="U1625" s="513"/>
    </row>
    <row r="1626" spans="1:21" s="479" customFormat="1" x14ac:dyDescent="0.15">
      <c r="A1626" s="584">
        <v>107</v>
      </c>
      <c r="B1626" s="533" t="s">
        <v>106</v>
      </c>
      <c r="C1626" s="524">
        <f t="shared" ref="C1626:O1626" si="1313">SUM(C1627:C1638)</f>
        <v>125712181.78953892</v>
      </c>
      <c r="D1626" s="524">
        <f t="shared" si="1313"/>
        <v>9937786.8513944987</v>
      </c>
      <c r="E1626" s="524">
        <f t="shared" si="1313"/>
        <v>13161444.707966361</v>
      </c>
      <c r="F1626" s="524">
        <f t="shared" si="1313"/>
        <v>8811307.7682864424</v>
      </c>
      <c r="G1626" s="524">
        <f t="shared" si="1313"/>
        <v>11065152.203948524</v>
      </c>
      <c r="H1626" s="524">
        <f t="shared" si="1313"/>
        <v>12612827.356666319</v>
      </c>
      <c r="I1626" s="524">
        <f t="shared" si="1313"/>
        <v>12363157.736572815</v>
      </c>
      <c r="J1626" s="524">
        <f t="shared" si="1313"/>
        <v>10771694.749518953</v>
      </c>
      <c r="K1626" s="524">
        <f t="shared" si="1313"/>
        <v>10409188.075628571</v>
      </c>
      <c r="L1626" s="524">
        <f t="shared" si="1313"/>
        <v>9871633.0581764299</v>
      </c>
      <c r="M1626" s="524">
        <f t="shared" si="1313"/>
        <v>7396637.9147538226</v>
      </c>
      <c r="N1626" s="524">
        <f t="shared" si="1313"/>
        <v>9600384.4779826887</v>
      </c>
      <c r="O1626" s="524">
        <f t="shared" si="1313"/>
        <v>9710966.8882824965</v>
      </c>
      <c r="P1626" s="511">
        <f t="shared" si="1270"/>
        <v>3.609880805015564E-4</v>
      </c>
      <c r="Q1626" s="530">
        <v>7411906</v>
      </c>
      <c r="R1626" s="480"/>
      <c r="T1626" s="512"/>
      <c r="U1626" s="513"/>
    </row>
    <row r="1627" spans="1:21" s="479" customFormat="1" x14ac:dyDescent="0.15">
      <c r="A1627" s="579"/>
      <c r="B1627" s="527" t="s">
        <v>294</v>
      </c>
      <c r="C1627" s="515">
        <f>'FG1'!I122</f>
        <v>85342059.131001532</v>
      </c>
      <c r="D1627" s="515">
        <f t="shared" ref="D1627:O1627" si="1314">$C1627*D$19%</f>
        <v>6454820.9191672327</v>
      </c>
      <c r="E1627" s="515">
        <f t="shared" si="1314"/>
        <v>9248142.7871980779</v>
      </c>
      <c r="F1627" s="515">
        <f t="shared" si="1314"/>
        <v>5977960.2615424842</v>
      </c>
      <c r="G1627" s="515">
        <f t="shared" si="1314"/>
        <v>7343318.4947683606</v>
      </c>
      <c r="H1627" s="515">
        <f t="shared" si="1314"/>
        <v>8967796.4178860486</v>
      </c>
      <c r="I1627" s="515">
        <f t="shared" si="1314"/>
        <v>8791605.544287255</v>
      </c>
      <c r="J1627" s="515">
        <f t="shared" si="1314"/>
        <v>6815284.2172282105</v>
      </c>
      <c r="K1627" s="515">
        <f t="shared" si="1314"/>
        <v>7236023.9424009873</v>
      </c>
      <c r="L1627" s="515">
        <f t="shared" si="1314"/>
        <v>6800067.7350832019</v>
      </c>
      <c r="M1627" s="515">
        <f t="shared" si="1314"/>
        <v>4507922.3126045084</v>
      </c>
      <c r="N1627" s="515">
        <f t="shared" si="1314"/>
        <v>6579082.8437393429</v>
      </c>
      <c r="O1627" s="515">
        <f t="shared" si="1314"/>
        <v>6620033.6550104814</v>
      </c>
      <c r="P1627" s="511">
        <f t="shared" si="1270"/>
        <v>8.5329636931419373E-5</v>
      </c>
      <c r="Q1627" s="530">
        <v>5111183</v>
      </c>
      <c r="R1627" s="480"/>
      <c r="U1627" s="513"/>
    </row>
    <row r="1628" spans="1:21" s="479" customFormat="1" x14ac:dyDescent="0.15">
      <c r="A1628" s="579"/>
      <c r="B1628" s="528" t="s">
        <v>296</v>
      </c>
      <c r="C1628" s="517">
        <f>FFM!J122</f>
        <v>22939595.216714531</v>
      </c>
      <c r="D1628" s="517">
        <f t="shared" ref="D1628:O1628" si="1315">$C1628*D$20%</f>
        <v>1734764.2192405576</v>
      </c>
      <c r="E1628" s="517">
        <f t="shared" si="1315"/>
        <v>2487066.3738322374</v>
      </c>
      <c r="F1628" s="517">
        <f t="shared" si="1315"/>
        <v>1606335.3107984229</v>
      </c>
      <c r="G1628" s="517">
        <f t="shared" si="1315"/>
        <v>1974055.8902139103</v>
      </c>
      <c r="H1628" s="517">
        <f t="shared" si="1315"/>
        <v>2411563.0233754166</v>
      </c>
      <c r="I1628" s="517">
        <f t="shared" si="1315"/>
        <v>2364110.9932908923</v>
      </c>
      <c r="J1628" s="517">
        <f t="shared" si="1315"/>
        <v>1831684.1980534412</v>
      </c>
      <c r="K1628" s="517">
        <f t="shared" si="1315"/>
        <v>1944998.5307702732</v>
      </c>
      <c r="L1628" s="517">
        <f t="shared" si="1315"/>
        <v>1827586.0596465773</v>
      </c>
      <c r="M1628" s="517">
        <f t="shared" si="1315"/>
        <v>1210261.5886315014</v>
      </c>
      <c r="N1628" s="517">
        <f t="shared" si="1315"/>
        <v>1768070.0415660706</v>
      </c>
      <c r="O1628" s="517">
        <f t="shared" si="1315"/>
        <v>1779098.9870199559</v>
      </c>
      <c r="P1628" s="511">
        <f t="shared" si="1270"/>
        <v>2.7527636848390102E-4</v>
      </c>
      <c r="Q1628" s="530">
        <v>1564877</v>
      </c>
      <c r="R1628" s="480"/>
      <c r="U1628" s="513"/>
    </row>
    <row r="1629" spans="1:21" s="479" customFormat="1" ht="18" x14ac:dyDescent="0.15">
      <c r="A1629" s="579"/>
      <c r="B1629" s="528" t="s">
        <v>297</v>
      </c>
      <c r="C1629" s="517">
        <f>IEPS!I121</f>
        <v>2063912.4103045552</v>
      </c>
      <c r="D1629" s="517">
        <f t="shared" ref="D1629:O1629" si="1316">$C1629*D$21%</f>
        <v>144968.83810674099</v>
      </c>
      <c r="E1629" s="517">
        <f t="shared" si="1316"/>
        <v>331356.24136437272</v>
      </c>
      <c r="F1629" s="517">
        <f t="shared" si="1316"/>
        <v>137632.06683114803</v>
      </c>
      <c r="G1629" s="517">
        <f t="shared" si="1316"/>
        <v>133759.09610477442</v>
      </c>
      <c r="H1629" s="517">
        <f t="shared" si="1316"/>
        <v>147677.4005392447</v>
      </c>
      <c r="I1629" s="517">
        <f t="shared" si="1316"/>
        <v>153144.40651408417</v>
      </c>
      <c r="J1629" s="517">
        <f t="shared" si="1316"/>
        <v>157710.42859682476</v>
      </c>
      <c r="K1629" s="517">
        <f t="shared" si="1316"/>
        <v>174696.98339664165</v>
      </c>
      <c r="L1629" s="517">
        <f t="shared" si="1316"/>
        <v>175063.05302302199</v>
      </c>
      <c r="M1629" s="517">
        <f t="shared" si="1316"/>
        <v>173117.35783149605</v>
      </c>
      <c r="N1629" s="517">
        <f t="shared" si="1316"/>
        <v>167520.32207667534</v>
      </c>
      <c r="O1629" s="517">
        <f t="shared" si="1316"/>
        <v>167266.21591746647</v>
      </c>
      <c r="P1629" s="511">
        <f t="shared" si="1270"/>
        <v>2.0639272406697273E-6</v>
      </c>
      <c r="Q1629" s="530">
        <v>132002</v>
      </c>
      <c r="R1629" s="480"/>
      <c r="U1629" s="513"/>
    </row>
    <row r="1630" spans="1:21" s="479" customFormat="1" x14ac:dyDescent="0.15">
      <c r="A1630" s="579"/>
      <c r="B1630" s="528" t="s">
        <v>236</v>
      </c>
      <c r="C1630" s="517">
        <f>ISR!C112</f>
        <v>6334353.7400000002</v>
      </c>
      <c r="D1630" s="517">
        <f>ISR!D112</f>
        <v>635038.25999999989</v>
      </c>
      <c r="E1630" s="517">
        <f>ISR!E112</f>
        <v>509093.9800000001</v>
      </c>
      <c r="F1630" s="517">
        <f>ISR!F112</f>
        <v>540782.95999999973</v>
      </c>
      <c r="G1630" s="517">
        <f>ISR!G112</f>
        <v>445746.92000000039</v>
      </c>
      <c r="H1630" s="517">
        <f>ISR!H112</f>
        <v>530463.38999999978</v>
      </c>
      <c r="I1630" s="517">
        <f>ISR!I112</f>
        <v>521461.18999999983</v>
      </c>
      <c r="J1630" s="517">
        <f>ISR!J112</f>
        <v>576883.42999999993</v>
      </c>
      <c r="K1630" s="517">
        <f>ISR!K112</f>
        <v>504859.65000000026</v>
      </c>
      <c r="L1630" s="517">
        <f>ISR!L112</f>
        <v>512470.31999999972</v>
      </c>
      <c r="M1630" s="517">
        <f>ISR!M112</f>
        <v>514631.26000000018</v>
      </c>
      <c r="N1630" s="517">
        <f>ISR!N112</f>
        <v>521461.18999999983</v>
      </c>
      <c r="O1630" s="517">
        <f>ISR!O112</f>
        <v>521461.18999999983</v>
      </c>
      <c r="P1630" s="511">
        <f t="shared" si="1270"/>
        <v>-6.9849193096160889E-10</v>
      </c>
      <c r="Q1630" s="530">
        <v>0</v>
      </c>
      <c r="R1630" s="480"/>
      <c r="U1630" s="513"/>
    </row>
    <row r="1631" spans="1:21" s="479" customFormat="1" ht="18" x14ac:dyDescent="0.15">
      <c r="A1631" s="579"/>
      <c r="B1631" s="528" t="s">
        <v>298</v>
      </c>
      <c r="C1631" s="517">
        <f>FOFIR!I121</f>
        <v>3991596.4436322111</v>
      </c>
      <c r="D1631" s="517">
        <f t="shared" ref="D1631:O1631" si="1317">$C1631*D$23%</f>
        <v>545713.08597448445</v>
      </c>
      <c r="E1631" s="517">
        <f t="shared" si="1317"/>
        <v>138840.76689880702</v>
      </c>
      <c r="F1631" s="517">
        <f t="shared" si="1317"/>
        <v>138840.76689880702</v>
      </c>
      <c r="G1631" s="517">
        <f t="shared" si="1317"/>
        <v>783524.87724423234</v>
      </c>
      <c r="H1631" s="517">
        <f t="shared" si="1317"/>
        <v>138840.76689880702</v>
      </c>
      <c r="I1631" s="517">
        <f t="shared" si="1317"/>
        <v>138840.76689880702</v>
      </c>
      <c r="J1631" s="517">
        <f t="shared" si="1317"/>
        <v>974578.69654703222</v>
      </c>
      <c r="K1631" s="517">
        <f t="shared" si="1317"/>
        <v>138840.76689880702</v>
      </c>
      <c r="L1631" s="517">
        <f t="shared" si="1317"/>
        <v>138840.76689880702</v>
      </c>
      <c r="M1631" s="517">
        <f t="shared" si="1317"/>
        <v>577053.64869197237</v>
      </c>
      <c r="N1631" s="517">
        <f t="shared" si="1317"/>
        <v>138840.76689880702</v>
      </c>
      <c r="O1631" s="517">
        <f t="shared" si="1317"/>
        <v>138840.76689880702</v>
      </c>
      <c r="P1631" s="511">
        <f t="shared" si="1270"/>
        <v>-1.5966710634529591E-5</v>
      </c>
      <c r="Q1631" s="530">
        <v>155482</v>
      </c>
      <c r="R1631" s="480"/>
      <c r="U1631" s="513"/>
    </row>
    <row r="1632" spans="1:21" s="479" customFormat="1" ht="27" x14ac:dyDescent="0.15">
      <c r="A1632" s="579"/>
      <c r="B1632" s="528" t="s">
        <v>407</v>
      </c>
      <c r="C1632" s="517">
        <f>FCISAN!I121</f>
        <v>253391.52693184698</v>
      </c>
      <c r="D1632" s="517">
        <f t="shared" ref="D1632:O1632" si="1318">$C1632*D$24%</f>
        <v>21115.960577569454</v>
      </c>
      <c r="E1632" s="517">
        <f t="shared" si="1318"/>
        <v>21115.960577569454</v>
      </c>
      <c r="F1632" s="517">
        <f t="shared" si="1318"/>
        <v>21115.960577569454</v>
      </c>
      <c r="G1632" s="517">
        <f t="shared" si="1318"/>
        <v>21115.960577569454</v>
      </c>
      <c r="H1632" s="517">
        <f t="shared" si="1318"/>
        <v>21115.960577569454</v>
      </c>
      <c r="I1632" s="517">
        <f t="shared" si="1318"/>
        <v>21115.960577569454</v>
      </c>
      <c r="J1632" s="517">
        <f t="shared" si="1318"/>
        <v>21115.960577569454</v>
      </c>
      <c r="K1632" s="517">
        <f t="shared" si="1318"/>
        <v>21115.960577569454</v>
      </c>
      <c r="L1632" s="517">
        <f t="shared" si="1318"/>
        <v>21115.960577569454</v>
      </c>
      <c r="M1632" s="517">
        <f t="shared" si="1318"/>
        <v>21115.960577569454</v>
      </c>
      <c r="N1632" s="517">
        <f t="shared" si="1318"/>
        <v>21115.960577569454</v>
      </c>
      <c r="O1632" s="517">
        <f t="shared" si="1318"/>
        <v>21115.960577569454</v>
      </c>
      <c r="P1632" s="511">
        <f t="shared" si="1270"/>
        <v>1.0134899639524519E-6</v>
      </c>
      <c r="Q1632" s="530">
        <v>18490</v>
      </c>
      <c r="R1632" s="480"/>
      <c r="U1632" s="513"/>
    </row>
    <row r="1633" spans="1:21" s="479" customFormat="1" ht="27" x14ac:dyDescent="0.15">
      <c r="A1633" s="579"/>
      <c r="B1633" s="528" t="s">
        <v>242</v>
      </c>
      <c r="C1633" s="517">
        <f>ISAN!I121</f>
        <v>1265720.3936271297</v>
      </c>
      <c r="D1633" s="517">
        <f t="shared" ref="D1633:O1633" si="1319">$C1633*D$25%</f>
        <v>121804.83959670171</v>
      </c>
      <c r="E1633" s="517">
        <f t="shared" si="1319"/>
        <v>136043.2863123609</v>
      </c>
      <c r="F1633" s="517">
        <f t="shared" si="1319"/>
        <v>105581.6017545264</v>
      </c>
      <c r="G1633" s="517">
        <f t="shared" si="1319"/>
        <v>97990.61724679661</v>
      </c>
      <c r="H1633" s="517">
        <f t="shared" si="1319"/>
        <v>104773.63432564524</v>
      </c>
      <c r="I1633" s="517">
        <f t="shared" si="1319"/>
        <v>90999.089420355594</v>
      </c>
      <c r="J1633" s="517">
        <f t="shared" si="1319"/>
        <v>98583.56106380804</v>
      </c>
      <c r="K1633" s="517">
        <f t="shared" si="1319"/>
        <v>101665.56527114399</v>
      </c>
      <c r="L1633" s="517">
        <f t="shared" si="1319"/>
        <v>99899.764903927324</v>
      </c>
      <c r="M1633" s="517">
        <f t="shared" si="1319"/>
        <v>102349.7320377361</v>
      </c>
      <c r="N1633" s="517">
        <f t="shared" si="1319"/>
        <v>99098.313017587861</v>
      </c>
      <c r="O1633" s="517">
        <f t="shared" si="1319"/>
        <v>106930.38866135132</v>
      </c>
      <c r="P1633" s="511">
        <f t="shared" si="1270"/>
        <v>1.5188517863862216E-5</v>
      </c>
      <c r="Q1633" s="530">
        <v>79453</v>
      </c>
      <c r="R1633" s="480"/>
      <c r="U1633" s="513"/>
    </row>
    <row r="1634" spans="1:21" s="479" customFormat="1" ht="18" x14ac:dyDescent="0.15">
      <c r="A1634" s="579"/>
      <c r="B1634" s="528" t="s">
        <v>403</v>
      </c>
      <c r="C1634" s="517">
        <f>LOT!I121</f>
        <v>61269.720794785324</v>
      </c>
      <c r="D1634" s="517">
        <f t="shared" ref="D1634:O1634" si="1320">$C1634*D$26%</f>
        <v>4632.6274197227331</v>
      </c>
      <c r="E1634" s="517">
        <f t="shared" si="1320"/>
        <v>4566.9630094632239</v>
      </c>
      <c r="F1634" s="517">
        <f t="shared" si="1320"/>
        <v>4488.7640559599913</v>
      </c>
      <c r="G1634" s="517">
        <f t="shared" si="1320"/>
        <v>4938.6427882849193</v>
      </c>
      <c r="H1634" s="517">
        <f t="shared" si="1320"/>
        <v>4040.708728416676</v>
      </c>
      <c r="I1634" s="517">
        <f t="shared" si="1320"/>
        <v>5483.4477564913186</v>
      </c>
      <c r="J1634" s="517">
        <f t="shared" si="1320"/>
        <v>12584.506705229434</v>
      </c>
      <c r="K1634" s="517">
        <f t="shared" si="1320"/>
        <v>4581.2117715988043</v>
      </c>
      <c r="L1634" s="517">
        <f t="shared" si="1320"/>
        <v>5558.7314460090738</v>
      </c>
      <c r="M1634" s="517">
        <f t="shared" si="1320"/>
        <v>3441.6165224445194</v>
      </c>
      <c r="N1634" s="517">
        <f t="shared" si="1320"/>
        <v>3476.2502952146974</v>
      </c>
      <c r="O1634" s="517">
        <f t="shared" si="1320"/>
        <v>3476.2502952146974</v>
      </c>
      <c r="P1634" s="511">
        <f t="shared" si="1270"/>
        <v>7.3524370236555114E-7</v>
      </c>
      <c r="Q1634" s="530">
        <v>3880</v>
      </c>
      <c r="R1634" s="480"/>
      <c r="T1634" s="537"/>
      <c r="U1634" s="513"/>
    </row>
    <row r="1635" spans="1:21" s="479" customFormat="1" ht="45" x14ac:dyDescent="0.15">
      <c r="A1635" s="579"/>
      <c r="B1635" s="518" t="s">
        <v>301</v>
      </c>
      <c r="C1635" s="517">
        <f>'ENAJENAC DE INMUE'!I121</f>
        <v>240919.81481689951</v>
      </c>
      <c r="D1635" s="517">
        <f t="shared" ref="D1635:O1635" si="1321">$C1635*D$27%</f>
        <v>10404.295098250148</v>
      </c>
      <c r="E1635" s="517">
        <f t="shared" si="1321"/>
        <v>10557.539940943207</v>
      </c>
      <c r="F1635" s="517">
        <f t="shared" si="1321"/>
        <v>10415.210182951707</v>
      </c>
      <c r="G1635" s="517">
        <f t="shared" si="1321"/>
        <v>10354.200782816122</v>
      </c>
      <c r="H1635" s="517">
        <f t="shared" si="1321"/>
        <v>14363.253887679841</v>
      </c>
      <c r="I1635" s="517">
        <f t="shared" si="1321"/>
        <v>10338.348259001172</v>
      </c>
      <c r="J1635" s="517">
        <f t="shared" si="1321"/>
        <v>11881.646580622453</v>
      </c>
      <c r="K1635" s="517">
        <f t="shared" si="1321"/>
        <v>11869.416357053697</v>
      </c>
      <c r="L1635" s="517">
        <f t="shared" si="1321"/>
        <v>11854.380126187503</v>
      </c>
      <c r="M1635" s="517">
        <f t="shared" si="1321"/>
        <v>10352.505841088459</v>
      </c>
      <c r="N1635" s="517">
        <f t="shared" si="1321"/>
        <v>43041.912153395264</v>
      </c>
      <c r="O1635" s="517">
        <f t="shared" si="1321"/>
        <v>85487.105606428086</v>
      </c>
      <c r="P1635" s="511">
        <f t="shared" si="1270"/>
        <v>4.818430170416832E-7</v>
      </c>
      <c r="Q1635" s="530">
        <v>56629</v>
      </c>
      <c r="R1635" s="480"/>
      <c r="T1635" s="537"/>
      <c r="U1635" s="513"/>
    </row>
    <row r="1636" spans="1:21" s="479" customFormat="1" ht="27" x14ac:dyDescent="0.15">
      <c r="A1636" s="579"/>
      <c r="B1636" s="518" t="s">
        <v>248</v>
      </c>
      <c r="C1636" s="517">
        <f>'IMP BEBIDAS AL'!I121</f>
        <v>94164.19490421399</v>
      </c>
      <c r="D1636" s="517">
        <f t="shared" ref="D1636:O1636" si="1322">$C1636*D$28%</f>
        <v>21412.052345912984</v>
      </c>
      <c r="E1636" s="517">
        <f t="shared" si="1322"/>
        <v>7364.9684258507968</v>
      </c>
      <c r="F1636" s="517">
        <f t="shared" si="1322"/>
        <v>7914.7859206897283</v>
      </c>
      <c r="G1636" s="517">
        <f t="shared" si="1322"/>
        <v>7857.9683077000427</v>
      </c>
      <c r="H1636" s="517">
        <f t="shared" si="1322"/>
        <v>5003.9920847957692</v>
      </c>
      <c r="I1636" s="517">
        <f t="shared" si="1322"/>
        <v>8189.0410965624205</v>
      </c>
      <c r="J1636" s="517">
        <f t="shared" si="1322"/>
        <v>8142.9461956514615</v>
      </c>
      <c r="K1636" s="517">
        <f t="shared" si="1322"/>
        <v>7447.3184407442477</v>
      </c>
      <c r="L1636" s="517">
        <f t="shared" si="1322"/>
        <v>5401.0048968917126</v>
      </c>
      <c r="M1636" s="517">
        <f t="shared" si="1322"/>
        <v>5020.7124798287905</v>
      </c>
      <c r="N1636" s="517">
        <f t="shared" si="1322"/>
        <v>5056.2019321575417</v>
      </c>
      <c r="O1636" s="517">
        <f t="shared" si="1322"/>
        <v>5353.2027774284961</v>
      </c>
      <c r="P1636" s="511">
        <f t="shared" ref="P1636:P1699" si="1323">C1636-D1636-E1636-F1636-G1636-H1636-I1636-J1636-K1636-L1636-M1636-N1636-O1636</f>
        <v>0</v>
      </c>
      <c r="Q1636" s="530">
        <v>2424</v>
      </c>
      <c r="R1636" s="480"/>
      <c r="T1636" s="537"/>
      <c r="U1636" s="513"/>
    </row>
    <row r="1637" spans="1:21" s="479" customFormat="1" ht="18" x14ac:dyDescent="0.15">
      <c r="A1637" s="579"/>
      <c r="B1637" s="518" t="s">
        <v>253</v>
      </c>
      <c r="C1637" s="517">
        <f>'FOND GASO Y D'!Q122</f>
        <v>0</v>
      </c>
      <c r="D1637" s="517">
        <f t="shared" ref="D1637:O1637" si="1324">$C1637*D$29%</f>
        <v>0</v>
      </c>
      <c r="E1637" s="517">
        <f t="shared" si="1324"/>
        <v>0</v>
      </c>
      <c r="F1637" s="517">
        <f t="shared" si="1324"/>
        <v>0</v>
      </c>
      <c r="G1637" s="517">
        <f t="shared" si="1324"/>
        <v>0</v>
      </c>
      <c r="H1637" s="517">
        <f t="shared" si="1324"/>
        <v>0</v>
      </c>
      <c r="I1637" s="517">
        <f t="shared" si="1324"/>
        <v>0</v>
      </c>
      <c r="J1637" s="517">
        <f t="shared" si="1324"/>
        <v>0</v>
      </c>
      <c r="K1637" s="517">
        <f t="shared" si="1324"/>
        <v>0</v>
      </c>
      <c r="L1637" s="517">
        <f t="shared" si="1324"/>
        <v>0</v>
      </c>
      <c r="M1637" s="517">
        <f t="shared" si="1324"/>
        <v>0</v>
      </c>
      <c r="N1637" s="517">
        <f t="shared" si="1324"/>
        <v>0</v>
      </c>
      <c r="O1637" s="517">
        <f t="shared" si="1324"/>
        <v>0</v>
      </c>
      <c r="P1637" s="511">
        <f t="shared" si="1323"/>
        <v>0</v>
      </c>
      <c r="Q1637" s="530">
        <v>96491</v>
      </c>
      <c r="R1637" s="480"/>
      <c r="T1637" s="537"/>
      <c r="U1637" s="513"/>
    </row>
    <row r="1638" spans="1:21" s="479" customFormat="1" ht="18" x14ac:dyDescent="0.15">
      <c r="A1638" s="579"/>
      <c r="B1638" s="528" t="s">
        <v>408</v>
      </c>
      <c r="C1638" s="519">
        <f>'FOND GASO Y D'!H122</f>
        <v>3125199.1968112183</v>
      </c>
      <c r="D1638" s="517">
        <f t="shared" ref="D1638:O1638" si="1325">$C1638*D$30%</f>
        <v>243111.75386732403</v>
      </c>
      <c r="E1638" s="517">
        <f t="shared" si="1325"/>
        <v>267295.84040667594</v>
      </c>
      <c r="F1638" s="517">
        <f t="shared" si="1325"/>
        <v>260240.07972388368</v>
      </c>
      <c r="G1638" s="517">
        <f t="shared" si="1325"/>
        <v>242489.53591407571</v>
      </c>
      <c r="H1638" s="517">
        <f t="shared" si="1325"/>
        <v>267188.8083626944</v>
      </c>
      <c r="I1638" s="517">
        <f t="shared" si="1325"/>
        <v>257868.94847179635</v>
      </c>
      <c r="J1638" s="517">
        <f t="shared" si="1325"/>
        <v>263245.15797056566</v>
      </c>
      <c r="K1638" s="517">
        <f t="shared" si="1325"/>
        <v>263088.72974374995</v>
      </c>
      <c r="L1638" s="517">
        <f t="shared" si="1325"/>
        <v>273775.28157423669</v>
      </c>
      <c r="M1638" s="517">
        <f t="shared" si="1325"/>
        <v>271371.21953567676</v>
      </c>
      <c r="N1638" s="517">
        <f t="shared" si="1325"/>
        <v>253620.67572586882</v>
      </c>
      <c r="O1638" s="517">
        <f t="shared" si="1325"/>
        <v>261903.16551779554</v>
      </c>
      <c r="P1638" s="511">
        <f t="shared" si="1323"/>
        <v>-3.1251402106136084E-6</v>
      </c>
      <c r="Q1638" s="530">
        <v>190995</v>
      </c>
      <c r="R1638" s="480"/>
      <c r="T1638" s="537"/>
      <c r="U1638" s="513"/>
    </row>
    <row r="1639" spans="1:21" s="479" customFormat="1" x14ac:dyDescent="0.15">
      <c r="A1639" s="579"/>
      <c r="B1639" s="534"/>
      <c r="C1639" s="521"/>
      <c r="D1639" s="522"/>
      <c r="E1639" s="522"/>
      <c r="F1639" s="522"/>
      <c r="G1639" s="522"/>
      <c r="H1639" s="522"/>
      <c r="I1639" s="522"/>
      <c r="J1639" s="522"/>
      <c r="K1639" s="522"/>
      <c r="L1639" s="522"/>
      <c r="M1639" s="522"/>
      <c r="N1639" s="522"/>
      <c r="O1639" s="522"/>
      <c r="P1639" s="511">
        <f t="shared" si="1323"/>
        <v>0</v>
      </c>
      <c r="Q1639" s="530">
        <v>0</v>
      </c>
      <c r="R1639" s="480"/>
      <c r="T1639" s="537"/>
      <c r="U1639" s="513"/>
    </row>
    <row r="1640" spans="1:21" s="479" customFormat="1" x14ac:dyDescent="0.15">
      <c r="A1640" s="591"/>
      <c r="B1640" s="532"/>
      <c r="C1640" s="521"/>
      <c r="D1640" s="521"/>
      <c r="E1640" s="521"/>
      <c r="F1640" s="521"/>
      <c r="G1640" s="521"/>
      <c r="H1640" s="521"/>
      <c r="I1640" s="521"/>
      <c r="J1640" s="521"/>
      <c r="K1640" s="521"/>
      <c r="L1640" s="521"/>
      <c r="M1640" s="521"/>
      <c r="N1640" s="521"/>
      <c r="O1640" s="521"/>
      <c r="P1640" s="511">
        <f t="shared" si="1323"/>
        <v>0</v>
      </c>
      <c r="Q1640" s="530">
        <v>0</v>
      </c>
      <c r="R1640" s="480"/>
      <c r="T1640" s="532"/>
      <c r="U1640" s="513"/>
    </row>
    <row r="1641" spans="1:21" s="479" customFormat="1" x14ac:dyDescent="0.15">
      <c r="A1641" s="584">
        <v>108</v>
      </c>
      <c r="B1641" s="533" t="s">
        <v>149</v>
      </c>
      <c r="C1641" s="524">
        <f t="shared" ref="C1641:O1641" si="1326">SUM(C1642:C1653)</f>
        <v>323263058.35776693</v>
      </c>
      <c r="D1641" s="524">
        <f t="shared" si="1326"/>
        <v>25180426.417076994</v>
      </c>
      <c r="E1641" s="524">
        <f t="shared" si="1326"/>
        <v>33206523.853033628</v>
      </c>
      <c r="F1641" s="524">
        <f t="shared" si="1326"/>
        <v>23052295.71293712</v>
      </c>
      <c r="G1641" s="524">
        <f t="shared" si="1326"/>
        <v>28612203.768131614</v>
      </c>
      <c r="H1641" s="524">
        <f t="shared" si="1326"/>
        <v>32188996.085582074</v>
      </c>
      <c r="I1641" s="524">
        <f t="shared" si="1326"/>
        <v>31533448.126983974</v>
      </c>
      <c r="J1641" s="524">
        <f t="shared" si="1326"/>
        <v>27562984.873804606</v>
      </c>
      <c r="K1641" s="524">
        <f t="shared" si="1326"/>
        <v>26997684.549848799</v>
      </c>
      <c r="L1641" s="524">
        <f t="shared" si="1326"/>
        <v>25596810.238551673</v>
      </c>
      <c r="M1641" s="524">
        <f t="shared" si="1326"/>
        <v>19426090.80754219</v>
      </c>
      <c r="N1641" s="524">
        <f t="shared" si="1326"/>
        <v>24817579.895904057</v>
      </c>
      <c r="O1641" s="524">
        <f t="shared" si="1326"/>
        <v>25088014.027484197</v>
      </c>
      <c r="P1641" s="511">
        <f t="shared" si="1323"/>
        <v>8.8599696755409241E-4</v>
      </c>
      <c r="Q1641" s="530">
        <v>18199958</v>
      </c>
      <c r="R1641" s="480"/>
      <c r="T1641" s="512"/>
      <c r="U1641" s="513"/>
    </row>
    <row r="1642" spans="1:21" s="479" customFormat="1" x14ac:dyDescent="0.15">
      <c r="A1642" s="579"/>
      <c r="B1642" s="525" t="s">
        <v>294</v>
      </c>
      <c r="C1642" s="526">
        <f>'FG1'!I123</f>
        <v>209368108.04798985</v>
      </c>
      <c r="D1642" s="526">
        <f t="shared" ref="D1642:O1642" si="1327">$C1642*D$19%</f>
        <v>15835493.745940162</v>
      </c>
      <c r="E1642" s="526">
        <f t="shared" si="1327"/>
        <v>22688299.040700708</v>
      </c>
      <c r="F1642" s="526">
        <f t="shared" si="1327"/>
        <v>14665620.24269883</v>
      </c>
      <c r="G1642" s="526">
        <f t="shared" si="1327"/>
        <v>18015228.548486762</v>
      </c>
      <c r="H1642" s="526">
        <f t="shared" si="1327"/>
        <v>22000530.435880855</v>
      </c>
      <c r="I1642" s="526">
        <f t="shared" si="1327"/>
        <v>21568284.597939715</v>
      </c>
      <c r="J1642" s="526">
        <f t="shared" si="1327"/>
        <v>16719811.742297838</v>
      </c>
      <c r="K1642" s="526">
        <f t="shared" si="1327"/>
        <v>17752004.791505106</v>
      </c>
      <c r="L1642" s="526">
        <f t="shared" si="1327"/>
        <v>16682481.425801069</v>
      </c>
      <c r="M1642" s="526">
        <f t="shared" si="1327"/>
        <v>11059203.110725889</v>
      </c>
      <c r="N1642" s="526">
        <f t="shared" si="1327"/>
        <v>16140343.245881673</v>
      </c>
      <c r="O1642" s="526">
        <f t="shared" si="1327"/>
        <v>16240807.119921878</v>
      </c>
      <c r="P1642" s="511">
        <f t="shared" si="1323"/>
        <v>2.0937994122505188E-4</v>
      </c>
      <c r="Q1642" s="530">
        <v>12572286</v>
      </c>
      <c r="R1642" s="480"/>
      <c r="U1642" s="513"/>
    </row>
    <row r="1643" spans="1:21" s="479" customFormat="1" x14ac:dyDescent="0.15">
      <c r="A1643" s="579"/>
      <c r="B1643" s="527" t="s">
        <v>296</v>
      </c>
      <c r="C1643" s="515">
        <f>FFM!J123</f>
        <v>56277288.113447413</v>
      </c>
      <c r="D1643" s="515">
        <f t="shared" ref="D1643:O1643" si="1328">$C1643*D$20%</f>
        <v>4255865.2344469326</v>
      </c>
      <c r="E1643" s="515">
        <f t="shared" si="1328"/>
        <v>6101474.3091648128</v>
      </c>
      <c r="F1643" s="515">
        <f t="shared" si="1328"/>
        <v>3940792.9494212884</v>
      </c>
      <c r="G1643" s="515">
        <f t="shared" si="1328"/>
        <v>4842915.1009896239</v>
      </c>
      <c r="H1643" s="515">
        <f t="shared" si="1328"/>
        <v>5916243.3246140024</v>
      </c>
      <c r="I1643" s="515">
        <f t="shared" si="1328"/>
        <v>5799830.1297251508</v>
      </c>
      <c r="J1643" s="515">
        <f t="shared" si="1328"/>
        <v>4493637.2404511021</v>
      </c>
      <c r="K1643" s="515">
        <f t="shared" si="1328"/>
        <v>4771629.2141299434</v>
      </c>
      <c r="L1643" s="515">
        <f t="shared" si="1328"/>
        <v>4483583.3526787572</v>
      </c>
      <c r="M1643" s="515">
        <f t="shared" si="1328"/>
        <v>2969112.5528852511</v>
      </c>
      <c r="N1643" s="515">
        <f t="shared" si="1328"/>
        <v>4337573.7973557701</v>
      </c>
      <c r="O1643" s="515">
        <f t="shared" si="1328"/>
        <v>4364630.9069094528</v>
      </c>
      <c r="P1643" s="511">
        <f t="shared" si="1323"/>
        <v>6.753215566277504E-4</v>
      </c>
      <c r="Q1643" s="530">
        <v>3849224</v>
      </c>
      <c r="R1643" s="480"/>
      <c r="U1643" s="513"/>
    </row>
    <row r="1644" spans="1:21" s="479" customFormat="1" ht="18" x14ac:dyDescent="0.15">
      <c r="A1644" s="579"/>
      <c r="B1644" s="528" t="s">
        <v>297</v>
      </c>
      <c r="C1644" s="517">
        <f>IEPS!I122</f>
        <v>5063358.4532911666</v>
      </c>
      <c r="D1644" s="517">
        <f t="shared" ref="D1644:O1644" si="1329">$C1644*D$21%</f>
        <v>355649.39104331983</v>
      </c>
      <c r="E1644" s="517">
        <f t="shared" si="1329"/>
        <v>812910.18813899602</v>
      </c>
      <c r="F1644" s="517">
        <f t="shared" si="1329"/>
        <v>337650.22466752602</v>
      </c>
      <c r="G1644" s="517">
        <f t="shared" si="1329"/>
        <v>328148.73663497943</v>
      </c>
      <c r="H1644" s="517">
        <f t="shared" si="1329"/>
        <v>362294.25756983139</v>
      </c>
      <c r="I1644" s="517">
        <f t="shared" si="1329"/>
        <v>375706.36303452606</v>
      </c>
      <c r="J1644" s="517">
        <f t="shared" si="1329"/>
        <v>386908.10124547419</v>
      </c>
      <c r="K1644" s="517">
        <f t="shared" si="1329"/>
        <v>428580.9045139302</v>
      </c>
      <c r="L1644" s="517">
        <f t="shared" si="1329"/>
        <v>429478.97641270445</v>
      </c>
      <c r="M1644" s="517">
        <f t="shared" si="1329"/>
        <v>424705.63809352298</v>
      </c>
      <c r="N1644" s="517">
        <f t="shared" si="1329"/>
        <v>410974.53295502422</v>
      </c>
      <c r="O1644" s="517">
        <f t="shared" si="1329"/>
        <v>410351.13897626824</v>
      </c>
      <c r="P1644" s="511">
        <f t="shared" si="1323"/>
        <v>5.0633097998797894E-6</v>
      </c>
      <c r="Q1644" s="530">
        <v>324689</v>
      </c>
      <c r="R1644" s="480"/>
      <c r="U1644" s="513"/>
    </row>
    <row r="1645" spans="1:21" s="479" customFormat="1" x14ac:dyDescent="0.15">
      <c r="A1645" s="579"/>
      <c r="B1645" s="528" t="s">
        <v>236</v>
      </c>
      <c r="C1645" s="517">
        <f>ISR!C113</f>
        <v>30718488.25</v>
      </c>
      <c r="D1645" s="517">
        <f>ISR!D113</f>
        <v>2383279.92</v>
      </c>
      <c r="E1645" s="517">
        <f>ISR!E113</f>
        <v>2194358.350000002</v>
      </c>
      <c r="F1645" s="517">
        <f>ISR!F113</f>
        <v>2789254.4199999985</v>
      </c>
      <c r="G1645" s="517">
        <f>ISR!G113</f>
        <v>2584863.2800000007</v>
      </c>
      <c r="H1645" s="517">
        <f>ISR!H113</f>
        <v>2575157.5899999989</v>
      </c>
      <c r="I1645" s="517">
        <f>ISR!I113</f>
        <v>2509071.7599999988</v>
      </c>
      <c r="J1645" s="517">
        <f>ISR!J113</f>
        <v>2579437.2400000016</v>
      </c>
      <c r="K1645" s="517">
        <f>ISR!K113</f>
        <v>2726757.1100000008</v>
      </c>
      <c r="L1645" s="517">
        <f>ISR!L113</f>
        <v>2664431.8099999996</v>
      </c>
      <c r="M1645" s="517">
        <f>ISR!M113</f>
        <v>2570625.59</v>
      </c>
      <c r="N1645" s="517">
        <f>ISR!N113</f>
        <v>2570625.59</v>
      </c>
      <c r="O1645" s="517">
        <f>ISR!O113</f>
        <v>2570625.59</v>
      </c>
      <c r="P1645" s="511">
        <f t="shared" si="1323"/>
        <v>0</v>
      </c>
      <c r="Q1645" s="530">
        <v>0</v>
      </c>
      <c r="R1645" s="480"/>
      <c r="U1645" s="513"/>
    </row>
    <row r="1646" spans="1:21" s="479" customFormat="1" ht="18" x14ac:dyDescent="0.15">
      <c r="A1646" s="579"/>
      <c r="B1646" s="528" t="s">
        <v>298</v>
      </c>
      <c r="C1646" s="517">
        <f>FOFIR!I122</f>
        <v>9792510.32848325</v>
      </c>
      <c r="D1646" s="517">
        <f t="shared" ref="D1646:O1646" si="1330">$C1646*D$23%</f>
        <v>1338787.9025994036</v>
      </c>
      <c r="E1646" s="517">
        <f t="shared" si="1330"/>
        <v>340615.50636965584</v>
      </c>
      <c r="F1646" s="517">
        <f t="shared" si="1330"/>
        <v>340615.50636965584</v>
      </c>
      <c r="G1646" s="517">
        <f t="shared" si="1330"/>
        <v>1922207.2074139472</v>
      </c>
      <c r="H1646" s="517">
        <f t="shared" si="1330"/>
        <v>340615.50636965584</v>
      </c>
      <c r="I1646" s="517">
        <f t="shared" si="1330"/>
        <v>340615.50636965584</v>
      </c>
      <c r="J1646" s="517">
        <f t="shared" si="1330"/>
        <v>2390916.0373868467</v>
      </c>
      <c r="K1646" s="517">
        <f t="shared" si="1330"/>
        <v>340615.50636965584</v>
      </c>
      <c r="L1646" s="517">
        <f t="shared" si="1330"/>
        <v>340615.50636965584</v>
      </c>
      <c r="M1646" s="517">
        <f t="shared" si="1330"/>
        <v>1415675.1301649755</v>
      </c>
      <c r="N1646" s="517">
        <f t="shared" si="1330"/>
        <v>340615.50636965584</v>
      </c>
      <c r="O1646" s="517">
        <f t="shared" si="1330"/>
        <v>340615.50636965584</v>
      </c>
      <c r="P1646" s="511">
        <f t="shared" si="1323"/>
        <v>-3.9170496165752411E-5</v>
      </c>
      <c r="Q1646" s="530">
        <v>382450</v>
      </c>
      <c r="R1646" s="480"/>
      <c r="U1646" s="513"/>
    </row>
    <row r="1647" spans="1:21" s="479" customFormat="1" ht="27" x14ac:dyDescent="0.15">
      <c r="A1647" s="579"/>
      <c r="B1647" s="528" t="s">
        <v>407</v>
      </c>
      <c r="C1647" s="517">
        <f>FCISAN!I122</f>
        <v>621640.78450083057</v>
      </c>
      <c r="D1647" s="517">
        <f t="shared" ref="D1647:O1647" si="1331">$C1647*D$24%</f>
        <v>51803.398708195338</v>
      </c>
      <c r="E1647" s="517">
        <f t="shared" si="1331"/>
        <v>51803.398708195338</v>
      </c>
      <c r="F1647" s="517">
        <f t="shared" si="1331"/>
        <v>51803.398708195338</v>
      </c>
      <c r="G1647" s="517">
        <f t="shared" si="1331"/>
        <v>51803.398708195338</v>
      </c>
      <c r="H1647" s="517">
        <f t="shared" si="1331"/>
        <v>51803.398708195338</v>
      </c>
      <c r="I1647" s="517">
        <f t="shared" si="1331"/>
        <v>51803.398708195338</v>
      </c>
      <c r="J1647" s="517">
        <f t="shared" si="1331"/>
        <v>51803.398708195338</v>
      </c>
      <c r="K1647" s="517">
        <f t="shared" si="1331"/>
        <v>51803.398708195338</v>
      </c>
      <c r="L1647" s="517">
        <f t="shared" si="1331"/>
        <v>51803.398708195338</v>
      </c>
      <c r="M1647" s="517">
        <f t="shared" si="1331"/>
        <v>51803.398708195338</v>
      </c>
      <c r="N1647" s="517">
        <f t="shared" si="1331"/>
        <v>51803.398708195338</v>
      </c>
      <c r="O1647" s="517">
        <f t="shared" si="1331"/>
        <v>51803.398708195338</v>
      </c>
      <c r="P1647" s="511">
        <f t="shared" si="1323"/>
        <v>2.4866894818842411E-6</v>
      </c>
      <c r="Q1647" s="530">
        <v>45489</v>
      </c>
      <c r="R1647" s="480"/>
      <c r="U1647" s="513"/>
    </row>
    <row r="1648" spans="1:21" s="479" customFormat="1" ht="27" x14ac:dyDescent="0.15">
      <c r="A1648" s="579"/>
      <c r="B1648" s="528" t="s">
        <v>242</v>
      </c>
      <c r="C1648" s="517">
        <f>ISAN!I122</f>
        <v>3105168.6217775373</v>
      </c>
      <c r="D1648" s="517">
        <f t="shared" ref="D1648:O1648" si="1332">$C1648*D$25%</f>
        <v>298821.5784470847</v>
      </c>
      <c r="E1648" s="517">
        <f t="shared" si="1332"/>
        <v>333752.49856729968</v>
      </c>
      <c r="F1648" s="517">
        <f t="shared" si="1332"/>
        <v>259021.40666760004</v>
      </c>
      <c r="G1648" s="517">
        <f t="shared" si="1332"/>
        <v>240398.58363300032</v>
      </c>
      <c r="H1648" s="517">
        <f t="shared" si="1332"/>
        <v>257039.23499665898</v>
      </c>
      <c r="I1648" s="517">
        <f t="shared" si="1332"/>
        <v>223246.3966774469</v>
      </c>
      <c r="J1648" s="517">
        <f t="shared" si="1332"/>
        <v>241853.24182159491</v>
      </c>
      <c r="K1648" s="517">
        <f t="shared" si="1332"/>
        <v>249414.26620343421</v>
      </c>
      <c r="L1648" s="517">
        <f t="shared" si="1332"/>
        <v>245082.26055652215</v>
      </c>
      <c r="M1648" s="517">
        <f t="shared" si="1332"/>
        <v>251092.71998073079</v>
      </c>
      <c r="N1648" s="517">
        <f t="shared" si="1332"/>
        <v>243116.07334656967</v>
      </c>
      <c r="O1648" s="517">
        <f t="shared" si="1332"/>
        <v>262330.36084233294</v>
      </c>
      <c r="P1648" s="511">
        <f t="shared" si="1323"/>
        <v>3.7261517718434334E-5</v>
      </c>
      <c r="Q1648" s="530">
        <v>195435</v>
      </c>
      <c r="R1648" s="480"/>
      <c r="T1648" s="537"/>
      <c r="U1648" s="513"/>
    </row>
    <row r="1649" spans="1:21" s="479" customFormat="1" ht="18" x14ac:dyDescent="0.15">
      <c r="A1649" s="579"/>
      <c r="B1649" s="528" t="s">
        <v>403</v>
      </c>
      <c r="C1649" s="517">
        <f>LOT!I122</f>
        <v>150311.88201988069</v>
      </c>
      <c r="D1649" s="517">
        <f t="shared" ref="D1649:O1649" si="1333">$C1649*D$26%</f>
        <v>11365.139862277507</v>
      </c>
      <c r="E1649" s="517">
        <f t="shared" si="1333"/>
        <v>11204.046569215325</v>
      </c>
      <c r="F1649" s="517">
        <f t="shared" si="1333"/>
        <v>11012.202511162161</v>
      </c>
      <c r="G1649" s="517">
        <f t="shared" si="1333"/>
        <v>12115.881752054562</v>
      </c>
      <c r="H1649" s="517">
        <f t="shared" si="1333"/>
        <v>9912.9965957697423</v>
      </c>
      <c r="I1649" s="517">
        <f t="shared" si="1333"/>
        <v>13452.441785993133</v>
      </c>
      <c r="J1649" s="517">
        <f t="shared" si="1333"/>
        <v>30873.339434506426</v>
      </c>
      <c r="K1649" s="517">
        <f t="shared" si="1333"/>
        <v>11239.002795965995</v>
      </c>
      <c r="L1649" s="517">
        <f t="shared" si="1333"/>
        <v>13637.133880391862</v>
      </c>
      <c r="M1649" s="517">
        <f t="shared" si="1333"/>
        <v>8443.2546773312788</v>
      </c>
      <c r="N1649" s="517">
        <f t="shared" si="1333"/>
        <v>8528.2210767044817</v>
      </c>
      <c r="O1649" s="517">
        <f t="shared" si="1333"/>
        <v>8528.2210767044817</v>
      </c>
      <c r="P1649" s="511">
        <f t="shared" si="1323"/>
        <v>1.803738996386528E-6</v>
      </c>
      <c r="Q1649" s="530">
        <v>9544</v>
      </c>
      <c r="R1649" s="480"/>
      <c r="T1649" s="537"/>
      <c r="U1649" s="513"/>
    </row>
    <row r="1650" spans="1:21" s="479" customFormat="1" ht="45" x14ac:dyDescent="0.15">
      <c r="A1650" s="579"/>
      <c r="B1650" s="518" t="s">
        <v>301</v>
      </c>
      <c r="C1650" s="517">
        <f>'ENAJENAC DE INMUE'!I122</f>
        <v>591044.16196542245</v>
      </c>
      <c r="D1650" s="517">
        <f t="shared" ref="D1650:O1650" si="1334">$C1650*D$27%</f>
        <v>25524.666295546467</v>
      </c>
      <c r="E1650" s="517">
        <f t="shared" si="1334"/>
        <v>25900.619056816351</v>
      </c>
      <c r="F1650" s="517">
        <f t="shared" si="1334"/>
        <v>25551.444072605267</v>
      </c>
      <c r="G1650" s="517">
        <f t="shared" si="1334"/>
        <v>25401.770830482968</v>
      </c>
      <c r="H1650" s="517">
        <f t="shared" si="1334"/>
        <v>35237.107265719336</v>
      </c>
      <c r="I1650" s="517">
        <f t="shared" si="1334"/>
        <v>25362.880124625644</v>
      </c>
      <c r="J1650" s="517">
        <f t="shared" si="1334"/>
        <v>29149.02558492553</v>
      </c>
      <c r="K1650" s="517">
        <f t="shared" si="1334"/>
        <v>29119.021401810336</v>
      </c>
      <c r="L1650" s="517">
        <f t="shared" si="1334"/>
        <v>29082.133292469131</v>
      </c>
      <c r="M1650" s="517">
        <f t="shared" si="1334"/>
        <v>25397.612661036557</v>
      </c>
      <c r="N1650" s="517">
        <f t="shared" si="1334"/>
        <v>105593.93347295713</v>
      </c>
      <c r="O1650" s="517">
        <f t="shared" si="1334"/>
        <v>209723.94790524564</v>
      </c>
      <c r="P1650" s="511">
        <f t="shared" si="1323"/>
        <v>1.1821393854916096E-6</v>
      </c>
      <c r="Q1650" s="530">
        <v>139294</v>
      </c>
      <c r="R1650" s="480"/>
      <c r="T1650" s="537"/>
      <c r="U1650" s="513"/>
    </row>
    <row r="1651" spans="1:21" s="479" customFormat="1" ht="27" x14ac:dyDescent="0.15">
      <c r="A1651" s="579"/>
      <c r="B1651" s="518" t="s">
        <v>248</v>
      </c>
      <c r="C1651" s="517">
        <f>'IMP BEBIDAS AL'!I122</f>
        <v>231011.29189646826</v>
      </c>
      <c r="D1651" s="517">
        <f t="shared" ref="D1651:O1651" si="1335">$C1651*D$28%</f>
        <v>52529.795211606513</v>
      </c>
      <c r="E1651" s="517">
        <f t="shared" si="1335"/>
        <v>18068.341927238747</v>
      </c>
      <c r="F1651" s="517">
        <f t="shared" si="1335"/>
        <v>19417.199100809052</v>
      </c>
      <c r="G1651" s="517">
        <f t="shared" si="1335"/>
        <v>19277.809493192566</v>
      </c>
      <c r="H1651" s="517">
        <f t="shared" si="1335"/>
        <v>12276.201982337987</v>
      </c>
      <c r="I1651" s="517">
        <f t="shared" si="1335"/>
        <v>20090.024292508413</v>
      </c>
      <c r="J1651" s="517">
        <f t="shared" si="1335"/>
        <v>19976.940517724248</v>
      </c>
      <c r="K1651" s="517">
        <f t="shared" si="1335"/>
        <v>18270.369708048438</v>
      </c>
      <c r="L1651" s="517">
        <f t="shared" si="1335"/>
        <v>13250.18623096909</v>
      </c>
      <c r="M1651" s="517">
        <f t="shared" si="1335"/>
        <v>12317.221820733319</v>
      </c>
      <c r="N1651" s="517">
        <f t="shared" si="1335"/>
        <v>12404.287443069948</v>
      </c>
      <c r="O1651" s="517">
        <f t="shared" si="1335"/>
        <v>13132.914168229956</v>
      </c>
      <c r="P1651" s="511">
        <f t="shared" si="1323"/>
        <v>0</v>
      </c>
      <c r="Q1651" s="530">
        <v>5962</v>
      </c>
      <c r="R1651" s="480"/>
      <c r="T1651" s="537"/>
      <c r="U1651" s="513"/>
    </row>
    <row r="1652" spans="1:21" s="479" customFormat="1" ht="18" x14ac:dyDescent="0.15">
      <c r="A1652" s="579"/>
      <c r="B1652" s="518" t="s">
        <v>253</v>
      </c>
      <c r="C1652" s="517">
        <f>'FOND GASO Y D'!Q123</f>
        <v>0</v>
      </c>
      <c r="D1652" s="517">
        <f t="shared" ref="D1652:O1652" si="1336">$C1652*D$29%</f>
        <v>0</v>
      </c>
      <c r="E1652" s="517">
        <f t="shared" si="1336"/>
        <v>0</v>
      </c>
      <c r="F1652" s="517">
        <f t="shared" si="1336"/>
        <v>0</v>
      </c>
      <c r="G1652" s="517">
        <f t="shared" si="1336"/>
        <v>0</v>
      </c>
      <c r="H1652" s="517">
        <f t="shared" si="1336"/>
        <v>0</v>
      </c>
      <c r="I1652" s="517">
        <f t="shared" si="1336"/>
        <v>0</v>
      </c>
      <c r="J1652" s="517">
        <f t="shared" si="1336"/>
        <v>0</v>
      </c>
      <c r="K1652" s="517">
        <f t="shared" si="1336"/>
        <v>0</v>
      </c>
      <c r="L1652" s="517">
        <f t="shared" si="1336"/>
        <v>0</v>
      </c>
      <c r="M1652" s="517">
        <f t="shared" si="1336"/>
        <v>0</v>
      </c>
      <c r="N1652" s="517">
        <f t="shared" si="1336"/>
        <v>0</v>
      </c>
      <c r="O1652" s="517">
        <f t="shared" si="1336"/>
        <v>0</v>
      </c>
      <c r="P1652" s="511">
        <f t="shared" si="1323"/>
        <v>0</v>
      </c>
      <c r="Q1652" s="530">
        <v>226753</v>
      </c>
      <c r="R1652" s="480"/>
      <c r="T1652" s="537"/>
      <c r="U1652" s="513"/>
    </row>
    <row r="1653" spans="1:21" s="479" customFormat="1" ht="18" x14ac:dyDescent="0.15">
      <c r="A1653" s="579"/>
      <c r="B1653" s="528" t="s">
        <v>408</v>
      </c>
      <c r="C1653" s="519">
        <f>'FOND GASO Y D'!H123</f>
        <v>7344128.4223951017</v>
      </c>
      <c r="D1653" s="517">
        <f t="shared" ref="D1653:O1653" si="1337">$C1653*D$30%</f>
        <v>571305.64452246937</v>
      </c>
      <c r="E1653" s="517">
        <f t="shared" si="1337"/>
        <v>628137.5538306958</v>
      </c>
      <c r="F1653" s="517">
        <f t="shared" si="1337"/>
        <v>611556.7187194539</v>
      </c>
      <c r="G1653" s="517">
        <f t="shared" si="1337"/>
        <v>569843.45018937276</v>
      </c>
      <c r="H1653" s="517">
        <f t="shared" si="1337"/>
        <v>627886.03159905237</v>
      </c>
      <c r="I1653" s="517">
        <f t="shared" si="1337"/>
        <v>605984.6283261592</v>
      </c>
      <c r="J1653" s="517">
        <f t="shared" si="1337"/>
        <v>618618.56635639712</v>
      </c>
      <c r="K1653" s="517">
        <f t="shared" si="1337"/>
        <v>618250.96451271488</v>
      </c>
      <c r="L1653" s="517">
        <f t="shared" si="1337"/>
        <v>643364.05462094094</v>
      </c>
      <c r="M1653" s="517">
        <f t="shared" si="1337"/>
        <v>637714.57782451657</v>
      </c>
      <c r="N1653" s="517">
        <f t="shared" si="1337"/>
        <v>596001.30929443554</v>
      </c>
      <c r="O1653" s="517">
        <f t="shared" si="1337"/>
        <v>615464.92260623712</v>
      </c>
      <c r="P1653" s="511">
        <f t="shared" si="1323"/>
        <v>-7.3427800089120865E-6</v>
      </c>
      <c r="Q1653" s="530">
        <v>448832</v>
      </c>
      <c r="R1653" s="480"/>
      <c r="T1653" s="537"/>
      <c r="U1653" s="513"/>
    </row>
    <row r="1654" spans="1:21" s="479" customFormat="1" x14ac:dyDescent="0.15">
      <c r="A1654" s="579"/>
      <c r="B1654" s="534"/>
      <c r="C1654" s="521"/>
      <c r="D1654" s="522"/>
      <c r="E1654" s="522"/>
      <c r="F1654" s="522"/>
      <c r="G1654" s="522"/>
      <c r="H1654" s="522"/>
      <c r="I1654" s="522"/>
      <c r="J1654" s="522"/>
      <c r="K1654" s="522"/>
      <c r="L1654" s="522"/>
      <c r="M1654" s="522"/>
      <c r="N1654" s="522"/>
      <c r="O1654" s="522"/>
      <c r="P1654" s="511">
        <f t="shared" si="1323"/>
        <v>0</v>
      </c>
      <c r="Q1654" s="530">
        <v>0</v>
      </c>
      <c r="R1654" s="480"/>
      <c r="T1654" s="537"/>
      <c r="U1654" s="513"/>
    </row>
    <row r="1655" spans="1:21" s="479" customFormat="1" x14ac:dyDescent="0.15">
      <c r="A1655" s="591"/>
      <c r="B1655" s="532"/>
      <c r="C1655" s="521"/>
      <c r="D1655" s="521"/>
      <c r="E1655" s="521"/>
      <c r="F1655" s="521"/>
      <c r="G1655" s="521"/>
      <c r="H1655" s="521"/>
      <c r="I1655" s="521"/>
      <c r="J1655" s="521"/>
      <c r="K1655" s="521"/>
      <c r="L1655" s="521"/>
      <c r="M1655" s="521"/>
      <c r="N1655" s="521"/>
      <c r="O1655" s="521"/>
      <c r="P1655" s="511">
        <f t="shared" si="1323"/>
        <v>0</v>
      </c>
      <c r="Q1655" s="530">
        <v>0</v>
      </c>
      <c r="R1655" s="480"/>
      <c r="T1655" s="532"/>
      <c r="U1655" s="513"/>
    </row>
    <row r="1656" spans="1:21" s="479" customFormat="1" x14ac:dyDescent="0.15">
      <c r="A1656" s="584">
        <v>109</v>
      </c>
      <c r="B1656" s="533" t="s">
        <v>50</v>
      </c>
      <c r="C1656" s="524">
        <f t="shared" ref="C1656:O1656" si="1338">SUM(C1657:C1668)</f>
        <v>16570239.746145327</v>
      </c>
      <c r="D1656" s="524">
        <f t="shared" si="1338"/>
        <v>1292809.5232358645</v>
      </c>
      <c r="E1656" s="524">
        <f t="shared" si="1338"/>
        <v>1743837.6924728656</v>
      </c>
      <c r="F1656" s="524">
        <f t="shared" si="1338"/>
        <v>1156031.1900399046</v>
      </c>
      <c r="G1656" s="524">
        <f t="shared" si="1338"/>
        <v>1469187.6094172965</v>
      </c>
      <c r="H1656" s="524">
        <f t="shared" si="1338"/>
        <v>1667448.9350719091</v>
      </c>
      <c r="I1656" s="524">
        <f t="shared" si="1338"/>
        <v>1634360.4777363823</v>
      </c>
      <c r="J1656" s="524">
        <f t="shared" si="1338"/>
        <v>1414159.0319816596</v>
      </c>
      <c r="K1656" s="524">
        <f t="shared" si="1338"/>
        <v>1375219.7893339097</v>
      </c>
      <c r="L1656" s="524">
        <f t="shared" si="1338"/>
        <v>1303128.3503134407</v>
      </c>
      <c r="M1656" s="524">
        <f t="shared" si="1338"/>
        <v>970969.1947144859</v>
      </c>
      <c r="N1656" s="524">
        <f t="shared" si="1338"/>
        <v>1263762.2192143104</v>
      </c>
      <c r="O1656" s="524">
        <f t="shared" si="1338"/>
        <v>1279325.7325652025</v>
      </c>
      <c r="P1656" s="511">
        <f t="shared" si="1323"/>
        <v>4.8093264922499657E-5</v>
      </c>
      <c r="Q1656" s="530">
        <v>1042319</v>
      </c>
      <c r="R1656" s="480"/>
      <c r="T1656" s="512"/>
      <c r="U1656" s="513"/>
    </row>
    <row r="1657" spans="1:21" s="479" customFormat="1" x14ac:dyDescent="0.15">
      <c r="A1657" s="579"/>
      <c r="B1657" s="527" t="s">
        <v>294</v>
      </c>
      <c r="C1657" s="515">
        <f>'FG1'!I124</f>
        <v>11435970.701472016</v>
      </c>
      <c r="D1657" s="515">
        <f t="shared" ref="D1657:O1657" si="1339">$C1657*D$19%</f>
        <v>864956.19705559895</v>
      </c>
      <c r="E1657" s="515">
        <f t="shared" si="1339"/>
        <v>1239265.7387734372</v>
      </c>
      <c r="F1657" s="515">
        <f t="shared" si="1339"/>
        <v>801056.11584347009</v>
      </c>
      <c r="G1657" s="515">
        <f t="shared" si="1339"/>
        <v>984016.27536126017</v>
      </c>
      <c r="H1657" s="515">
        <f t="shared" si="1339"/>
        <v>1201698.8825437897</v>
      </c>
      <c r="I1657" s="515">
        <f t="shared" si="1339"/>
        <v>1178089.0272290772</v>
      </c>
      <c r="J1657" s="515">
        <f t="shared" si="1339"/>
        <v>913258.84826364624</v>
      </c>
      <c r="K1657" s="515">
        <f t="shared" si="1339"/>
        <v>969638.63589726109</v>
      </c>
      <c r="L1657" s="515">
        <f t="shared" si="1339"/>
        <v>911219.81562532356</v>
      </c>
      <c r="M1657" s="515">
        <f t="shared" si="1339"/>
        <v>604068.70910301339</v>
      </c>
      <c r="N1657" s="515">
        <f t="shared" si="1339"/>
        <v>881607.49119104783</v>
      </c>
      <c r="O1657" s="515">
        <f t="shared" si="1339"/>
        <v>887094.96457365493</v>
      </c>
      <c r="P1657" s="511">
        <f t="shared" si="1323"/>
        <v>1.143687404692173E-5</v>
      </c>
      <c r="Q1657" s="530">
        <v>701582</v>
      </c>
      <c r="R1657" s="480"/>
      <c r="U1657" s="513"/>
    </row>
    <row r="1658" spans="1:21" s="479" customFormat="1" x14ac:dyDescent="0.15">
      <c r="A1658" s="579"/>
      <c r="B1658" s="528" t="s">
        <v>296</v>
      </c>
      <c r="C1658" s="517">
        <f>FFM!J124</f>
        <v>3073941.9867908717</v>
      </c>
      <c r="D1658" s="517">
        <f t="shared" ref="D1658:O1658" si="1340">$C1658*D$20%</f>
        <v>232461.14503452773</v>
      </c>
      <c r="E1658" s="517">
        <f t="shared" si="1340"/>
        <v>333270.82183595683</v>
      </c>
      <c r="F1658" s="517">
        <f t="shared" si="1340"/>
        <v>215251.46847971444</v>
      </c>
      <c r="G1658" s="517">
        <f t="shared" si="1340"/>
        <v>264526.60685045272</v>
      </c>
      <c r="H1658" s="517">
        <f t="shared" si="1340"/>
        <v>323153.25363477535</v>
      </c>
      <c r="I1658" s="517">
        <f t="shared" si="1340"/>
        <v>316794.60666401265</v>
      </c>
      <c r="J1658" s="517">
        <f t="shared" si="1340"/>
        <v>245448.57525800116</v>
      </c>
      <c r="K1658" s="517">
        <f t="shared" si="1340"/>
        <v>260632.8747956696</v>
      </c>
      <c r="L1658" s="517">
        <f t="shared" si="1340"/>
        <v>244899.41823942566</v>
      </c>
      <c r="M1658" s="517">
        <f t="shared" si="1340"/>
        <v>162176.96420309469</v>
      </c>
      <c r="N1658" s="517">
        <f t="shared" si="1340"/>
        <v>236924.17782494042</v>
      </c>
      <c r="O1658" s="517">
        <f t="shared" si="1340"/>
        <v>238402.07393341322</v>
      </c>
      <c r="P1658" s="511">
        <f t="shared" si="1323"/>
        <v>3.6887038731947541E-5</v>
      </c>
      <c r="Q1658" s="530">
        <v>214802</v>
      </c>
      <c r="R1658" s="480"/>
      <c r="U1658" s="513"/>
    </row>
    <row r="1659" spans="1:21" s="479" customFormat="1" ht="18" x14ac:dyDescent="0.15">
      <c r="A1659" s="579"/>
      <c r="B1659" s="528" t="s">
        <v>297</v>
      </c>
      <c r="C1659" s="517">
        <f>IEPS!I123</f>
        <v>276567.52245005721</v>
      </c>
      <c r="D1659" s="517">
        <f t="shared" ref="D1659:O1659" si="1341">$C1659*D$21%</f>
        <v>19426.053250839501</v>
      </c>
      <c r="E1659" s="517">
        <f t="shared" si="1341"/>
        <v>44402.259642881254</v>
      </c>
      <c r="F1659" s="517">
        <f t="shared" si="1341"/>
        <v>18442.914313187557</v>
      </c>
      <c r="G1659" s="517">
        <f t="shared" si="1341"/>
        <v>17923.930119397715</v>
      </c>
      <c r="H1659" s="517">
        <f t="shared" si="1341"/>
        <v>19789.004894338905</v>
      </c>
      <c r="I1659" s="517">
        <f t="shared" si="1341"/>
        <v>20521.592328830808</v>
      </c>
      <c r="J1659" s="517">
        <f t="shared" si="1341"/>
        <v>21133.446498887119</v>
      </c>
      <c r="K1659" s="517">
        <f t="shared" si="1341"/>
        <v>23409.671668372026</v>
      </c>
      <c r="L1659" s="517">
        <f t="shared" si="1341"/>
        <v>23458.725576428755</v>
      </c>
      <c r="M1659" s="517">
        <f t="shared" si="1341"/>
        <v>23197.999347991612</v>
      </c>
      <c r="N1659" s="517">
        <f t="shared" si="1341"/>
        <v>22447.987717630451</v>
      </c>
      <c r="O1659" s="517">
        <f t="shared" si="1341"/>
        <v>22413.937090994932</v>
      </c>
      <c r="P1659" s="511">
        <f t="shared" si="1323"/>
        <v>2.7657006285153329E-7</v>
      </c>
      <c r="Q1659" s="530">
        <v>18119</v>
      </c>
      <c r="R1659" s="480"/>
      <c r="U1659" s="513"/>
    </row>
    <row r="1660" spans="1:21" s="479" customFormat="1" x14ac:dyDescent="0.15">
      <c r="A1660" s="579"/>
      <c r="B1660" s="528" t="s">
        <v>236</v>
      </c>
      <c r="C1660" s="517">
        <f>ISR!C114</f>
        <v>292202.76</v>
      </c>
      <c r="D1660" s="517">
        <f>ISR!D114</f>
        <v>24350.229999999992</v>
      </c>
      <c r="E1660" s="517">
        <f>ISR!E114</f>
        <v>24350.229999999992</v>
      </c>
      <c r="F1660" s="517">
        <f>ISR!F114</f>
        <v>24350.229999999992</v>
      </c>
      <c r="G1660" s="517">
        <f>ISR!G114</f>
        <v>24350.229999999992</v>
      </c>
      <c r="H1660" s="517">
        <f>ISR!H114</f>
        <v>24350.229999999992</v>
      </c>
      <c r="I1660" s="517">
        <f>ISR!I114</f>
        <v>24350.229999999992</v>
      </c>
      <c r="J1660" s="517">
        <f>ISR!J114</f>
        <v>24350.229999999992</v>
      </c>
      <c r="K1660" s="517">
        <f>ISR!K114</f>
        <v>24350.229999999992</v>
      </c>
      <c r="L1660" s="517">
        <f>ISR!L114</f>
        <v>24350.229999999992</v>
      </c>
      <c r="M1660" s="517">
        <f>ISR!M114</f>
        <v>24350.229999999992</v>
      </c>
      <c r="N1660" s="517">
        <f>ISR!N114</f>
        <v>24350.229999999992</v>
      </c>
      <c r="O1660" s="517">
        <f>ISR!O114</f>
        <v>24350.229999999992</v>
      </c>
      <c r="P1660" s="511">
        <f t="shared" si="1323"/>
        <v>1.5279510989785194E-10</v>
      </c>
      <c r="Q1660" s="530">
        <v>0</v>
      </c>
      <c r="R1660" s="480"/>
      <c r="U1660" s="513"/>
    </row>
    <row r="1661" spans="1:21" s="479" customFormat="1" ht="18" x14ac:dyDescent="0.15">
      <c r="A1661" s="579"/>
      <c r="B1661" s="528" t="s">
        <v>298</v>
      </c>
      <c r="C1661" s="517">
        <f>FOFIR!I123</f>
        <v>534880.22724419762</v>
      </c>
      <c r="D1661" s="517">
        <f t="shared" ref="D1661:O1661" si="1342">$C1661*D$23%</f>
        <v>73126.415347377653</v>
      </c>
      <c r="E1661" s="517">
        <f t="shared" si="1342"/>
        <v>18604.882031114274</v>
      </c>
      <c r="F1661" s="517">
        <f t="shared" si="1342"/>
        <v>18604.882031114274</v>
      </c>
      <c r="G1661" s="517">
        <f t="shared" si="1342"/>
        <v>104993.57094589407</v>
      </c>
      <c r="H1661" s="517">
        <f t="shared" si="1342"/>
        <v>18604.882031114274</v>
      </c>
      <c r="I1661" s="517">
        <f t="shared" si="1342"/>
        <v>18604.882031114274</v>
      </c>
      <c r="J1661" s="517">
        <f t="shared" si="1342"/>
        <v>130595.08445750632</v>
      </c>
      <c r="K1661" s="517">
        <f t="shared" si="1342"/>
        <v>18604.882031114274</v>
      </c>
      <c r="L1661" s="517">
        <f t="shared" si="1342"/>
        <v>18604.882031114274</v>
      </c>
      <c r="M1661" s="517">
        <f t="shared" si="1342"/>
        <v>77326.100246644884</v>
      </c>
      <c r="N1661" s="517">
        <f t="shared" si="1342"/>
        <v>18604.882031114274</v>
      </c>
      <c r="O1661" s="517">
        <f t="shared" si="1342"/>
        <v>18604.882031114274</v>
      </c>
      <c r="P1661" s="511">
        <f t="shared" si="1323"/>
        <v>-2.1393716451711953E-6</v>
      </c>
      <c r="Q1661" s="530">
        <v>21345</v>
      </c>
      <c r="R1661" s="480"/>
      <c r="U1661" s="513"/>
    </row>
    <row r="1662" spans="1:21" s="479" customFormat="1" ht="27" x14ac:dyDescent="0.15">
      <c r="A1662" s="579"/>
      <c r="B1662" s="528" t="s">
        <v>407</v>
      </c>
      <c r="C1662" s="517">
        <f>FCISAN!I123</f>
        <v>33954.864781803772</v>
      </c>
      <c r="D1662" s="517">
        <f t="shared" ref="D1662:O1662" si="1343">$C1662*D$24%</f>
        <v>2829.5720651389965</v>
      </c>
      <c r="E1662" s="517">
        <f t="shared" si="1343"/>
        <v>2829.5720651389965</v>
      </c>
      <c r="F1662" s="517">
        <f t="shared" si="1343"/>
        <v>2829.5720651389965</v>
      </c>
      <c r="G1662" s="517">
        <f t="shared" si="1343"/>
        <v>2829.5720651389965</v>
      </c>
      <c r="H1662" s="517">
        <f t="shared" si="1343"/>
        <v>2829.5720651389965</v>
      </c>
      <c r="I1662" s="517">
        <f t="shared" si="1343"/>
        <v>2829.5720651389965</v>
      </c>
      <c r="J1662" s="517">
        <f t="shared" si="1343"/>
        <v>2829.5720651389965</v>
      </c>
      <c r="K1662" s="517">
        <f t="shared" si="1343"/>
        <v>2829.5720651389965</v>
      </c>
      <c r="L1662" s="517">
        <f t="shared" si="1343"/>
        <v>2829.5720651389965</v>
      </c>
      <c r="M1662" s="517">
        <f t="shared" si="1343"/>
        <v>2829.5720651389965</v>
      </c>
      <c r="N1662" s="517">
        <f t="shared" si="1343"/>
        <v>2829.5720651389965</v>
      </c>
      <c r="O1662" s="517">
        <f t="shared" si="1343"/>
        <v>2829.5720651389965</v>
      </c>
      <c r="P1662" s="511">
        <f t="shared" si="1323"/>
        <v>1.3581302482634783E-7</v>
      </c>
      <c r="Q1662" s="530">
        <v>2534</v>
      </c>
      <c r="R1662" s="480"/>
      <c r="T1662" s="537"/>
      <c r="U1662" s="513"/>
    </row>
    <row r="1663" spans="1:21" s="479" customFormat="1" ht="27" x14ac:dyDescent="0.15">
      <c r="A1663" s="579"/>
      <c r="B1663" s="528" t="s">
        <v>242</v>
      </c>
      <c r="C1663" s="517">
        <f>ISAN!I123</f>
        <v>169608.53165678252</v>
      </c>
      <c r="D1663" s="517">
        <f t="shared" ref="D1663:O1663" si="1344">$C1663*D$25%</f>
        <v>16322.040868350346</v>
      </c>
      <c r="E1663" s="517">
        <f t="shared" si="1344"/>
        <v>18230.015214561063</v>
      </c>
      <c r="F1663" s="517">
        <f t="shared" si="1344"/>
        <v>14148.101376670875</v>
      </c>
      <c r="G1663" s="517">
        <f t="shared" si="1344"/>
        <v>13130.897464441965</v>
      </c>
      <c r="H1663" s="517">
        <f t="shared" si="1344"/>
        <v>14039.832465204312</v>
      </c>
      <c r="I1663" s="517">
        <f t="shared" si="1344"/>
        <v>12194.021694208044</v>
      </c>
      <c r="J1663" s="517">
        <f t="shared" si="1344"/>
        <v>13210.352872338239</v>
      </c>
      <c r="K1663" s="517">
        <f t="shared" si="1344"/>
        <v>13623.34630342952</v>
      </c>
      <c r="L1663" s="517">
        <f t="shared" si="1344"/>
        <v>13386.726265551823</v>
      </c>
      <c r="M1663" s="517">
        <f t="shared" si="1344"/>
        <v>13715.025730635021</v>
      </c>
      <c r="N1663" s="517">
        <f t="shared" si="1344"/>
        <v>13279.33044707563</v>
      </c>
      <c r="O1663" s="517">
        <f t="shared" si="1344"/>
        <v>14328.840952280383</v>
      </c>
      <c r="P1663" s="511">
        <f t="shared" si="1323"/>
        <v>2.0353054424049333E-6</v>
      </c>
      <c r="Q1663" s="530">
        <v>10906</v>
      </c>
      <c r="R1663" s="480"/>
      <c r="T1663" s="537"/>
      <c r="U1663" s="513"/>
    </row>
    <row r="1664" spans="1:21" s="479" customFormat="1" ht="18" x14ac:dyDescent="0.15">
      <c r="A1664" s="579"/>
      <c r="B1664" s="528" t="s">
        <v>403</v>
      </c>
      <c r="C1664" s="517">
        <f>LOT!I123</f>
        <v>8210.2393477638216</v>
      </c>
      <c r="D1664" s="517">
        <f t="shared" ref="D1664:O1664" si="1345">$C1664*D$26%</f>
        <v>620.77939039954515</v>
      </c>
      <c r="E1664" s="517">
        <f t="shared" si="1345"/>
        <v>611.98025572311917</v>
      </c>
      <c r="F1664" s="517">
        <f t="shared" si="1345"/>
        <v>601.50147245664095</v>
      </c>
      <c r="G1664" s="517">
        <f t="shared" si="1345"/>
        <v>661.78593306692335</v>
      </c>
      <c r="H1664" s="517">
        <f t="shared" si="1345"/>
        <v>541.46135096673811</v>
      </c>
      <c r="I1664" s="517">
        <f t="shared" si="1345"/>
        <v>734.79065919921686</v>
      </c>
      <c r="J1664" s="517">
        <f t="shared" si="1345"/>
        <v>1686.3437727998605</v>
      </c>
      <c r="K1664" s="517">
        <f t="shared" si="1345"/>
        <v>613.88961235189026</v>
      </c>
      <c r="L1664" s="517">
        <f t="shared" si="1345"/>
        <v>744.87879248766035</v>
      </c>
      <c r="M1664" s="517">
        <f t="shared" si="1345"/>
        <v>461.18204923977714</v>
      </c>
      <c r="N1664" s="517">
        <f t="shared" si="1345"/>
        <v>465.82302948696355</v>
      </c>
      <c r="O1664" s="517">
        <f t="shared" si="1345"/>
        <v>465.82302948696355</v>
      </c>
      <c r="P1664" s="511">
        <f t="shared" si="1323"/>
        <v>9.8522946245793719E-8</v>
      </c>
      <c r="Q1664" s="530">
        <v>532</v>
      </c>
      <c r="R1664" s="480"/>
      <c r="T1664" s="537"/>
      <c r="U1664" s="513"/>
    </row>
    <row r="1665" spans="1:21" s="479" customFormat="1" ht="45" x14ac:dyDescent="0.15">
      <c r="A1665" s="579"/>
      <c r="B1665" s="518" t="s">
        <v>301</v>
      </c>
      <c r="C1665" s="517">
        <f>'ENAJENAC DE INMUE'!I123</f>
        <v>32283.635662234497</v>
      </c>
      <c r="D1665" s="517">
        <f t="shared" ref="D1665:O1665" si="1346">$C1665*D$27%</f>
        <v>1394.1919743278786</v>
      </c>
      <c r="E1665" s="517">
        <f t="shared" si="1346"/>
        <v>1414.7270252633077</v>
      </c>
      <c r="F1665" s="517">
        <f t="shared" si="1346"/>
        <v>1395.6546129157232</v>
      </c>
      <c r="G1665" s="517">
        <f t="shared" si="1346"/>
        <v>1387.4792569474082</v>
      </c>
      <c r="H1665" s="517">
        <f t="shared" si="1346"/>
        <v>1924.698704365361</v>
      </c>
      <c r="I1665" s="517">
        <f t="shared" si="1346"/>
        <v>1385.3549937208334</v>
      </c>
      <c r="J1665" s="517">
        <f t="shared" si="1346"/>
        <v>1592.1594060985592</v>
      </c>
      <c r="K1665" s="517">
        <f t="shared" si="1346"/>
        <v>1590.5205368255545</v>
      </c>
      <c r="L1665" s="517">
        <f t="shared" si="1346"/>
        <v>1588.5056581432577</v>
      </c>
      <c r="M1665" s="517">
        <f t="shared" si="1346"/>
        <v>1387.2521320791354</v>
      </c>
      <c r="N1665" s="517">
        <f t="shared" si="1346"/>
        <v>5767.6842032365903</v>
      </c>
      <c r="O1665" s="517">
        <f t="shared" si="1346"/>
        <v>11455.40715824632</v>
      </c>
      <c r="P1665" s="511">
        <f t="shared" si="1323"/>
        <v>6.4568666857667267E-8</v>
      </c>
      <c r="Q1665" s="530">
        <v>7774</v>
      </c>
      <c r="R1665" s="480"/>
      <c r="T1665" s="537"/>
      <c r="U1665" s="513"/>
    </row>
    <row r="1666" spans="1:21" s="479" customFormat="1" ht="27" x14ac:dyDescent="0.15">
      <c r="A1666" s="579"/>
      <c r="B1666" s="518" t="s">
        <v>248</v>
      </c>
      <c r="C1666" s="517">
        <f>'IMP BEBIDAS AL'!I123</f>
        <v>12618.150827592461</v>
      </c>
      <c r="D1666" s="517">
        <f t="shared" ref="D1666:O1666" si="1347">$C1666*D$28%</f>
        <v>2869.2488297050586</v>
      </c>
      <c r="E1666" s="517">
        <f t="shared" si="1347"/>
        <v>986.91740031733354</v>
      </c>
      <c r="F1666" s="517">
        <f t="shared" si="1347"/>
        <v>1060.5938129345056</v>
      </c>
      <c r="G1666" s="517">
        <f t="shared" si="1347"/>
        <v>1052.980163063693</v>
      </c>
      <c r="H1666" s="517">
        <f t="shared" si="1347"/>
        <v>670.5428420033802</v>
      </c>
      <c r="I1666" s="517">
        <f t="shared" si="1347"/>
        <v>1097.3444396236598</v>
      </c>
      <c r="J1666" s="517">
        <f t="shared" si="1347"/>
        <v>1091.1676501054244</v>
      </c>
      <c r="K1666" s="517">
        <f t="shared" si="1347"/>
        <v>997.9524323657364</v>
      </c>
      <c r="L1666" s="517">
        <f t="shared" si="1347"/>
        <v>723.74318581356295</v>
      </c>
      <c r="M1666" s="517">
        <f t="shared" si="1347"/>
        <v>672.78340134377709</v>
      </c>
      <c r="N1666" s="517">
        <f t="shared" si="1347"/>
        <v>677.53904400315901</v>
      </c>
      <c r="O1666" s="517">
        <f t="shared" si="1347"/>
        <v>717.33762631317086</v>
      </c>
      <c r="P1666" s="511">
        <f t="shared" si="1323"/>
        <v>-1.8189894035458565E-12</v>
      </c>
      <c r="Q1666" s="530">
        <v>331</v>
      </c>
      <c r="R1666" s="480"/>
      <c r="T1666" s="537"/>
      <c r="U1666" s="513"/>
    </row>
    <row r="1667" spans="1:21" s="479" customFormat="1" ht="18" x14ac:dyDescent="0.15">
      <c r="A1667" s="579"/>
      <c r="B1667" s="518" t="s">
        <v>253</v>
      </c>
      <c r="C1667" s="517">
        <f>'FOND GASO Y D'!Q124</f>
        <v>0</v>
      </c>
      <c r="D1667" s="517">
        <f t="shared" ref="D1667:O1667" si="1348">$C1667*D$29%</f>
        <v>0</v>
      </c>
      <c r="E1667" s="517">
        <f t="shared" si="1348"/>
        <v>0</v>
      </c>
      <c r="F1667" s="517">
        <f t="shared" si="1348"/>
        <v>0</v>
      </c>
      <c r="G1667" s="517">
        <f t="shared" si="1348"/>
        <v>0</v>
      </c>
      <c r="H1667" s="517">
        <f t="shared" si="1348"/>
        <v>0</v>
      </c>
      <c r="I1667" s="517">
        <f t="shared" si="1348"/>
        <v>0</v>
      </c>
      <c r="J1667" s="517">
        <f t="shared" si="1348"/>
        <v>0</v>
      </c>
      <c r="K1667" s="517">
        <f t="shared" si="1348"/>
        <v>0</v>
      </c>
      <c r="L1667" s="517">
        <f t="shared" si="1348"/>
        <v>0</v>
      </c>
      <c r="M1667" s="517">
        <f t="shared" si="1348"/>
        <v>0</v>
      </c>
      <c r="N1667" s="517">
        <f t="shared" si="1348"/>
        <v>0</v>
      </c>
      <c r="O1667" s="517">
        <f t="shared" si="1348"/>
        <v>0</v>
      </c>
      <c r="P1667" s="511">
        <f t="shared" si="1323"/>
        <v>0</v>
      </c>
      <c r="Q1667" s="530">
        <v>21613</v>
      </c>
      <c r="R1667" s="480"/>
      <c r="T1667" s="537"/>
      <c r="U1667" s="513"/>
    </row>
    <row r="1668" spans="1:21" s="479" customFormat="1" ht="18" x14ac:dyDescent="0.15">
      <c r="A1668" s="579"/>
      <c r="B1668" s="528" t="s">
        <v>408</v>
      </c>
      <c r="C1668" s="519">
        <f>'FOND GASO Y D'!H124</f>
        <v>700001.12591200601</v>
      </c>
      <c r="D1668" s="517">
        <f t="shared" ref="D1668:O1668" si="1349">$C1668*D$30%</f>
        <v>54453.649419598631</v>
      </c>
      <c r="E1668" s="517">
        <f t="shared" si="1349"/>
        <v>59870.548228472333</v>
      </c>
      <c r="F1668" s="517">
        <f t="shared" si="1349"/>
        <v>58290.156032301355</v>
      </c>
      <c r="G1668" s="517">
        <f t="shared" si="1349"/>
        <v>54314.281257632858</v>
      </c>
      <c r="H1668" s="517">
        <f t="shared" si="1349"/>
        <v>59846.574540212008</v>
      </c>
      <c r="I1668" s="517">
        <f t="shared" si="1349"/>
        <v>57759.055631456555</v>
      </c>
      <c r="J1668" s="517">
        <f t="shared" si="1349"/>
        <v>58963.251737137522</v>
      </c>
      <c r="K1668" s="517">
        <f t="shared" si="1349"/>
        <v>58928.213991381293</v>
      </c>
      <c r="L1668" s="517">
        <f t="shared" si="1349"/>
        <v>61321.852874013326</v>
      </c>
      <c r="M1668" s="517">
        <f t="shared" si="1349"/>
        <v>60783.376435304606</v>
      </c>
      <c r="N1668" s="517">
        <f t="shared" si="1349"/>
        <v>56807.501660636117</v>
      </c>
      <c r="O1668" s="517">
        <f t="shared" si="1349"/>
        <v>58662.664104559408</v>
      </c>
      <c r="P1668" s="511">
        <f t="shared" si="1323"/>
        <v>-7.0002715801820159E-7</v>
      </c>
      <c r="Q1668" s="530">
        <v>42781</v>
      </c>
      <c r="R1668" s="480"/>
      <c r="T1668" s="537"/>
      <c r="U1668" s="513"/>
    </row>
    <row r="1669" spans="1:21" s="479" customFormat="1" x14ac:dyDescent="0.15">
      <c r="A1669" s="579"/>
      <c r="B1669" s="534"/>
      <c r="C1669" s="521"/>
      <c r="D1669" s="522"/>
      <c r="E1669" s="522"/>
      <c r="F1669" s="522"/>
      <c r="G1669" s="522"/>
      <c r="H1669" s="522"/>
      <c r="I1669" s="522"/>
      <c r="J1669" s="522"/>
      <c r="K1669" s="522"/>
      <c r="L1669" s="522"/>
      <c r="M1669" s="522"/>
      <c r="N1669" s="522"/>
      <c r="O1669" s="522"/>
      <c r="P1669" s="511">
        <f t="shared" si="1323"/>
        <v>0</v>
      </c>
      <c r="Q1669" s="530">
        <v>0</v>
      </c>
      <c r="R1669" s="480"/>
      <c r="T1669" s="537"/>
      <c r="U1669" s="513"/>
    </row>
    <row r="1670" spans="1:21" s="479" customFormat="1" x14ac:dyDescent="0.15">
      <c r="A1670" s="591"/>
      <c r="B1670" s="532"/>
      <c r="C1670" s="521"/>
      <c r="D1670" s="522"/>
      <c r="E1670" s="522"/>
      <c r="F1670" s="522"/>
      <c r="G1670" s="522"/>
      <c r="H1670" s="522"/>
      <c r="I1670" s="522"/>
      <c r="J1670" s="522"/>
      <c r="K1670" s="522"/>
      <c r="L1670" s="522"/>
      <c r="M1670" s="522"/>
      <c r="N1670" s="522"/>
      <c r="O1670" s="522"/>
      <c r="P1670" s="511">
        <f t="shared" si="1323"/>
        <v>0</v>
      </c>
      <c r="Q1670" s="530">
        <v>0</v>
      </c>
      <c r="R1670" s="480"/>
      <c r="T1670" s="536"/>
      <c r="U1670" s="513"/>
    </row>
    <row r="1671" spans="1:21" s="479" customFormat="1" x14ac:dyDescent="0.15">
      <c r="A1671" s="584">
        <v>110</v>
      </c>
      <c r="B1671" s="533" t="s">
        <v>111</v>
      </c>
      <c r="C1671" s="524">
        <f t="shared" ref="C1671:O1671" si="1350">SUM(C1672:C1683)</f>
        <v>92653410.004759744</v>
      </c>
      <c r="D1671" s="524">
        <f t="shared" si="1350"/>
        <v>7241505.1857414478</v>
      </c>
      <c r="E1671" s="524">
        <f t="shared" si="1350"/>
        <v>9733313.1249032188</v>
      </c>
      <c r="F1671" s="524">
        <f t="shared" si="1350"/>
        <v>6515261.719592806</v>
      </c>
      <c r="G1671" s="524">
        <f t="shared" si="1350"/>
        <v>8204937.2889846163</v>
      </c>
      <c r="H1671" s="524">
        <f t="shared" si="1350"/>
        <v>9300172.1713851206</v>
      </c>
      <c r="I1671" s="524">
        <f t="shared" si="1350"/>
        <v>9105644.0144252181</v>
      </c>
      <c r="J1671" s="524">
        <f t="shared" si="1350"/>
        <v>7940921.8319327682</v>
      </c>
      <c r="K1671" s="524">
        <f t="shared" si="1350"/>
        <v>7686971.2560772495</v>
      </c>
      <c r="L1671" s="524">
        <f t="shared" si="1350"/>
        <v>7270090.521601364</v>
      </c>
      <c r="M1671" s="524">
        <f t="shared" si="1350"/>
        <v>5424951.9864501506</v>
      </c>
      <c r="N1671" s="524">
        <f t="shared" si="1350"/>
        <v>7073844.9242038475</v>
      </c>
      <c r="O1671" s="524">
        <f t="shared" si="1350"/>
        <v>7155795.9791932795</v>
      </c>
      <c r="P1671" s="511">
        <f t="shared" si="1323"/>
        <v>2.6865024119615555E-4</v>
      </c>
      <c r="Q1671" s="530">
        <v>5494875</v>
      </c>
      <c r="R1671" s="480"/>
      <c r="T1671" s="512"/>
      <c r="U1671" s="513"/>
    </row>
    <row r="1672" spans="1:21" s="479" customFormat="1" x14ac:dyDescent="0.15">
      <c r="A1672" s="579"/>
      <c r="B1672" s="527" t="s">
        <v>294</v>
      </c>
      <c r="C1672" s="515">
        <f>'FG1'!I125</f>
        <v>63483924.395392917</v>
      </c>
      <c r="D1672" s="515">
        <f t="shared" ref="D1672:O1672" si="1351">$C1672*D$19%</f>
        <v>4801587.4867654396</v>
      </c>
      <c r="E1672" s="515">
        <f t="shared" si="1351"/>
        <v>6879473.0696509164</v>
      </c>
      <c r="F1672" s="515">
        <f t="shared" si="1351"/>
        <v>4446862.2054206654</v>
      </c>
      <c r="G1672" s="515">
        <f t="shared" si="1351"/>
        <v>5462519.6635760413</v>
      </c>
      <c r="H1672" s="515">
        <f t="shared" si="1351"/>
        <v>6670930.0851582605</v>
      </c>
      <c r="I1672" s="515">
        <f t="shared" si="1351"/>
        <v>6539865.8922784701</v>
      </c>
      <c r="J1672" s="515">
        <f t="shared" si="1351"/>
        <v>5069727.5456582103</v>
      </c>
      <c r="K1672" s="515">
        <f t="shared" si="1351"/>
        <v>5382705.802510513</v>
      </c>
      <c r="L1672" s="515">
        <f t="shared" si="1351"/>
        <v>5058408.3671441944</v>
      </c>
      <c r="M1672" s="515">
        <f t="shared" si="1351"/>
        <v>3353336.0008855332</v>
      </c>
      <c r="N1672" s="515">
        <f t="shared" si="1351"/>
        <v>4894022.9717430482</v>
      </c>
      <c r="O1672" s="515">
        <f t="shared" si="1351"/>
        <v>4924485.3045381401</v>
      </c>
      <c r="P1672" s="511">
        <f t="shared" si="1323"/>
        <v>6.3485465943813324E-5</v>
      </c>
      <c r="Q1672" s="530">
        <v>3796374</v>
      </c>
      <c r="R1672" s="480"/>
      <c r="U1672" s="513"/>
    </row>
    <row r="1673" spans="1:21" s="479" customFormat="1" x14ac:dyDescent="0.15">
      <c r="A1673" s="579"/>
      <c r="B1673" s="528" t="s">
        <v>296</v>
      </c>
      <c r="C1673" s="517">
        <f>FFM!J125</f>
        <v>17064218.314247414</v>
      </c>
      <c r="D1673" s="517">
        <f t="shared" ref="D1673:O1673" si="1352">$C1673*D$20%</f>
        <v>1290449.7695450431</v>
      </c>
      <c r="E1673" s="517">
        <f t="shared" si="1352"/>
        <v>1850069.417710297</v>
      </c>
      <c r="F1673" s="517">
        <f t="shared" si="1352"/>
        <v>1194914.5645506561</v>
      </c>
      <c r="G1673" s="517">
        <f t="shared" si="1352"/>
        <v>1468453.1421283181</v>
      </c>
      <c r="H1673" s="517">
        <f t="shared" si="1352"/>
        <v>1793904.2742768356</v>
      </c>
      <c r="I1673" s="517">
        <f t="shared" si="1352"/>
        <v>1758605.8397069629</v>
      </c>
      <c r="J1673" s="517">
        <f t="shared" si="1352"/>
        <v>1362546.2325318975</v>
      </c>
      <c r="K1673" s="517">
        <f t="shared" si="1352"/>
        <v>1446838.0647698259</v>
      </c>
      <c r="L1673" s="517">
        <f t="shared" si="1352"/>
        <v>1359497.7250148261</v>
      </c>
      <c r="M1673" s="517">
        <f t="shared" si="1352"/>
        <v>900284.75963289884</v>
      </c>
      <c r="N1673" s="517">
        <f t="shared" si="1352"/>
        <v>1315225.1772158802</v>
      </c>
      <c r="O1673" s="517">
        <f t="shared" si="1352"/>
        <v>1323429.3469592023</v>
      </c>
      <c r="P1673" s="511">
        <f t="shared" si="1323"/>
        <v>2.047691959887743E-4</v>
      </c>
      <c r="Q1673" s="530">
        <v>1162326</v>
      </c>
      <c r="R1673" s="480"/>
      <c r="U1673" s="513"/>
    </row>
    <row r="1674" spans="1:21" s="479" customFormat="1" ht="18" x14ac:dyDescent="0.15">
      <c r="A1674" s="579"/>
      <c r="B1674" s="528" t="s">
        <v>297</v>
      </c>
      <c r="C1674" s="517">
        <f>IEPS!I124</f>
        <v>1535295.2664683363</v>
      </c>
      <c r="D1674" s="517">
        <f t="shared" ref="D1674:O1674" si="1353">$C1674*D$21%</f>
        <v>107838.86458527138</v>
      </c>
      <c r="E1674" s="517">
        <f t="shared" si="1353"/>
        <v>246488.01293190141</v>
      </c>
      <c r="F1674" s="517">
        <f t="shared" si="1353"/>
        <v>102381.21524204341</v>
      </c>
      <c r="G1674" s="517">
        <f t="shared" si="1353"/>
        <v>99500.204597558535</v>
      </c>
      <c r="H1674" s="517">
        <f t="shared" si="1353"/>
        <v>109853.69964357858</v>
      </c>
      <c r="I1674" s="517">
        <f t="shared" si="1353"/>
        <v>113920.47512931084</v>
      </c>
      <c r="J1674" s="517">
        <f t="shared" si="1353"/>
        <v>117317.03016489351</v>
      </c>
      <c r="K1674" s="517">
        <f t="shared" si="1353"/>
        <v>129952.92355240193</v>
      </c>
      <c r="L1674" s="517">
        <f t="shared" si="1353"/>
        <v>130225.23402535297</v>
      </c>
      <c r="M1674" s="517">
        <f t="shared" si="1353"/>
        <v>128777.8777312459</v>
      </c>
      <c r="N1674" s="517">
        <f t="shared" si="1353"/>
        <v>124614.37619032428</v>
      </c>
      <c r="O1674" s="517">
        <f t="shared" si="1353"/>
        <v>124425.3526729182</v>
      </c>
      <c r="P1674" s="511">
        <f t="shared" si="1323"/>
        <v>1.5352852642536163E-6</v>
      </c>
      <c r="Q1674" s="530">
        <v>98044</v>
      </c>
      <c r="R1674" s="480"/>
      <c r="U1674" s="513"/>
    </row>
    <row r="1675" spans="1:21" s="479" customFormat="1" x14ac:dyDescent="0.15">
      <c r="A1675" s="579"/>
      <c r="B1675" s="528" t="s">
        <v>236</v>
      </c>
      <c r="C1675" s="517">
        <f>ISR!C115</f>
        <v>3967517.77</v>
      </c>
      <c r="D1675" s="517">
        <f>ISR!D115</f>
        <v>330469.31999999989</v>
      </c>
      <c r="E1675" s="517">
        <f>ISR!E115</f>
        <v>331489.01999999996</v>
      </c>
      <c r="F1675" s="517">
        <f>ISR!F115</f>
        <v>372710.64999999997</v>
      </c>
      <c r="G1675" s="517">
        <f>ISR!G115</f>
        <v>314448.70000000013</v>
      </c>
      <c r="H1675" s="517">
        <f>ISR!H115</f>
        <v>322343.65000000026</v>
      </c>
      <c r="I1675" s="517">
        <f>ISR!I115</f>
        <v>306495.03999999992</v>
      </c>
      <c r="J1675" s="517">
        <f>ISR!J115</f>
        <v>367051.82999999996</v>
      </c>
      <c r="K1675" s="517">
        <f>ISR!K115</f>
        <v>329178.72999999986</v>
      </c>
      <c r="L1675" s="517">
        <f>ISR!L115</f>
        <v>318231.8899999999</v>
      </c>
      <c r="M1675" s="517">
        <f>ISR!M115</f>
        <v>315701.18000000005</v>
      </c>
      <c r="N1675" s="517">
        <f>ISR!N115</f>
        <v>329698.87999999989</v>
      </c>
      <c r="O1675" s="517">
        <f>ISR!O115</f>
        <v>329698.87999999989</v>
      </c>
      <c r="P1675" s="511">
        <f t="shared" si="1323"/>
        <v>0</v>
      </c>
      <c r="Q1675" s="530">
        <v>0</v>
      </c>
      <c r="R1675" s="480"/>
      <c r="U1675" s="513"/>
    </row>
    <row r="1676" spans="1:21" s="479" customFormat="1" ht="18" x14ac:dyDescent="0.15">
      <c r="A1676" s="579"/>
      <c r="B1676" s="528" t="s">
        <v>298</v>
      </c>
      <c r="C1676" s="517">
        <f>FOFIR!I124</f>
        <v>2969253.4891323601</v>
      </c>
      <c r="D1676" s="517">
        <f t="shared" ref="D1676:O1676" si="1354">$C1676*D$23%</f>
        <v>405942.96229015954</v>
      </c>
      <c r="E1676" s="517">
        <f t="shared" si="1354"/>
        <v>103280.33842343026</v>
      </c>
      <c r="F1676" s="517">
        <f t="shared" si="1354"/>
        <v>103280.33842343026</v>
      </c>
      <c r="G1676" s="517">
        <f t="shared" si="1354"/>
        <v>582845.4876220962</v>
      </c>
      <c r="H1676" s="517">
        <f t="shared" si="1354"/>
        <v>103280.33842343026</v>
      </c>
      <c r="I1676" s="517">
        <f t="shared" si="1354"/>
        <v>103280.33842343026</v>
      </c>
      <c r="J1676" s="517">
        <f t="shared" si="1354"/>
        <v>724965.87168093421</v>
      </c>
      <c r="K1676" s="517">
        <f t="shared" si="1354"/>
        <v>103280.33842343026</v>
      </c>
      <c r="L1676" s="517">
        <f t="shared" si="1354"/>
        <v>103280.33842343026</v>
      </c>
      <c r="M1676" s="517">
        <f t="shared" si="1354"/>
        <v>429256.46016360511</v>
      </c>
      <c r="N1676" s="517">
        <f t="shared" si="1354"/>
        <v>103280.33842343026</v>
      </c>
      <c r="O1676" s="517">
        <f t="shared" si="1354"/>
        <v>103280.33842343026</v>
      </c>
      <c r="P1676" s="511">
        <f t="shared" si="1323"/>
        <v>-1.1877185897901654E-5</v>
      </c>
      <c r="Q1676" s="530">
        <v>115486</v>
      </c>
      <c r="R1676" s="480"/>
      <c r="T1676" s="537"/>
      <c r="U1676" s="513"/>
    </row>
    <row r="1677" spans="1:21" s="479" customFormat="1" ht="27" x14ac:dyDescent="0.15">
      <c r="A1677" s="579"/>
      <c r="B1677" s="528" t="s">
        <v>407</v>
      </c>
      <c r="C1677" s="517">
        <f>FCISAN!I124</f>
        <v>188491.91948230134</v>
      </c>
      <c r="D1677" s="517">
        <f t="shared" ref="D1677:O1677" si="1355">$C1677*D$24%</f>
        <v>15707.659956795616</v>
      </c>
      <c r="E1677" s="517">
        <f t="shared" si="1355"/>
        <v>15707.659956795616</v>
      </c>
      <c r="F1677" s="517">
        <f t="shared" si="1355"/>
        <v>15707.659956795616</v>
      </c>
      <c r="G1677" s="517">
        <f t="shared" si="1355"/>
        <v>15707.659956795616</v>
      </c>
      <c r="H1677" s="517">
        <f t="shared" si="1355"/>
        <v>15707.659956795616</v>
      </c>
      <c r="I1677" s="517">
        <f t="shared" si="1355"/>
        <v>15707.659956795616</v>
      </c>
      <c r="J1677" s="517">
        <f t="shared" si="1355"/>
        <v>15707.659956795616</v>
      </c>
      <c r="K1677" s="517">
        <f t="shared" si="1355"/>
        <v>15707.659956795616</v>
      </c>
      <c r="L1677" s="517">
        <f t="shared" si="1355"/>
        <v>15707.659956795616</v>
      </c>
      <c r="M1677" s="517">
        <f t="shared" si="1355"/>
        <v>15707.659956795616</v>
      </c>
      <c r="N1677" s="517">
        <f t="shared" si="1355"/>
        <v>15707.659956795616</v>
      </c>
      <c r="O1677" s="517">
        <f t="shared" si="1355"/>
        <v>15707.659956795616</v>
      </c>
      <c r="P1677" s="511">
        <f t="shared" si="1323"/>
        <v>7.5391653808765113E-7</v>
      </c>
      <c r="Q1677" s="530">
        <v>13740</v>
      </c>
      <c r="R1677" s="480"/>
      <c r="T1677" s="537"/>
      <c r="U1677" s="513"/>
    </row>
    <row r="1678" spans="1:21" s="479" customFormat="1" ht="27" x14ac:dyDescent="0.15">
      <c r="A1678" s="579"/>
      <c r="B1678" s="528" t="s">
        <v>242</v>
      </c>
      <c r="C1678" s="517">
        <f>ISAN!I124</f>
        <v>941539.24328669591</v>
      </c>
      <c r="D1678" s="517">
        <f t="shared" ref="D1678:O1678" si="1356">$C1678*D$25%</f>
        <v>90607.718007837393</v>
      </c>
      <c r="E1678" s="517">
        <f t="shared" si="1356"/>
        <v>101199.35926900285</v>
      </c>
      <c r="F1678" s="517">
        <f t="shared" si="1356"/>
        <v>78539.637918040185</v>
      </c>
      <c r="G1678" s="517">
        <f t="shared" si="1356"/>
        <v>72892.88540840619</v>
      </c>
      <c r="H1678" s="517">
        <f t="shared" si="1356"/>
        <v>77938.610198632858</v>
      </c>
      <c r="I1678" s="517">
        <f t="shared" si="1356"/>
        <v>67692.054441101413</v>
      </c>
      <c r="J1678" s="517">
        <f t="shared" si="1356"/>
        <v>73333.962186177479</v>
      </c>
      <c r="K1678" s="517">
        <f t="shared" si="1356"/>
        <v>75626.591683017483</v>
      </c>
      <c r="L1678" s="517">
        <f t="shared" si="1356"/>
        <v>74313.05486247201</v>
      </c>
      <c r="M1678" s="517">
        <f t="shared" si="1356"/>
        <v>76135.527039469365</v>
      </c>
      <c r="N1678" s="517">
        <f t="shared" si="1356"/>
        <v>73716.873899919665</v>
      </c>
      <c r="O1678" s="517">
        <f t="shared" si="1356"/>
        <v>79542.968361320571</v>
      </c>
      <c r="P1678" s="511">
        <f t="shared" si="1323"/>
        <v>1.1298485333099961E-5</v>
      </c>
      <c r="Q1678" s="530">
        <v>59015</v>
      </c>
      <c r="R1678" s="480"/>
      <c r="T1678" s="537"/>
      <c r="U1678" s="513"/>
    </row>
    <row r="1679" spans="1:21" s="479" customFormat="1" ht="18" x14ac:dyDescent="0.15">
      <c r="A1679" s="579"/>
      <c r="B1679" s="528" t="s">
        <v>403</v>
      </c>
      <c r="C1679" s="517">
        <f>LOT!I124</f>
        <v>45577.08546371392</v>
      </c>
      <c r="D1679" s="517">
        <f t="shared" ref="D1679:O1679" si="1357">$C1679*D$26%</f>
        <v>3446.1011587997609</v>
      </c>
      <c r="E1679" s="517">
        <f t="shared" si="1357"/>
        <v>3397.2549685527711</v>
      </c>
      <c r="F1679" s="517">
        <f t="shared" si="1357"/>
        <v>3339.0846302395412</v>
      </c>
      <c r="G1679" s="517">
        <f t="shared" si="1357"/>
        <v>3673.7387002353298</v>
      </c>
      <c r="H1679" s="517">
        <f t="shared" si="1357"/>
        <v>3005.786947615662</v>
      </c>
      <c r="I1679" s="517">
        <f t="shared" si="1357"/>
        <v>4079.0061353549677</v>
      </c>
      <c r="J1679" s="517">
        <f t="shared" si="1357"/>
        <v>9361.3146948066224</v>
      </c>
      <c r="K1679" s="517">
        <f t="shared" si="1357"/>
        <v>3407.854283209037</v>
      </c>
      <c r="L1679" s="517">
        <f t="shared" si="1357"/>
        <v>4135.007878249583</v>
      </c>
      <c r="M1679" s="517">
        <f t="shared" si="1357"/>
        <v>2560.1365297903239</v>
      </c>
      <c r="N1679" s="517">
        <f t="shared" si="1357"/>
        <v>2585.8997681566984</v>
      </c>
      <c r="O1679" s="517">
        <f t="shared" si="1357"/>
        <v>2585.8997681566984</v>
      </c>
      <c r="P1679" s="511">
        <f t="shared" si="1323"/>
        <v>5.4692009143764153E-7</v>
      </c>
      <c r="Q1679" s="530">
        <v>2883</v>
      </c>
      <c r="R1679" s="480"/>
      <c r="T1679" s="537"/>
      <c r="U1679" s="513"/>
    </row>
    <row r="1680" spans="1:21" s="479" customFormat="1" ht="45" x14ac:dyDescent="0.15">
      <c r="A1680" s="579"/>
      <c r="B1680" s="518" t="s">
        <v>301</v>
      </c>
      <c r="C1680" s="517">
        <f>'ENAJENAC DE INMUE'!I124</f>
        <v>179214.50999571892</v>
      </c>
      <c r="D1680" s="517">
        <f t="shared" ref="D1680:O1680" si="1358">$C1680*D$27%</f>
        <v>7739.5072269205757</v>
      </c>
      <c r="E1680" s="517">
        <f t="shared" si="1358"/>
        <v>7853.5024141303957</v>
      </c>
      <c r="F1680" s="517">
        <f t="shared" si="1358"/>
        <v>7747.6266983631313</v>
      </c>
      <c r="G1680" s="517">
        <f t="shared" si="1358"/>
        <v>7702.2432592352989</v>
      </c>
      <c r="H1680" s="517">
        <f t="shared" si="1358"/>
        <v>10684.482342728768</v>
      </c>
      <c r="I1680" s="517">
        <f t="shared" si="1358"/>
        <v>7690.4509444775813</v>
      </c>
      <c r="J1680" s="517">
        <f t="shared" si="1358"/>
        <v>8838.473794722493</v>
      </c>
      <c r="K1680" s="517">
        <f t="shared" si="1358"/>
        <v>8829.3760228116244</v>
      </c>
      <c r="L1680" s="517">
        <f t="shared" si="1358"/>
        <v>8818.1909289291834</v>
      </c>
      <c r="M1680" s="517">
        <f t="shared" si="1358"/>
        <v>7700.9824324684132</v>
      </c>
      <c r="N1680" s="517">
        <f t="shared" si="1358"/>
        <v>32017.852918042448</v>
      </c>
      <c r="O1680" s="517">
        <f t="shared" si="1358"/>
        <v>63591.821012530578</v>
      </c>
      <c r="P1680" s="511">
        <f t="shared" si="1323"/>
        <v>3.5844277590513229E-7</v>
      </c>
      <c r="Q1680" s="530">
        <v>42060</v>
      </c>
      <c r="R1680" s="480"/>
      <c r="T1680" s="537"/>
      <c r="U1680" s="513"/>
    </row>
    <row r="1681" spans="1:21" s="479" customFormat="1" ht="27" x14ac:dyDescent="0.15">
      <c r="A1681" s="579"/>
      <c r="B1681" s="518" t="s">
        <v>248</v>
      </c>
      <c r="C1681" s="517">
        <f>'IMP BEBIDAS AL'!I124</f>
        <v>70046.500997544063</v>
      </c>
      <c r="D1681" s="517">
        <f t="shared" ref="D1681:O1681" si="1359">$C1681*D$28%</f>
        <v>15927.915568471975</v>
      </c>
      <c r="E1681" s="517">
        <f t="shared" si="1359"/>
        <v>5478.624531468824</v>
      </c>
      <c r="F1681" s="517">
        <f t="shared" si="1359"/>
        <v>5887.6206657200482</v>
      </c>
      <c r="G1681" s="517">
        <f t="shared" si="1359"/>
        <v>5845.3553971749452</v>
      </c>
      <c r="H1681" s="517">
        <f t="shared" si="1359"/>
        <v>3722.3504848727116</v>
      </c>
      <c r="I1681" s="517">
        <f t="shared" si="1359"/>
        <v>6091.6325565442585</v>
      </c>
      <c r="J1681" s="517">
        <f t="shared" si="1359"/>
        <v>6057.3436580311281</v>
      </c>
      <c r="K1681" s="517">
        <f t="shared" si="1359"/>
        <v>5539.8827454454795</v>
      </c>
      <c r="L1681" s="517">
        <f t="shared" si="1359"/>
        <v>4017.6788564135568</v>
      </c>
      <c r="M1681" s="517">
        <f t="shared" si="1359"/>
        <v>3734.7883883513236</v>
      </c>
      <c r="N1681" s="517">
        <f t="shared" si="1359"/>
        <v>3761.188146353576</v>
      </c>
      <c r="O1681" s="517">
        <f t="shared" si="1359"/>
        <v>3982.119998696237</v>
      </c>
      <c r="P1681" s="511">
        <f t="shared" si="1323"/>
        <v>0</v>
      </c>
      <c r="Q1681" s="530">
        <v>1801</v>
      </c>
      <c r="R1681" s="480"/>
      <c r="T1681" s="537"/>
      <c r="U1681" s="513"/>
    </row>
    <row r="1682" spans="1:21" s="479" customFormat="1" ht="18" x14ac:dyDescent="0.15">
      <c r="A1682" s="579"/>
      <c r="B1682" s="518" t="s">
        <v>253</v>
      </c>
      <c r="C1682" s="517">
        <f>'FOND GASO Y D'!Q125</f>
        <v>0</v>
      </c>
      <c r="D1682" s="517">
        <f t="shared" ref="D1682:O1682" si="1360">$C1682*D$29%</f>
        <v>0</v>
      </c>
      <c r="E1682" s="517">
        <f t="shared" si="1360"/>
        <v>0</v>
      </c>
      <c r="F1682" s="517">
        <f t="shared" si="1360"/>
        <v>0</v>
      </c>
      <c r="G1682" s="517">
        <f t="shared" si="1360"/>
        <v>0</v>
      </c>
      <c r="H1682" s="517">
        <f t="shared" si="1360"/>
        <v>0</v>
      </c>
      <c r="I1682" s="517">
        <f t="shared" si="1360"/>
        <v>0</v>
      </c>
      <c r="J1682" s="517">
        <f t="shared" si="1360"/>
        <v>0</v>
      </c>
      <c r="K1682" s="517">
        <f t="shared" si="1360"/>
        <v>0</v>
      </c>
      <c r="L1682" s="517">
        <f t="shared" si="1360"/>
        <v>0</v>
      </c>
      <c r="M1682" s="517">
        <f t="shared" si="1360"/>
        <v>0</v>
      </c>
      <c r="N1682" s="517">
        <f t="shared" si="1360"/>
        <v>0</v>
      </c>
      <c r="O1682" s="517">
        <f t="shared" si="1360"/>
        <v>0</v>
      </c>
      <c r="P1682" s="511">
        <f t="shared" si="1323"/>
        <v>0</v>
      </c>
      <c r="Q1682" s="530">
        <v>68184</v>
      </c>
      <c r="R1682" s="480"/>
      <c r="T1682" s="537"/>
      <c r="U1682" s="513"/>
    </row>
    <row r="1683" spans="1:21" s="479" customFormat="1" ht="18" x14ac:dyDescent="0.15">
      <c r="A1683" s="579"/>
      <c r="B1683" s="528" t="s">
        <v>408</v>
      </c>
      <c r="C1683" s="519">
        <f>'FOND GASO Y D'!H125</f>
        <v>2208331.5102927503</v>
      </c>
      <c r="D1683" s="517">
        <f t="shared" ref="D1683:O1683" si="1361">$C1683*D$30%</f>
        <v>171787.88063670983</v>
      </c>
      <c r="E1683" s="517">
        <f t="shared" si="1361"/>
        <v>188876.86504672462</v>
      </c>
      <c r="F1683" s="517">
        <f t="shared" si="1361"/>
        <v>183891.11608685247</v>
      </c>
      <c r="G1683" s="517">
        <f t="shared" si="1361"/>
        <v>171348.20833875515</v>
      </c>
      <c r="H1683" s="517">
        <f t="shared" si="1361"/>
        <v>188801.23395236855</v>
      </c>
      <c r="I1683" s="517">
        <f t="shared" si="1361"/>
        <v>182215.6248527682</v>
      </c>
      <c r="J1683" s="517">
        <f t="shared" si="1361"/>
        <v>186014.56760629939</v>
      </c>
      <c r="K1683" s="517">
        <f t="shared" si="1361"/>
        <v>185904.03212979957</v>
      </c>
      <c r="L1683" s="517">
        <f t="shared" si="1361"/>
        <v>193455.37451070128</v>
      </c>
      <c r="M1683" s="517">
        <f t="shared" si="1361"/>
        <v>191756.61368999342</v>
      </c>
      <c r="N1683" s="517">
        <f t="shared" si="1361"/>
        <v>179213.70594189616</v>
      </c>
      <c r="O1683" s="517">
        <f t="shared" si="1361"/>
        <v>185066.28750208998</v>
      </c>
      <c r="P1683" s="511">
        <f t="shared" si="1323"/>
        <v>-2.2083695512264967E-6</v>
      </c>
      <c r="Q1683" s="530">
        <v>134962</v>
      </c>
      <c r="R1683" s="480"/>
      <c r="T1683" s="537"/>
      <c r="U1683" s="513"/>
    </row>
    <row r="1684" spans="1:21" s="479" customFormat="1" x14ac:dyDescent="0.15">
      <c r="A1684" s="579"/>
      <c r="B1684" s="534"/>
      <c r="C1684" s="521"/>
      <c r="D1684" s="522"/>
      <c r="E1684" s="522"/>
      <c r="F1684" s="522"/>
      <c r="G1684" s="522"/>
      <c r="H1684" s="522"/>
      <c r="I1684" s="522"/>
      <c r="J1684" s="522"/>
      <c r="K1684" s="522"/>
      <c r="L1684" s="522"/>
      <c r="M1684" s="522"/>
      <c r="N1684" s="522"/>
      <c r="O1684" s="522"/>
      <c r="P1684" s="511">
        <f t="shared" si="1323"/>
        <v>0</v>
      </c>
      <c r="Q1684" s="530">
        <v>0</v>
      </c>
      <c r="R1684" s="480"/>
      <c r="T1684" s="537"/>
      <c r="U1684" s="513"/>
    </row>
    <row r="1685" spans="1:21" s="479" customFormat="1" x14ac:dyDescent="0.15">
      <c r="A1685" s="590"/>
      <c r="B1685" s="536"/>
      <c r="C1685" s="522"/>
      <c r="D1685" s="522"/>
      <c r="E1685" s="522"/>
      <c r="F1685" s="522"/>
      <c r="G1685" s="522"/>
      <c r="H1685" s="522"/>
      <c r="I1685" s="522"/>
      <c r="J1685" s="522"/>
      <c r="K1685" s="522"/>
      <c r="L1685" s="522"/>
      <c r="M1685" s="522"/>
      <c r="N1685" s="522"/>
      <c r="O1685" s="522"/>
      <c r="P1685" s="511">
        <f t="shared" si="1323"/>
        <v>0</v>
      </c>
      <c r="Q1685" s="530">
        <v>0</v>
      </c>
      <c r="R1685" s="480"/>
      <c r="T1685" s="536"/>
      <c r="U1685" s="513"/>
    </row>
    <row r="1686" spans="1:21" s="479" customFormat="1" x14ac:dyDescent="0.15">
      <c r="A1686" s="584">
        <v>111</v>
      </c>
      <c r="B1686" s="533" t="s">
        <v>140</v>
      </c>
      <c r="C1686" s="524">
        <f t="shared" ref="C1686:O1686" si="1362">SUM(C1687:C1698)</f>
        <v>43635479.598204799</v>
      </c>
      <c r="D1686" s="524">
        <f t="shared" si="1362"/>
        <v>3405167.3715840694</v>
      </c>
      <c r="E1686" s="524">
        <f t="shared" si="1362"/>
        <v>4594619.3857216686</v>
      </c>
      <c r="F1686" s="524">
        <f t="shared" si="1362"/>
        <v>3046917.7930872822</v>
      </c>
      <c r="G1686" s="524">
        <f t="shared" si="1362"/>
        <v>3876794.2106064968</v>
      </c>
      <c r="H1686" s="524">
        <f t="shared" si="1362"/>
        <v>4390368.8142935764</v>
      </c>
      <c r="I1686" s="524">
        <f t="shared" si="1362"/>
        <v>4306123.3417762555</v>
      </c>
      <c r="J1686" s="524">
        <f t="shared" si="1362"/>
        <v>3727462.8071613107</v>
      </c>
      <c r="K1686" s="524">
        <f t="shared" si="1362"/>
        <v>3616659.5109578478</v>
      </c>
      <c r="L1686" s="524">
        <f t="shared" si="1362"/>
        <v>3427013.4085391513</v>
      </c>
      <c r="M1686" s="524">
        <f t="shared" si="1362"/>
        <v>2550873.9310485935</v>
      </c>
      <c r="N1686" s="524">
        <f t="shared" si="1362"/>
        <v>3327002.5859600687</v>
      </c>
      <c r="O1686" s="524">
        <f t="shared" si="1362"/>
        <v>3366476.4373404938</v>
      </c>
      <c r="P1686" s="511">
        <f t="shared" si="1323"/>
        <v>1.2798281386494637E-4</v>
      </c>
      <c r="Q1686" s="530">
        <v>2625662</v>
      </c>
      <c r="R1686" s="480"/>
      <c r="T1686" s="512"/>
      <c r="U1686" s="513"/>
    </row>
    <row r="1687" spans="1:21" s="479" customFormat="1" x14ac:dyDescent="0.15">
      <c r="A1687" s="579"/>
      <c r="B1687" s="527" t="s">
        <v>294</v>
      </c>
      <c r="C1687" s="515">
        <f>'FG1'!I126</f>
        <v>30277577.446205579</v>
      </c>
      <c r="D1687" s="515">
        <f t="shared" ref="D1687:O1687" si="1363">$C1687*D$19%</f>
        <v>2290035.4440883081</v>
      </c>
      <c r="E1687" s="515">
        <f t="shared" si="1363"/>
        <v>3281047.6138516306</v>
      </c>
      <c r="F1687" s="515">
        <f t="shared" si="1363"/>
        <v>2120855.2574452958</v>
      </c>
      <c r="G1687" s="515">
        <f t="shared" si="1363"/>
        <v>2605255.7988577508</v>
      </c>
      <c r="H1687" s="515">
        <f t="shared" si="1363"/>
        <v>3181586.5861351797</v>
      </c>
      <c r="I1687" s="515">
        <f t="shared" si="1363"/>
        <v>3119077.7496362464</v>
      </c>
      <c r="J1687" s="515">
        <f t="shared" si="1363"/>
        <v>2417920.2822875227</v>
      </c>
      <c r="K1687" s="515">
        <f t="shared" si="1363"/>
        <v>2567189.9360002307</v>
      </c>
      <c r="L1687" s="515">
        <f t="shared" si="1363"/>
        <v>2412521.7927116263</v>
      </c>
      <c r="M1687" s="515">
        <f t="shared" si="1363"/>
        <v>1599316.542525043</v>
      </c>
      <c r="N1687" s="515">
        <f t="shared" si="1363"/>
        <v>2334120.9756908603</v>
      </c>
      <c r="O1687" s="515">
        <f t="shared" si="1363"/>
        <v>2348649.4669456072</v>
      </c>
      <c r="P1687" s="511">
        <f t="shared" si="1323"/>
        <v>3.0278228223323822E-5</v>
      </c>
      <c r="Q1687" s="530">
        <v>1804508</v>
      </c>
      <c r="R1687" s="480"/>
      <c r="U1687" s="513"/>
    </row>
    <row r="1688" spans="1:21" s="479" customFormat="1" x14ac:dyDescent="0.15">
      <c r="A1688" s="579"/>
      <c r="B1688" s="528" t="s">
        <v>296</v>
      </c>
      <c r="C1688" s="517">
        <f>FFM!J126</f>
        <v>8138488.5463394616</v>
      </c>
      <c r="D1688" s="517">
        <f t="shared" ref="D1688:O1688" si="1364">$C1688*D$20%</f>
        <v>615458.05823991622</v>
      </c>
      <c r="E1688" s="517">
        <f t="shared" si="1364"/>
        <v>882359.12648848584</v>
      </c>
      <c r="F1688" s="517">
        <f t="shared" si="1364"/>
        <v>569894.16792272299</v>
      </c>
      <c r="G1688" s="517">
        <f t="shared" si="1364"/>
        <v>700353.73774310423</v>
      </c>
      <c r="H1688" s="517">
        <f t="shared" si="1364"/>
        <v>855572.11707973399</v>
      </c>
      <c r="I1688" s="517">
        <f t="shared" si="1364"/>
        <v>838737.12937855313</v>
      </c>
      <c r="J1688" s="517">
        <f t="shared" si="1364"/>
        <v>649843.23940934625</v>
      </c>
      <c r="K1688" s="517">
        <f t="shared" si="1364"/>
        <v>690044.79441673728</v>
      </c>
      <c r="L1688" s="517">
        <f t="shared" si="1364"/>
        <v>648389.30562496651</v>
      </c>
      <c r="M1688" s="517">
        <f t="shared" si="1364"/>
        <v>429375.49612799037</v>
      </c>
      <c r="N1688" s="517">
        <f t="shared" si="1364"/>
        <v>627274.26733000099</v>
      </c>
      <c r="O1688" s="517">
        <f t="shared" si="1364"/>
        <v>631187.10648024222</v>
      </c>
      <c r="P1688" s="511">
        <f t="shared" si="1323"/>
        <v>9.7661628387868404E-5</v>
      </c>
      <c r="Q1688" s="530">
        <v>552482</v>
      </c>
      <c r="R1688" s="480"/>
      <c r="U1688" s="513"/>
    </row>
    <row r="1689" spans="1:21" s="479" customFormat="1" ht="18" x14ac:dyDescent="0.15">
      <c r="A1689" s="579"/>
      <c r="B1689" s="528" t="s">
        <v>297</v>
      </c>
      <c r="C1689" s="517">
        <f>IEPS!I125</f>
        <v>732232.95150703285</v>
      </c>
      <c r="D1689" s="517">
        <f t="shared" ref="D1689:O1689" si="1365">$C1689*D$21%</f>
        <v>51431.911389970424</v>
      </c>
      <c r="E1689" s="517">
        <f t="shared" si="1365"/>
        <v>117558.2633270316</v>
      </c>
      <c r="F1689" s="517">
        <f t="shared" si="1365"/>
        <v>48828.978407525348</v>
      </c>
      <c r="G1689" s="517">
        <f t="shared" si="1365"/>
        <v>47454.929406262534</v>
      </c>
      <c r="H1689" s="517">
        <f t="shared" si="1365"/>
        <v>52392.852684955229</v>
      </c>
      <c r="I1689" s="517">
        <f t="shared" si="1365"/>
        <v>54332.432049310417</v>
      </c>
      <c r="J1689" s="517">
        <f t="shared" si="1365"/>
        <v>55952.361174983955</v>
      </c>
      <c r="K1689" s="517">
        <f t="shared" si="1365"/>
        <v>61978.835503499904</v>
      </c>
      <c r="L1689" s="517">
        <f t="shared" si="1365"/>
        <v>62108.709349717043</v>
      </c>
      <c r="M1689" s="517">
        <f t="shared" si="1365"/>
        <v>61418.417394636526</v>
      </c>
      <c r="N1689" s="517">
        <f t="shared" si="1365"/>
        <v>59432.706184228133</v>
      </c>
      <c r="O1689" s="517">
        <f t="shared" si="1365"/>
        <v>59342.554634179469</v>
      </c>
      <c r="P1689" s="511">
        <f t="shared" si="1323"/>
        <v>7.3223054641857743E-7</v>
      </c>
      <c r="Q1689" s="530">
        <v>46602</v>
      </c>
      <c r="R1689" s="480"/>
      <c r="U1689" s="513"/>
    </row>
    <row r="1690" spans="1:21" s="479" customFormat="1" x14ac:dyDescent="0.15">
      <c r="A1690" s="579"/>
      <c r="B1690" s="528" t="s">
        <v>236</v>
      </c>
      <c r="C1690" s="517">
        <f>ISR!C116</f>
        <v>1191589.49</v>
      </c>
      <c r="D1690" s="517">
        <f>ISR!D116</f>
        <v>97657.390000000058</v>
      </c>
      <c r="E1690" s="517">
        <f>ISR!E116</f>
        <v>98035.4</v>
      </c>
      <c r="F1690" s="517">
        <f>ISR!F116</f>
        <v>105119.74</v>
      </c>
      <c r="G1690" s="517">
        <f>ISR!G116</f>
        <v>102180.11999999995</v>
      </c>
      <c r="H1690" s="517">
        <f>ISR!H116</f>
        <v>96007.329999999987</v>
      </c>
      <c r="I1690" s="517">
        <f>ISR!I116</f>
        <v>97417.400000000023</v>
      </c>
      <c r="J1690" s="517">
        <f>ISR!J116</f>
        <v>102880.51999999997</v>
      </c>
      <c r="K1690" s="517">
        <f>ISR!K116</f>
        <v>95139.040000000008</v>
      </c>
      <c r="L1690" s="517">
        <f>ISR!L116</f>
        <v>98594.690000000046</v>
      </c>
      <c r="M1690" s="517">
        <f>ISR!M116</f>
        <v>101368.47999999997</v>
      </c>
      <c r="N1690" s="517">
        <f>ISR!N116</f>
        <v>98594.690000000046</v>
      </c>
      <c r="O1690" s="517">
        <f>ISR!O116</f>
        <v>98594.690000000046</v>
      </c>
      <c r="P1690" s="511">
        <f t="shared" si="1323"/>
        <v>-2.0372681319713593E-10</v>
      </c>
      <c r="Q1690" s="530">
        <v>0</v>
      </c>
      <c r="R1690" s="480"/>
      <c r="T1690" s="537"/>
      <c r="U1690" s="513"/>
    </row>
    <row r="1691" spans="1:21" s="479" customFormat="1" ht="18" x14ac:dyDescent="0.15">
      <c r="A1691" s="579"/>
      <c r="B1691" s="528" t="s">
        <v>298</v>
      </c>
      <c r="C1691" s="517">
        <f>FOFIR!I125</f>
        <v>1416134.9244052942</v>
      </c>
      <c r="D1691" s="517">
        <f t="shared" ref="D1691:O1691" si="1366">$C1691*D$23%</f>
        <v>193607.58800812857</v>
      </c>
      <c r="E1691" s="517">
        <f t="shared" si="1366"/>
        <v>49257.799908675246</v>
      </c>
      <c r="F1691" s="517">
        <f t="shared" si="1366"/>
        <v>49257.799908675246</v>
      </c>
      <c r="G1691" s="517">
        <f t="shared" si="1366"/>
        <v>277978.23714770441</v>
      </c>
      <c r="H1691" s="517">
        <f t="shared" si="1366"/>
        <v>49257.799908675246</v>
      </c>
      <c r="I1691" s="517">
        <f t="shared" si="1366"/>
        <v>49257.799908675246</v>
      </c>
      <c r="J1691" s="517">
        <f t="shared" si="1366"/>
        <v>345760.13588832837</v>
      </c>
      <c r="K1691" s="517">
        <f t="shared" si="1366"/>
        <v>49257.799908675246</v>
      </c>
      <c r="L1691" s="517">
        <f t="shared" si="1366"/>
        <v>49257.799908675246</v>
      </c>
      <c r="M1691" s="517">
        <f t="shared" si="1366"/>
        <v>204726.56409739543</v>
      </c>
      <c r="N1691" s="517">
        <f t="shared" si="1366"/>
        <v>49257.799908675246</v>
      </c>
      <c r="O1691" s="517">
        <f t="shared" si="1366"/>
        <v>49257.799908675246</v>
      </c>
      <c r="P1691" s="511">
        <f t="shared" si="1323"/>
        <v>-5.664609489031136E-6</v>
      </c>
      <c r="Q1691" s="530">
        <v>54891</v>
      </c>
      <c r="R1691" s="480"/>
      <c r="T1691" s="537"/>
      <c r="U1691" s="513"/>
    </row>
    <row r="1692" spans="1:21" s="479" customFormat="1" ht="27" x14ac:dyDescent="0.15">
      <c r="A1692" s="579"/>
      <c r="B1692" s="528" t="s">
        <v>407</v>
      </c>
      <c r="C1692" s="517">
        <f>FCISAN!I125</f>
        <v>89898.013465019685</v>
      </c>
      <c r="D1692" s="517">
        <f t="shared" ref="D1692:O1692" si="1367">$C1692*D$24%</f>
        <v>7491.5011220550086</v>
      </c>
      <c r="E1692" s="517">
        <f t="shared" si="1367"/>
        <v>7491.5011220550086</v>
      </c>
      <c r="F1692" s="517">
        <f t="shared" si="1367"/>
        <v>7491.5011220550086</v>
      </c>
      <c r="G1692" s="517">
        <f t="shared" si="1367"/>
        <v>7491.5011220550086</v>
      </c>
      <c r="H1692" s="517">
        <f t="shared" si="1367"/>
        <v>7491.5011220550086</v>
      </c>
      <c r="I1692" s="517">
        <f t="shared" si="1367"/>
        <v>7491.5011220550086</v>
      </c>
      <c r="J1692" s="517">
        <f t="shared" si="1367"/>
        <v>7491.5011220550086</v>
      </c>
      <c r="K1692" s="517">
        <f t="shared" si="1367"/>
        <v>7491.5011220550086</v>
      </c>
      <c r="L1692" s="517">
        <f t="shared" si="1367"/>
        <v>7491.5011220550086</v>
      </c>
      <c r="M1692" s="517">
        <f t="shared" si="1367"/>
        <v>7491.5011220550086</v>
      </c>
      <c r="N1692" s="517">
        <f t="shared" si="1367"/>
        <v>7491.5011220550086</v>
      </c>
      <c r="O1692" s="517">
        <f t="shared" si="1367"/>
        <v>7491.5011220550086</v>
      </c>
      <c r="P1692" s="511">
        <f t="shared" si="1323"/>
        <v>3.5959055821876973E-7</v>
      </c>
      <c r="Q1692" s="530">
        <v>6531</v>
      </c>
      <c r="R1692" s="480"/>
      <c r="T1692" s="537"/>
      <c r="U1692" s="513"/>
    </row>
    <row r="1693" spans="1:21" s="479" customFormat="1" ht="27" x14ac:dyDescent="0.15">
      <c r="A1693" s="579"/>
      <c r="B1693" s="528" t="s">
        <v>242</v>
      </c>
      <c r="C1693" s="517">
        <f>ISAN!I125</f>
        <v>449051.12008676556</v>
      </c>
      <c r="D1693" s="517">
        <f t="shared" ref="D1693:O1693" si="1368">$C1693*D$25%</f>
        <v>43213.809249091442</v>
      </c>
      <c r="E1693" s="517">
        <f t="shared" si="1368"/>
        <v>48265.312312607726</v>
      </c>
      <c r="F1693" s="517">
        <f t="shared" si="1368"/>
        <v>37458.143810545189</v>
      </c>
      <c r="G1693" s="517">
        <f t="shared" si="1368"/>
        <v>34765.021290816294</v>
      </c>
      <c r="H1693" s="517">
        <f t="shared" si="1368"/>
        <v>37171.493867351186</v>
      </c>
      <c r="I1693" s="517">
        <f t="shared" si="1368"/>
        <v>32284.573462537075</v>
      </c>
      <c r="J1693" s="517">
        <f t="shared" si="1368"/>
        <v>34975.385354252518</v>
      </c>
      <c r="K1693" s="517">
        <f t="shared" si="1368"/>
        <v>36068.815979519073</v>
      </c>
      <c r="L1693" s="517">
        <f t="shared" si="1368"/>
        <v>35442.346945172561</v>
      </c>
      <c r="M1693" s="517">
        <f t="shared" si="1368"/>
        <v>36311.544037320142</v>
      </c>
      <c r="N1693" s="517">
        <f t="shared" si="1368"/>
        <v>35158.008580184185</v>
      </c>
      <c r="O1693" s="517">
        <f t="shared" si="1368"/>
        <v>37936.665191979548</v>
      </c>
      <c r="P1693" s="511">
        <f t="shared" si="1323"/>
        <v>5.3886324167251587E-6</v>
      </c>
      <c r="Q1693" s="530">
        <v>28052</v>
      </c>
      <c r="R1693" s="480"/>
      <c r="T1693" s="537"/>
      <c r="U1693" s="513"/>
    </row>
    <row r="1694" spans="1:21" s="479" customFormat="1" ht="18" x14ac:dyDescent="0.15">
      <c r="A1694" s="579"/>
      <c r="B1694" s="528" t="s">
        <v>403</v>
      </c>
      <c r="C1694" s="517">
        <f>LOT!I125</f>
        <v>21737.21533510102</v>
      </c>
      <c r="D1694" s="517">
        <f t="shared" ref="D1694:O1694" si="1369">$C1694*D$26%</f>
        <v>1643.5593060247322</v>
      </c>
      <c r="E1694" s="517">
        <f t="shared" si="1369"/>
        <v>1620.2629467929978</v>
      </c>
      <c r="F1694" s="517">
        <f t="shared" si="1369"/>
        <v>1592.5195938083702</v>
      </c>
      <c r="G1694" s="517">
        <f t="shared" si="1369"/>
        <v>1752.1271577465682</v>
      </c>
      <c r="H1694" s="517">
        <f t="shared" si="1369"/>
        <v>1433.5589357458123</v>
      </c>
      <c r="I1694" s="517">
        <f t="shared" si="1369"/>
        <v>1945.4125645660372</v>
      </c>
      <c r="J1694" s="517">
        <f t="shared" si="1369"/>
        <v>4464.7197439306256</v>
      </c>
      <c r="K1694" s="517">
        <f t="shared" si="1369"/>
        <v>1625.3181095517307</v>
      </c>
      <c r="L1694" s="517">
        <f t="shared" si="1369"/>
        <v>1972.1216428683431</v>
      </c>
      <c r="M1694" s="517">
        <f t="shared" si="1369"/>
        <v>1221.0135525145929</v>
      </c>
      <c r="N1694" s="517">
        <f t="shared" si="1369"/>
        <v>1233.3008906451819</v>
      </c>
      <c r="O1694" s="517">
        <f t="shared" si="1369"/>
        <v>1233.3008906451819</v>
      </c>
      <c r="P1694" s="511">
        <f t="shared" si="1323"/>
        <v>2.6084444471052848E-7</v>
      </c>
      <c r="Q1694" s="530">
        <v>1370</v>
      </c>
      <c r="R1694" s="480"/>
      <c r="T1694" s="537"/>
      <c r="U1694" s="513"/>
    </row>
    <row r="1695" spans="1:21" s="479" customFormat="1" ht="45" x14ac:dyDescent="0.15">
      <c r="A1695" s="579"/>
      <c r="B1695" s="518" t="s">
        <v>301</v>
      </c>
      <c r="C1695" s="517">
        <f>'ENAJENAC DE INMUE'!I125</f>
        <v>85473.31088235222</v>
      </c>
      <c r="D1695" s="517">
        <f t="shared" ref="D1695:O1695" si="1370">$C1695*D$27%</f>
        <v>3691.226270119515</v>
      </c>
      <c r="E1695" s="517">
        <f t="shared" si="1370"/>
        <v>3745.5943348242627</v>
      </c>
      <c r="F1695" s="517">
        <f t="shared" si="1370"/>
        <v>3695.098713856501</v>
      </c>
      <c r="G1695" s="517">
        <f t="shared" si="1370"/>
        <v>3673.453854846055</v>
      </c>
      <c r="H1695" s="517">
        <f t="shared" si="1370"/>
        <v>5095.7820375084275</v>
      </c>
      <c r="I1695" s="517">
        <f t="shared" si="1370"/>
        <v>3667.8297109899963</v>
      </c>
      <c r="J1695" s="517">
        <f t="shared" si="1370"/>
        <v>4215.3596737222078</v>
      </c>
      <c r="K1695" s="517">
        <f t="shared" si="1370"/>
        <v>4211.0206462244178</v>
      </c>
      <c r="L1695" s="517">
        <f t="shared" si="1370"/>
        <v>4205.686106031857</v>
      </c>
      <c r="M1695" s="517">
        <f t="shared" si="1370"/>
        <v>3672.8525249748441</v>
      </c>
      <c r="N1695" s="517">
        <f t="shared" si="1370"/>
        <v>15270.370107390545</v>
      </c>
      <c r="O1695" s="517">
        <f t="shared" si="1370"/>
        <v>30329.036901692645</v>
      </c>
      <c r="P1695" s="511">
        <f t="shared" si="1323"/>
        <v>1.7095953808166087E-7</v>
      </c>
      <c r="Q1695" s="530">
        <v>19993</v>
      </c>
      <c r="R1695" s="480"/>
      <c r="T1695" s="537"/>
      <c r="U1695" s="513"/>
    </row>
    <row r="1696" spans="1:21" s="479" customFormat="1" ht="27" x14ac:dyDescent="0.15">
      <c r="A1696" s="579"/>
      <c r="B1696" s="518" t="s">
        <v>248</v>
      </c>
      <c r="C1696" s="517">
        <f>'IMP BEBIDAS AL'!I125</f>
        <v>33407.486682451658</v>
      </c>
      <c r="D1696" s="517">
        <f t="shared" ref="D1696:O1696" si="1371">$C1696*D$28%</f>
        <v>7596.5482879951223</v>
      </c>
      <c r="E1696" s="517">
        <f t="shared" si="1371"/>
        <v>2612.9367415456613</v>
      </c>
      <c r="F1696" s="517">
        <f t="shared" si="1371"/>
        <v>2808.0004879653584</v>
      </c>
      <c r="G1696" s="517">
        <f t="shared" si="1371"/>
        <v>2787.8427873530136</v>
      </c>
      <c r="H1696" s="517">
        <f t="shared" si="1371"/>
        <v>1775.3117212116367</v>
      </c>
      <c r="I1696" s="517">
        <f t="shared" si="1371"/>
        <v>2905.300487661425</v>
      </c>
      <c r="J1696" s="517">
        <f t="shared" si="1371"/>
        <v>2888.9469810034198</v>
      </c>
      <c r="K1696" s="517">
        <f t="shared" si="1371"/>
        <v>2642.1528042821519</v>
      </c>
      <c r="L1696" s="517">
        <f t="shared" si="1371"/>
        <v>1916.1635624698724</v>
      </c>
      <c r="M1696" s="517">
        <f t="shared" si="1371"/>
        <v>1781.2437676222623</v>
      </c>
      <c r="N1696" s="517">
        <f t="shared" si="1371"/>
        <v>1793.8346829616469</v>
      </c>
      <c r="O1696" s="517">
        <f t="shared" si="1371"/>
        <v>1899.2043703800891</v>
      </c>
      <c r="P1696" s="511">
        <f t="shared" si="1323"/>
        <v>-2.9558577807620168E-12</v>
      </c>
      <c r="Q1696" s="530">
        <v>857</v>
      </c>
      <c r="R1696" s="480"/>
      <c r="T1696" s="537"/>
      <c r="U1696" s="513"/>
    </row>
    <row r="1697" spans="1:21" s="479" customFormat="1" ht="18" x14ac:dyDescent="0.15">
      <c r="A1697" s="579"/>
      <c r="B1697" s="518" t="s">
        <v>253</v>
      </c>
      <c r="C1697" s="517">
        <f>'FOND GASO Y D'!Q126</f>
        <v>0</v>
      </c>
      <c r="D1697" s="517">
        <f t="shared" ref="D1697:O1697" si="1372">$C1697*D$29%</f>
        <v>0</v>
      </c>
      <c r="E1697" s="517">
        <f t="shared" si="1372"/>
        <v>0</v>
      </c>
      <c r="F1697" s="517">
        <f t="shared" si="1372"/>
        <v>0</v>
      </c>
      <c r="G1697" s="517">
        <f t="shared" si="1372"/>
        <v>0</v>
      </c>
      <c r="H1697" s="517">
        <f t="shared" si="1372"/>
        <v>0</v>
      </c>
      <c r="I1697" s="517">
        <f t="shared" si="1372"/>
        <v>0</v>
      </c>
      <c r="J1697" s="517">
        <f t="shared" si="1372"/>
        <v>0</v>
      </c>
      <c r="K1697" s="517">
        <f t="shared" si="1372"/>
        <v>0</v>
      </c>
      <c r="L1697" s="517">
        <f t="shared" si="1372"/>
        <v>0</v>
      </c>
      <c r="M1697" s="517">
        <f t="shared" si="1372"/>
        <v>0</v>
      </c>
      <c r="N1697" s="517">
        <f t="shared" si="1372"/>
        <v>0</v>
      </c>
      <c r="O1697" s="517">
        <f t="shared" si="1372"/>
        <v>0</v>
      </c>
      <c r="P1697" s="511">
        <f t="shared" si="1323"/>
        <v>0</v>
      </c>
      <c r="Q1697" s="530">
        <v>37046</v>
      </c>
      <c r="R1697" s="480"/>
      <c r="T1697" s="537"/>
      <c r="U1697" s="513"/>
    </row>
    <row r="1698" spans="1:21" s="479" customFormat="1" ht="18" x14ac:dyDescent="0.15">
      <c r="A1698" s="579"/>
      <c r="B1698" s="528" t="s">
        <v>408</v>
      </c>
      <c r="C1698" s="519">
        <f>'FOND GASO Y D'!H126</f>
        <v>1199889.0932957451</v>
      </c>
      <c r="D1698" s="517">
        <f t="shared" ref="D1698:O1698" si="1373">$C1698*D$30%</f>
        <v>93340.335622460072</v>
      </c>
      <c r="E1698" s="517">
        <f t="shared" si="1373"/>
        <v>102625.57468802025</v>
      </c>
      <c r="F1698" s="517">
        <f t="shared" si="1373"/>
        <v>99916.585674831673</v>
      </c>
      <c r="G1698" s="517">
        <f t="shared" si="1373"/>
        <v>93101.441238858155</v>
      </c>
      <c r="H1698" s="517">
        <f t="shared" si="1373"/>
        <v>102584.48080116093</v>
      </c>
      <c r="I1698" s="517">
        <f t="shared" si="1373"/>
        <v>99006.21345566072</v>
      </c>
      <c r="J1698" s="517">
        <f t="shared" si="1373"/>
        <v>101070.35552616567</v>
      </c>
      <c r="K1698" s="517">
        <f t="shared" si="1373"/>
        <v>101010.29646707232</v>
      </c>
      <c r="L1698" s="517">
        <f t="shared" si="1373"/>
        <v>105113.29156556852</v>
      </c>
      <c r="M1698" s="517">
        <f t="shared" si="1373"/>
        <v>104190.2758990415</v>
      </c>
      <c r="N1698" s="517">
        <f t="shared" si="1373"/>
        <v>97375.131463067999</v>
      </c>
      <c r="O1698" s="517">
        <f t="shared" si="1373"/>
        <v>100555.11089503717</v>
      </c>
      <c r="P1698" s="511">
        <f t="shared" si="1323"/>
        <v>-1.1999800335615873E-6</v>
      </c>
      <c r="Q1698" s="530">
        <v>73330</v>
      </c>
      <c r="R1698" s="480"/>
      <c r="T1698" s="537"/>
      <c r="U1698" s="513"/>
    </row>
    <row r="1699" spans="1:21" s="479" customFormat="1" x14ac:dyDescent="0.15">
      <c r="A1699" s="579"/>
      <c r="B1699" s="534"/>
      <c r="C1699" s="521"/>
      <c r="D1699" s="522"/>
      <c r="E1699" s="522"/>
      <c r="F1699" s="522"/>
      <c r="G1699" s="522"/>
      <c r="H1699" s="522"/>
      <c r="I1699" s="522"/>
      <c r="J1699" s="522"/>
      <c r="K1699" s="522"/>
      <c r="L1699" s="522"/>
      <c r="M1699" s="522"/>
      <c r="N1699" s="522"/>
      <c r="O1699" s="522"/>
      <c r="P1699" s="511">
        <f t="shared" si="1323"/>
        <v>0</v>
      </c>
      <c r="Q1699" s="530">
        <v>0</v>
      </c>
      <c r="R1699" s="480"/>
      <c r="T1699" s="537"/>
      <c r="U1699" s="513"/>
    </row>
    <row r="1700" spans="1:21" s="479" customFormat="1" x14ac:dyDescent="0.15">
      <c r="A1700" s="591"/>
      <c r="B1700" s="532"/>
      <c r="C1700" s="521"/>
      <c r="D1700" s="522"/>
      <c r="E1700" s="522"/>
      <c r="F1700" s="522"/>
      <c r="G1700" s="522"/>
      <c r="H1700" s="522"/>
      <c r="I1700" s="522"/>
      <c r="J1700" s="522"/>
      <c r="K1700" s="522"/>
      <c r="L1700" s="522"/>
      <c r="M1700" s="522"/>
      <c r="N1700" s="522"/>
      <c r="O1700" s="522"/>
      <c r="P1700" s="511">
        <f t="shared" ref="P1700:P1728" si="1374">C1700-D1700-E1700-F1700-G1700-H1700-I1700-J1700-K1700-L1700-M1700-N1700-O1700</f>
        <v>0</v>
      </c>
      <c r="Q1700" s="530">
        <v>0</v>
      </c>
      <c r="R1700" s="480"/>
      <c r="T1700" s="536"/>
      <c r="U1700" s="513"/>
    </row>
    <row r="1701" spans="1:21" s="479" customFormat="1" x14ac:dyDescent="0.15">
      <c r="A1701" s="584">
        <v>112</v>
      </c>
      <c r="B1701" s="533" t="s">
        <v>142</v>
      </c>
      <c r="C1701" s="524">
        <f t="shared" ref="C1701:O1701" si="1375">SUM(C1702:C1713)</f>
        <v>232697613.00974411</v>
      </c>
      <c r="D1701" s="524">
        <f t="shared" si="1375"/>
        <v>18301864.570304729</v>
      </c>
      <c r="E1701" s="524">
        <f t="shared" si="1375"/>
        <v>24425009.477490399</v>
      </c>
      <c r="F1701" s="524">
        <f t="shared" si="1375"/>
        <v>16429581.453752132</v>
      </c>
      <c r="G1701" s="524">
        <f t="shared" si="1375"/>
        <v>20742087.25444217</v>
      </c>
      <c r="H1701" s="524">
        <f t="shared" si="1375"/>
        <v>23466944.336427372</v>
      </c>
      <c r="I1701" s="524">
        <f t="shared" si="1375"/>
        <v>22733584.47736486</v>
      </c>
      <c r="J1701" s="524">
        <f t="shared" si="1375"/>
        <v>19366128.170788951</v>
      </c>
      <c r="K1701" s="524">
        <f t="shared" si="1375"/>
        <v>19503335.79545217</v>
      </c>
      <c r="L1701" s="524">
        <f t="shared" si="1375"/>
        <v>18480084.631901473</v>
      </c>
      <c r="M1701" s="524">
        <f t="shared" si="1375"/>
        <v>13903215.333340038</v>
      </c>
      <c r="N1701" s="524">
        <f t="shared" si="1375"/>
        <v>17248766.449952796</v>
      </c>
      <c r="O1701" s="524">
        <f t="shared" si="1375"/>
        <v>18097011.057867363</v>
      </c>
      <c r="P1701" s="511">
        <f t="shared" si="1374"/>
        <v>6.5965950489044189E-4</v>
      </c>
      <c r="Q1701" s="530">
        <v>13695962</v>
      </c>
      <c r="R1701" s="480"/>
      <c r="T1701" s="512"/>
      <c r="U1701" s="513"/>
    </row>
    <row r="1702" spans="1:21" s="479" customFormat="1" x14ac:dyDescent="0.15">
      <c r="A1702" s="579"/>
      <c r="B1702" s="527" t="s">
        <v>294</v>
      </c>
      <c r="C1702" s="515">
        <f>'FG1'!I127</f>
        <v>155951500.24698696</v>
      </c>
      <c r="D1702" s="515">
        <f t="shared" ref="D1702:O1702" si="1376">$C1702*D$19%</f>
        <v>11795344.715371314</v>
      </c>
      <c r="E1702" s="515">
        <f t="shared" si="1376"/>
        <v>16899776.696833566</v>
      </c>
      <c r="F1702" s="515">
        <f t="shared" si="1376"/>
        <v>10923943.957965294</v>
      </c>
      <c r="G1702" s="515">
        <f t="shared" si="1376"/>
        <v>13418958.339084223</v>
      </c>
      <c r="H1702" s="515">
        <f t="shared" si="1376"/>
        <v>16387480.212214002</v>
      </c>
      <c r="I1702" s="515">
        <f t="shared" si="1376"/>
        <v>16065514.333404105</v>
      </c>
      <c r="J1702" s="515">
        <f t="shared" si="1376"/>
        <v>12454044.454854934</v>
      </c>
      <c r="K1702" s="515">
        <f t="shared" si="1376"/>
        <v>13222891.515991336</v>
      </c>
      <c r="L1702" s="515">
        <f t="shared" si="1376"/>
        <v>12426238.315148922</v>
      </c>
      <c r="M1702" s="515">
        <f t="shared" si="1376"/>
        <v>8237641.0272500739</v>
      </c>
      <c r="N1702" s="515">
        <f t="shared" si="1376"/>
        <v>12022417.201762248</v>
      </c>
      <c r="O1702" s="515">
        <f t="shared" si="1376"/>
        <v>12097249.476950994</v>
      </c>
      <c r="P1702" s="511">
        <f t="shared" si="1374"/>
        <v>1.5593133866786957E-4</v>
      </c>
      <c r="Q1702" s="530">
        <v>9444992</v>
      </c>
      <c r="R1702" s="480"/>
      <c r="U1702" s="513"/>
    </row>
    <row r="1703" spans="1:21" s="479" customFormat="1" x14ac:dyDescent="0.15">
      <c r="A1703" s="579"/>
      <c r="B1703" s="528" t="s">
        <v>296</v>
      </c>
      <c r="C1703" s="517">
        <f>FFM!J127</f>
        <v>41919123.179507144</v>
      </c>
      <c r="D1703" s="517">
        <f t="shared" ref="D1703:O1703" si="1377">$C1703*D$20%</f>
        <v>3170055.7183659663</v>
      </c>
      <c r="E1703" s="517">
        <f t="shared" si="1377"/>
        <v>4544789.9448687602</v>
      </c>
      <c r="F1703" s="517">
        <f t="shared" si="1377"/>
        <v>2935368.6115563046</v>
      </c>
      <c r="G1703" s="517">
        <f t="shared" si="1377"/>
        <v>3607330.0877085095</v>
      </c>
      <c r="H1703" s="517">
        <f t="shared" si="1377"/>
        <v>4406817.4035765408</v>
      </c>
      <c r="I1703" s="517">
        <f t="shared" si="1377"/>
        <v>4320104.9975624401</v>
      </c>
      <c r="J1703" s="517">
        <f t="shared" si="1377"/>
        <v>3347164.3592129597</v>
      </c>
      <c r="K1703" s="517">
        <f t="shared" si="1377"/>
        <v>3554231.5470288759</v>
      </c>
      <c r="L1703" s="517">
        <f t="shared" si="1377"/>
        <v>3339675.5449134451</v>
      </c>
      <c r="M1703" s="517">
        <f t="shared" si="1377"/>
        <v>2211595.4590299018</v>
      </c>
      <c r="N1703" s="517">
        <f t="shared" si="1377"/>
        <v>3230917.7717486992</v>
      </c>
      <c r="O1703" s="517">
        <f t="shared" si="1377"/>
        <v>3251071.7334317113</v>
      </c>
      <c r="P1703" s="511">
        <f t="shared" si="1374"/>
        <v>5.0302641466259956E-4</v>
      </c>
      <c r="Q1703" s="530">
        <v>2891749</v>
      </c>
      <c r="R1703" s="480"/>
      <c r="U1703" s="513"/>
    </row>
    <row r="1704" spans="1:21" s="479" customFormat="1" ht="18" x14ac:dyDescent="0.15">
      <c r="A1704" s="579"/>
      <c r="B1704" s="528" t="s">
        <v>297</v>
      </c>
      <c r="C1704" s="517">
        <f>IEPS!I126</f>
        <v>3771531.1775087798</v>
      </c>
      <c r="D1704" s="517">
        <f t="shared" ref="D1704:O1704" si="1378">$C1704*D$21%</f>
        <v>264911.67452504259</v>
      </c>
      <c r="E1704" s="517">
        <f t="shared" si="1378"/>
        <v>605510.38354551326</v>
      </c>
      <c r="F1704" s="517">
        <f t="shared" si="1378"/>
        <v>251504.68037645539</v>
      </c>
      <c r="G1704" s="517">
        <f t="shared" si="1378"/>
        <v>244427.33069283122</v>
      </c>
      <c r="H1704" s="517">
        <f t="shared" si="1378"/>
        <v>269861.21967502759</v>
      </c>
      <c r="I1704" s="517">
        <f t="shared" si="1378"/>
        <v>279851.46120794775</v>
      </c>
      <c r="J1704" s="517">
        <f t="shared" si="1378"/>
        <v>288195.27199966082</v>
      </c>
      <c r="K1704" s="517">
        <f t="shared" si="1378"/>
        <v>319235.98899235396</v>
      </c>
      <c r="L1704" s="517">
        <f t="shared" si="1378"/>
        <v>319904.93356681318</v>
      </c>
      <c r="M1704" s="517">
        <f t="shared" si="1378"/>
        <v>316349.42896296899</v>
      </c>
      <c r="N1704" s="517">
        <f t="shared" si="1378"/>
        <v>306121.57493895898</v>
      </c>
      <c r="O1704" s="517">
        <f t="shared" si="1378"/>
        <v>305657.22902143438</v>
      </c>
      <c r="P1704" s="511">
        <f t="shared" si="1374"/>
        <v>3.7716818042099476E-6</v>
      </c>
      <c r="Q1704" s="530">
        <v>243925</v>
      </c>
      <c r="R1704" s="480"/>
      <c r="T1704" s="537"/>
      <c r="U1704" s="513"/>
    </row>
    <row r="1705" spans="1:21" s="479" customFormat="1" x14ac:dyDescent="0.15">
      <c r="A1705" s="579"/>
      <c r="B1705" s="528" t="s">
        <v>236</v>
      </c>
      <c r="C1705" s="517">
        <f>ISR!C117</f>
        <v>14492199.91</v>
      </c>
      <c r="D1705" s="517">
        <f>ISR!D117</f>
        <v>1297792.79</v>
      </c>
      <c r="E1705" s="517">
        <f>ISR!E117</f>
        <v>1299527.3099999996</v>
      </c>
      <c r="F1705" s="517">
        <f>ISR!F117</f>
        <v>1311446.4700000007</v>
      </c>
      <c r="G1705" s="517">
        <f>ISR!G117</f>
        <v>1332008.3600000006</v>
      </c>
      <c r="H1705" s="517">
        <f>ISR!H117</f>
        <v>1383040.7399999998</v>
      </c>
      <c r="I1705" s="517">
        <f>ISR!I117</f>
        <v>1089642.1499999997</v>
      </c>
      <c r="J1705" s="517">
        <f>ISR!J117</f>
        <v>731554.40999999968</v>
      </c>
      <c r="K1705" s="517">
        <f>ISR!K117</f>
        <v>1399584.6000000008</v>
      </c>
      <c r="L1705" s="517">
        <f>ISR!L117</f>
        <v>1372354.4899999993</v>
      </c>
      <c r="M1705" s="517">
        <f>ISR!M117</f>
        <v>1322209.9699999995</v>
      </c>
      <c r="N1705" s="517">
        <f>ISR!N117</f>
        <v>653511.30999999959</v>
      </c>
      <c r="O1705" s="517">
        <f>ISR!O117</f>
        <v>1299527.3099999996</v>
      </c>
      <c r="P1705" s="511">
        <f t="shared" si="1374"/>
        <v>3.0267983675003052E-9</v>
      </c>
      <c r="Q1705" s="530">
        <v>0</v>
      </c>
      <c r="R1705" s="480"/>
      <c r="T1705" s="537"/>
      <c r="U1705" s="513"/>
    </row>
    <row r="1706" spans="1:21" s="479" customFormat="1" ht="18" x14ac:dyDescent="0.15">
      <c r="A1706" s="579"/>
      <c r="B1706" s="528" t="s">
        <v>298</v>
      </c>
      <c r="C1706" s="517">
        <f>FOFIR!I126</f>
        <v>7294122.7350682924</v>
      </c>
      <c r="D1706" s="517">
        <f t="shared" ref="D1706:O1706" si="1379">$C1706*D$23%</f>
        <v>997219.60459726548</v>
      </c>
      <c r="E1706" s="517">
        <f t="shared" si="1379"/>
        <v>253713.42235924149</v>
      </c>
      <c r="F1706" s="517">
        <f t="shared" si="1379"/>
        <v>253713.42235924149</v>
      </c>
      <c r="G1706" s="517">
        <f t="shared" si="1379"/>
        <v>1431789.6864839836</v>
      </c>
      <c r="H1706" s="517">
        <f t="shared" si="1379"/>
        <v>253713.42235924149</v>
      </c>
      <c r="I1706" s="517">
        <f t="shared" si="1379"/>
        <v>253713.42235924149</v>
      </c>
      <c r="J1706" s="517">
        <f t="shared" si="1379"/>
        <v>1780915.6631897057</v>
      </c>
      <c r="K1706" s="517">
        <f t="shared" si="1379"/>
        <v>253713.42235924149</v>
      </c>
      <c r="L1706" s="517">
        <f t="shared" si="1379"/>
        <v>253713.42235924149</v>
      </c>
      <c r="M1706" s="517">
        <f t="shared" si="1379"/>
        <v>1054490.4019525819</v>
      </c>
      <c r="N1706" s="517">
        <f t="shared" si="1379"/>
        <v>253713.42235924149</v>
      </c>
      <c r="O1706" s="517">
        <f t="shared" si="1379"/>
        <v>253713.42235924149</v>
      </c>
      <c r="P1706" s="511">
        <f t="shared" si="1374"/>
        <v>-2.9176415409892797E-5</v>
      </c>
      <c r="Q1706" s="530">
        <v>287322</v>
      </c>
      <c r="R1706" s="480"/>
      <c r="T1706" s="537"/>
      <c r="U1706" s="513"/>
    </row>
    <row r="1707" spans="1:21" s="479" customFormat="1" ht="27" x14ac:dyDescent="0.15">
      <c r="A1707" s="579"/>
      <c r="B1707" s="528" t="s">
        <v>407</v>
      </c>
      <c r="C1707" s="517">
        <f>FCISAN!I126</f>
        <v>463040.02009416447</v>
      </c>
      <c r="D1707" s="517">
        <f t="shared" ref="D1707:O1707" si="1380">$C1707*D$24%</f>
        <v>38586.66834102603</v>
      </c>
      <c r="E1707" s="517">
        <f t="shared" si="1380"/>
        <v>38586.66834102603</v>
      </c>
      <c r="F1707" s="517">
        <f t="shared" si="1380"/>
        <v>38586.66834102603</v>
      </c>
      <c r="G1707" s="517">
        <f t="shared" si="1380"/>
        <v>38586.66834102603</v>
      </c>
      <c r="H1707" s="517">
        <f t="shared" si="1380"/>
        <v>38586.66834102603</v>
      </c>
      <c r="I1707" s="517">
        <f t="shared" si="1380"/>
        <v>38586.66834102603</v>
      </c>
      <c r="J1707" s="517">
        <f t="shared" si="1380"/>
        <v>38586.66834102603</v>
      </c>
      <c r="K1707" s="517">
        <f t="shared" si="1380"/>
        <v>38586.66834102603</v>
      </c>
      <c r="L1707" s="517">
        <f t="shared" si="1380"/>
        <v>38586.66834102603</v>
      </c>
      <c r="M1707" s="517">
        <f t="shared" si="1380"/>
        <v>38586.66834102603</v>
      </c>
      <c r="N1707" s="517">
        <f t="shared" si="1380"/>
        <v>38586.66834102603</v>
      </c>
      <c r="O1707" s="517">
        <f t="shared" si="1380"/>
        <v>38586.66834102603</v>
      </c>
      <c r="P1707" s="511">
        <f t="shared" si="1374"/>
        <v>1.8520222511142492E-6</v>
      </c>
      <c r="Q1707" s="530">
        <v>34180</v>
      </c>
      <c r="R1707" s="480"/>
      <c r="T1707" s="537"/>
      <c r="U1707" s="513"/>
    </row>
    <row r="1708" spans="1:21" s="479" customFormat="1" ht="27" x14ac:dyDescent="0.15">
      <c r="A1708" s="579"/>
      <c r="B1708" s="528" t="s">
        <v>242</v>
      </c>
      <c r="C1708" s="517">
        <f>ISAN!I126</f>
        <v>2312939.2035919721</v>
      </c>
      <c r="D1708" s="517">
        <f t="shared" ref="D1708:O1708" si="1381">$C1708*D$25%</f>
        <v>222582.48354765592</v>
      </c>
      <c r="E1708" s="517">
        <f t="shared" si="1381"/>
        <v>248601.39086140279</v>
      </c>
      <c r="F1708" s="517">
        <f t="shared" si="1381"/>
        <v>192936.62889974687</v>
      </c>
      <c r="G1708" s="517">
        <f t="shared" si="1381"/>
        <v>179065.09317180171</v>
      </c>
      <c r="H1708" s="517">
        <f t="shared" si="1381"/>
        <v>191460.17363293289</v>
      </c>
      <c r="I1708" s="517">
        <f t="shared" si="1381"/>
        <v>166288.98647066925</v>
      </c>
      <c r="J1708" s="517">
        <f t="shared" si="1381"/>
        <v>180148.62078722008</v>
      </c>
      <c r="K1708" s="517">
        <f t="shared" si="1381"/>
        <v>185780.58215299604</v>
      </c>
      <c r="L1708" s="517">
        <f t="shared" si="1381"/>
        <v>182553.81191557524</v>
      </c>
      <c r="M1708" s="517">
        <f t="shared" si="1381"/>
        <v>187030.80783017809</v>
      </c>
      <c r="N1708" s="517">
        <f t="shared" si="1381"/>
        <v>181089.26295433496</v>
      </c>
      <c r="O1708" s="517">
        <f t="shared" si="1381"/>
        <v>195401.36133970306</v>
      </c>
      <c r="P1708" s="511">
        <f t="shared" si="1374"/>
        <v>2.7755537303164601E-5</v>
      </c>
      <c r="Q1708" s="530">
        <v>146824</v>
      </c>
      <c r="R1708" s="480"/>
      <c r="T1708" s="537"/>
      <c r="U1708" s="513"/>
    </row>
    <row r="1709" spans="1:21" s="479" customFormat="1" ht="18" x14ac:dyDescent="0.15">
      <c r="A1709" s="579"/>
      <c r="B1709" s="528" t="s">
        <v>403</v>
      </c>
      <c r="C1709" s="517">
        <f>LOT!I126</f>
        <v>111962.43651671833</v>
      </c>
      <c r="D1709" s="517">
        <f t="shared" ref="D1709:O1709" si="1382">$C1709*D$26%</f>
        <v>8465.5233720350188</v>
      </c>
      <c r="E1709" s="517">
        <f t="shared" si="1382"/>
        <v>8345.5302127759369</v>
      </c>
      <c r="F1709" s="517">
        <f t="shared" si="1382"/>
        <v>8202.6318079243101</v>
      </c>
      <c r="G1709" s="517">
        <f t="shared" si="1382"/>
        <v>9024.7266102958984</v>
      </c>
      <c r="H1709" s="517">
        <f t="shared" si="1382"/>
        <v>7383.8690403564924</v>
      </c>
      <c r="I1709" s="517">
        <f t="shared" si="1382"/>
        <v>10020.286747922528</v>
      </c>
      <c r="J1709" s="517">
        <f t="shared" si="1382"/>
        <v>22996.547312459537</v>
      </c>
      <c r="K1709" s="517">
        <f t="shared" si="1382"/>
        <v>8371.5679701763693</v>
      </c>
      <c r="L1709" s="517">
        <f t="shared" si="1382"/>
        <v>10157.857887451753</v>
      </c>
      <c r="M1709" s="517">
        <f t="shared" si="1382"/>
        <v>6289.106044724771</v>
      </c>
      <c r="N1709" s="517">
        <f t="shared" si="1382"/>
        <v>6352.3947546260824</v>
      </c>
      <c r="O1709" s="517">
        <f t="shared" si="1382"/>
        <v>6352.3947546260824</v>
      </c>
      <c r="P1709" s="511">
        <f t="shared" si="1374"/>
        <v>1.3435510481940582E-6</v>
      </c>
      <c r="Q1709" s="530">
        <v>7171</v>
      </c>
      <c r="R1709" s="480"/>
      <c r="T1709" s="537"/>
      <c r="U1709" s="513"/>
    </row>
    <row r="1710" spans="1:21" s="479" customFormat="1" ht="45" x14ac:dyDescent="0.15">
      <c r="A1710" s="579"/>
      <c r="B1710" s="518" t="s">
        <v>301</v>
      </c>
      <c r="C1710" s="517">
        <f>'ENAJENAC DE INMUE'!I126</f>
        <v>440249.59020789945</v>
      </c>
      <c r="D1710" s="517">
        <f t="shared" ref="D1710:O1710" si="1383">$C1710*D$27%</f>
        <v>19012.494496925799</v>
      </c>
      <c r="E1710" s="517">
        <f t="shared" si="1383"/>
        <v>19292.529492172529</v>
      </c>
      <c r="F1710" s="517">
        <f t="shared" si="1383"/>
        <v>19032.44039291031</v>
      </c>
      <c r="G1710" s="517">
        <f t="shared" si="1383"/>
        <v>18920.953658500632</v>
      </c>
      <c r="H1710" s="517">
        <f t="shared" si="1383"/>
        <v>26246.97616885063</v>
      </c>
      <c r="I1710" s="517">
        <f t="shared" si="1383"/>
        <v>18891.985235464956</v>
      </c>
      <c r="J1710" s="517">
        <f t="shared" si="1383"/>
        <v>21712.16195766061</v>
      </c>
      <c r="K1710" s="517">
        <f t="shared" si="1383"/>
        <v>21689.812816647081</v>
      </c>
      <c r="L1710" s="517">
        <f t="shared" si="1383"/>
        <v>21662.336062681683</v>
      </c>
      <c r="M1710" s="517">
        <f t="shared" si="1383"/>
        <v>18917.856373200142</v>
      </c>
      <c r="N1710" s="517">
        <f t="shared" si="1383"/>
        <v>78653.489758400174</v>
      </c>
      <c r="O1710" s="517">
        <f t="shared" si="1383"/>
        <v>156216.5537936044</v>
      </c>
      <c r="P1710" s="511">
        <f t="shared" si="1374"/>
        <v>8.805363904684782E-7</v>
      </c>
      <c r="Q1710" s="530">
        <v>104646</v>
      </c>
      <c r="R1710" s="480"/>
      <c r="T1710" s="537"/>
      <c r="U1710" s="513"/>
    </row>
    <row r="1711" spans="1:21" s="479" customFormat="1" ht="27" x14ac:dyDescent="0.15">
      <c r="A1711" s="579"/>
      <c r="B1711" s="518" t="s">
        <v>248</v>
      </c>
      <c r="C1711" s="517">
        <f>'IMP BEBIDAS AL'!I126</f>
        <v>172072.80459825855</v>
      </c>
      <c r="D1711" s="517">
        <f t="shared" ref="D1711:O1711" si="1384">$C1711*D$28%</f>
        <v>39127.737492088774</v>
      </c>
      <c r="E1711" s="517">
        <f t="shared" si="1384"/>
        <v>13458.52076899193</v>
      </c>
      <c r="F1711" s="517">
        <f t="shared" si="1384"/>
        <v>14463.240646333436</v>
      </c>
      <c r="G1711" s="517">
        <f t="shared" si="1384"/>
        <v>14359.413857099387</v>
      </c>
      <c r="H1711" s="517">
        <f t="shared" si="1384"/>
        <v>9144.1439402118394</v>
      </c>
      <c r="I1711" s="517">
        <f t="shared" si="1384"/>
        <v>14964.406268107268</v>
      </c>
      <c r="J1711" s="517">
        <f t="shared" si="1384"/>
        <v>14880.173838939305</v>
      </c>
      <c r="K1711" s="517">
        <f t="shared" si="1384"/>
        <v>13609.004698003788</v>
      </c>
      <c r="L1711" s="517">
        <f t="shared" si="1384"/>
        <v>9869.6331572999479</v>
      </c>
      <c r="M1711" s="517">
        <f t="shared" si="1384"/>
        <v>9174.6982848887019</v>
      </c>
      <c r="N1711" s="517">
        <f t="shared" si="1384"/>
        <v>9239.5506377610054</v>
      </c>
      <c r="O1711" s="517">
        <f t="shared" si="1384"/>
        <v>9782.2810085331712</v>
      </c>
      <c r="P1711" s="511">
        <f t="shared" si="1374"/>
        <v>-1.4551915228366852E-11</v>
      </c>
      <c r="Q1711" s="530">
        <v>4479</v>
      </c>
      <c r="R1711" s="480"/>
      <c r="T1711" s="537"/>
      <c r="U1711" s="513"/>
    </row>
    <row r="1712" spans="1:21" s="479" customFormat="1" ht="18" x14ac:dyDescent="0.15">
      <c r="A1712" s="579"/>
      <c r="B1712" s="518" t="s">
        <v>253</v>
      </c>
      <c r="C1712" s="517">
        <f>'FOND GASO Y D'!Q127</f>
        <v>0</v>
      </c>
      <c r="D1712" s="517">
        <f t="shared" ref="D1712:O1712" si="1385">$C1712*D$29%</f>
        <v>0</v>
      </c>
      <c r="E1712" s="517">
        <f t="shared" si="1385"/>
        <v>0</v>
      </c>
      <c r="F1712" s="517">
        <f t="shared" si="1385"/>
        <v>0</v>
      </c>
      <c r="G1712" s="517">
        <f t="shared" si="1385"/>
        <v>0</v>
      </c>
      <c r="H1712" s="517">
        <f t="shared" si="1385"/>
        <v>0</v>
      </c>
      <c r="I1712" s="517">
        <f t="shared" si="1385"/>
        <v>0</v>
      </c>
      <c r="J1712" s="517">
        <f t="shared" si="1385"/>
        <v>0</v>
      </c>
      <c r="K1712" s="517">
        <f t="shared" si="1385"/>
        <v>0</v>
      </c>
      <c r="L1712" s="517">
        <f t="shared" si="1385"/>
        <v>0</v>
      </c>
      <c r="M1712" s="517">
        <f t="shared" si="1385"/>
        <v>0</v>
      </c>
      <c r="N1712" s="517">
        <f t="shared" si="1385"/>
        <v>0</v>
      </c>
      <c r="O1712" s="517">
        <f t="shared" si="1385"/>
        <v>0</v>
      </c>
      <c r="P1712" s="511">
        <f t="shared" si="1374"/>
        <v>0</v>
      </c>
      <c r="Q1712" s="530">
        <v>178113</v>
      </c>
      <c r="R1712" s="480"/>
      <c r="T1712" s="537"/>
      <c r="U1712" s="513"/>
    </row>
    <row r="1713" spans="1:21" s="479" customFormat="1" ht="18" x14ac:dyDescent="0.15">
      <c r="A1713" s="579"/>
      <c r="B1713" s="528" t="s">
        <v>408</v>
      </c>
      <c r="C1713" s="519">
        <f>'FOND GASO Y D'!H127</f>
        <v>5768871.7056639045</v>
      </c>
      <c r="D1713" s="517">
        <f t="shared" ref="D1713:O1713" si="1386">$C1713*D$30%</f>
        <v>448765.16019540356</v>
      </c>
      <c r="E1713" s="517">
        <f t="shared" si="1386"/>
        <v>493407.08020694967</v>
      </c>
      <c r="F1713" s="517">
        <f t="shared" si="1386"/>
        <v>480382.70140689495</v>
      </c>
      <c r="G1713" s="517">
        <f t="shared" si="1386"/>
        <v>447616.59483390185</v>
      </c>
      <c r="H1713" s="517">
        <f t="shared" si="1386"/>
        <v>493209.50747918413</v>
      </c>
      <c r="I1713" s="517">
        <f t="shared" si="1386"/>
        <v>476005.7797679354</v>
      </c>
      <c r="J1713" s="517">
        <f t="shared" si="1386"/>
        <v>485929.8392943865</v>
      </c>
      <c r="K1713" s="517">
        <f t="shared" si="1386"/>
        <v>485641.0851015129</v>
      </c>
      <c r="L1713" s="517">
        <f t="shared" si="1386"/>
        <v>505367.61854901584</v>
      </c>
      <c r="M1713" s="517">
        <f t="shared" si="1386"/>
        <v>500929.90927049692</v>
      </c>
      <c r="N1713" s="517">
        <f t="shared" si="1386"/>
        <v>468163.80269750388</v>
      </c>
      <c r="O1713" s="517">
        <f t="shared" si="1386"/>
        <v>483452.62686648773</v>
      </c>
      <c r="P1713" s="511">
        <f t="shared" si="1374"/>
        <v>-5.7690776884555817E-6</v>
      </c>
      <c r="Q1713" s="530">
        <v>352561</v>
      </c>
      <c r="R1713" s="480"/>
      <c r="T1713" s="537"/>
      <c r="U1713" s="513"/>
    </row>
    <row r="1714" spans="1:21" s="479" customFormat="1" x14ac:dyDescent="0.15">
      <c r="A1714" s="579"/>
      <c r="B1714" s="534"/>
      <c r="C1714" s="521"/>
      <c r="D1714" s="522"/>
      <c r="E1714" s="522"/>
      <c r="F1714" s="522"/>
      <c r="G1714" s="522"/>
      <c r="H1714" s="522"/>
      <c r="I1714" s="522"/>
      <c r="J1714" s="522"/>
      <c r="K1714" s="522"/>
      <c r="L1714" s="522"/>
      <c r="M1714" s="522"/>
      <c r="N1714" s="522"/>
      <c r="O1714" s="522"/>
      <c r="P1714" s="511">
        <f t="shared" si="1374"/>
        <v>0</v>
      </c>
      <c r="Q1714" s="530">
        <v>0</v>
      </c>
      <c r="R1714" s="480"/>
      <c r="T1714" s="537"/>
      <c r="U1714" s="513"/>
    </row>
    <row r="1715" spans="1:21" s="479" customFormat="1" x14ac:dyDescent="0.15">
      <c r="A1715" s="591"/>
      <c r="B1715" s="532"/>
      <c r="C1715" s="521"/>
      <c r="D1715" s="521"/>
      <c r="E1715" s="521"/>
      <c r="F1715" s="521"/>
      <c r="G1715" s="521"/>
      <c r="H1715" s="521"/>
      <c r="I1715" s="521"/>
      <c r="J1715" s="521"/>
      <c r="K1715" s="521"/>
      <c r="L1715" s="521"/>
      <c r="M1715" s="521"/>
      <c r="N1715" s="521"/>
      <c r="O1715" s="521"/>
      <c r="P1715" s="511">
        <f t="shared" si="1374"/>
        <v>0</v>
      </c>
      <c r="Q1715" s="530">
        <v>0</v>
      </c>
      <c r="R1715" s="480"/>
      <c r="T1715" s="532"/>
      <c r="U1715" s="513"/>
    </row>
    <row r="1716" spans="1:21" s="479" customFormat="1" x14ac:dyDescent="0.15">
      <c r="A1716" s="584">
        <v>113</v>
      </c>
      <c r="B1716" s="533" t="s">
        <v>101</v>
      </c>
      <c r="C1716" s="524">
        <f t="shared" ref="C1716:O1716" si="1387">SUM(C1717:C1728)</f>
        <v>57521314.925082274</v>
      </c>
      <c r="D1716" s="524">
        <f t="shared" si="1387"/>
        <v>4496821.6573381806</v>
      </c>
      <c r="E1716" s="524">
        <f t="shared" si="1387"/>
        <v>6035812.9774196651</v>
      </c>
      <c r="F1716" s="524">
        <f t="shared" si="1387"/>
        <v>4022730.7998212902</v>
      </c>
      <c r="G1716" s="524">
        <f t="shared" si="1387"/>
        <v>5101696.273371947</v>
      </c>
      <c r="H1716" s="524">
        <f t="shared" si="1387"/>
        <v>5773957.3682372058</v>
      </c>
      <c r="I1716" s="524">
        <f t="shared" si="1387"/>
        <v>5663329.2500056894</v>
      </c>
      <c r="J1716" s="524">
        <f t="shared" si="1387"/>
        <v>4906778.7121351296</v>
      </c>
      <c r="K1716" s="524">
        <f t="shared" si="1387"/>
        <v>4773328.2871614629</v>
      </c>
      <c r="L1716" s="524">
        <f t="shared" si="1387"/>
        <v>4522950.0274840975</v>
      </c>
      <c r="M1716" s="524">
        <f t="shared" si="1387"/>
        <v>3384915.1131981253</v>
      </c>
      <c r="N1716" s="524">
        <f t="shared" si="1387"/>
        <v>4394067.6102168383</v>
      </c>
      <c r="O1716" s="524">
        <f t="shared" si="1387"/>
        <v>4444926.8485268243</v>
      </c>
      <c r="P1716" s="511">
        <f t="shared" si="1374"/>
        <v>1.6582105308771133E-4</v>
      </c>
      <c r="Q1716" s="530">
        <v>3404132</v>
      </c>
      <c r="R1716" s="480">
        <v>32599768.7729045</v>
      </c>
      <c r="T1716" s="512"/>
      <c r="U1716" s="513"/>
    </row>
    <row r="1717" spans="1:21" s="479" customFormat="1" x14ac:dyDescent="0.15">
      <c r="A1717" s="579"/>
      <c r="B1717" s="527" t="s">
        <v>294</v>
      </c>
      <c r="C1717" s="515">
        <f>'FG1'!I128</f>
        <v>39206584.118317559</v>
      </c>
      <c r="D1717" s="515">
        <f t="shared" ref="D1717:O1717" si="1388">$C1717*D$19%</f>
        <v>2965378.1724148099</v>
      </c>
      <c r="E1717" s="515">
        <f t="shared" si="1388"/>
        <v>4248644.710668562</v>
      </c>
      <c r="F1717" s="515">
        <f t="shared" si="1388"/>
        <v>2746305.9157074564</v>
      </c>
      <c r="G1717" s="515">
        <f t="shared" si="1388"/>
        <v>3373558.5619136686</v>
      </c>
      <c r="H1717" s="515">
        <f t="shared" si="1388"/>
        <v>4119852.1361441412</v>
      </c>
      <c r="I1717" s="515">
        <f t="shared" si="1388"/>
        <v>4038909.135975522</v>
      </c>
      <c r="J1717" s="515">
        <f t="shared" si="1388"/>
        <v>3130976.8790888567</v>
      </c>
      <c r="K1717" s="515">
        <f t="shared" si="1388"/>
        <v>3324266.8886676393</v>
      </c>
      <c r="L1717" s="515">
        <f t="shared" si="1388"/>
        <v>3123986.3483555014</v>
      </c>
      <c r="M1717" s="515">
        <f t="shared" si="1388"/>
        <v>2070962.8657620032</v>
      </c>
      <c r="N1717" s="515">
        <f t="shared" si="1388"/>
        <v>3022464.744358921</v>
      </c>
      <c r="O1717" s="515">
        <f t="shared" si="1388"/>
        <v>3041277.7592212725</v>
      </c>
      <c r="P1717" s="511">
        <f t="shared" si="1374"/>
        <v>3.9201695472002029E-5</v>
      </c>
      <c r="Q1717" s="530">
        <v>2346007</v>
      </c>
      <c r="R1717" s="480">
        <v>23800373.4738844</v>
      </c>
      <c r="T1717" s="512"/>
      <c r="U1717" s="537"/>
    </row>
    <row r="1718" spans="1:21" s="479" customFormat="1" x14ac:dyDescent="0.15">
      <c r="A1718" s="579"/>
      <c r="B1718" s="528" t="s">
        <v>296</v>
      </c>
      <c r="C1718" s="517">
        <f>FFM!J128</f>
        <v>10538568.89161421</v>
      </c>
      <c r="D1718" s="517">
        <f t="shared" ref="D1718:O1718" si="1389">$C1718*D$20%</f>
        <v>796959.67005787208</v>
      </c>
      <c r="E1718" s="517">
        <f t="shared" si="1389"/>
        <v>1142571.1775223755</v>
      </c>
      <c r="F1718" s="517">
        <f t="shared" si="1389"/>
        <v>737958.76413490798</v>
      </c>
      <c r="G1718" s="517">
        <f t="shared" si="1389"/>
        <v>906891.5034628791</v>
      </c>
      <c r="H1718" s="517">
        <f t="shared" si="1389"/>
        <v>1107884.5471429029</v>
      </c>
      <c r="I1718" s="517">
        <f t="shared" si="1389"/>
        <v>1086084.8386751467</v>
      </c>
      <c r="J1718" s="517">
        <f t="shared" si="1389"/>
        <v>841485.21046274994</v>
      </c>
      <c r="K1718" s="517">
        <f t="shared" si="1389"/>
        <v>893542.40198954346</v>
      </c>
      <c r="L1718" s="517">
        <f t="shared" si="1389"/>
        <v>839602.50444635784</v>
      </c>
      <c r="M1718" s="517">
        <f t="shared" si="1389"/>
        <v>556000.4441305158</v>
      </c>
      <c r="N1718" s="517">
        <f t="shared" si="1389"/>
        <v>812260.53739024489</v>
      </c>
      <c r="O1718" s="517">
        <f t="shared" si="1389"/>
        <v>817327.29207225144</v>
      </c>
      <c r="P1718" s="511">
        <f t="shared" si="1374"/>
        <v>1.2646173126995564E-4</v>
      </c>
      <c r="Q1718" s="530">
        <v>718271</v>
      </c>
      <c r="R1718" s="480">
        <v>8058132.95951623</v>
      </c>
      <c r="T1718" s="537"/>
      <c r="U1718" s="537"/>
    </row>
    <row r="1719" spans="1:21" s="479" customFormat="1" ht="18" x14ac:dyDescent="0.15">
      <c r="A1719" s="579"/>
      <c r="B1719" s="528" t="s">
        <v>297</v>
      </c>
      <c r="C1719" s="517">
        <f>IEPS!I127</f>
        <v>948172.05433528463</v>
      </c>
      <c r="D1719" s="517">
        <f t="shared" ref="D1719:O1719" si="1390">$C1719*D$21%</f>
        <v>66599.435303547929</v>
      </c>
      <c r="E1719" s="517">
        <f t="shared" si="1390"/>
        <v>152226.77402521856</v>
      </c>
      <c r="F1719" s="517">
        <f t="shared" si="1390"/>
        <v>63228.884568044305</v>
      </c>
      <c r="G1719" s="517">
        <f t="shared" si="1390"/>
        <v>61449.621750653612</v>
      </c>
      <c r="H1719" s="517">
        <f t="shared" si="1390"/>
        <v>67843.762917985528</v>
      </c>
      <c r="I1719" s="517">
        <f t="shared" si="1390"/>
        <v>70355.333787149459</v>
      </c>
      <c r="J1719" s="517">
        <f t="shared" si="1390"/>
        <v>72452.98798832437</v>
      </c>
      <c r="K1719" s="517">
        <f t="shared" si="1390"/>
        <v>80256.699269969613</v>
      </c>
      <c r="L1719" s="517">
        <f t="shared" si="1390"/>
        <v>80424.873552919715</v>
      </c>
      <c r="M1719" s="517">
        <f t="shared" si="1390"/>
        <v>79531.011101369644</v>
      </c>
      <c r="N1719" s="517">
        <f t="shared" si="1390"/>
        <v>76959.70387760365</v>
      </c>
      <c r="O1719" s="517">
        <f t="shared" si="1390"/>
        <v>76842.966191550018</v>
      </c>
      <c r="P1719" s="511">
        <f t="shared" si="1374"/>
        <v>9.4824645202606916E-7</v>
      </c>
      <c r="Q1719" s="530">
        <v>60586</v>
      </c>
      <c r="R1719" s="480"/>
      <c r="T1719" s="537"/>
      <c r="U1719" s="537"/>
    </row>
    <row r="1720" spans="1:21" s="479" customFormat="1" x14ac:dyDescent="0.15">
      <c r="A1720" s="579"/>
      <c r="B1720" s="528" t="s">
        <v>236</v>
      </c>
      <c r="C1720" s="517">
        <f>ISR!C118</f>
        <v>2656974.61</v>
      </c>
      <c r="D1720" s="517">
        <f>ISR!D118</f>
        <v>221414.55083333323</v>
      </c>
      <c r="E1720" s="517">
        <f>ISR!E118</f>
        <v>221414.55083333323</v>
      </c>
      <c r="F1720" s="517">
        <f>ISR!F118</f>
        <v>221414.55083333323</v>
      </c>
      <c r="G1720" s="517">
        <f>ISR!G118</f>
        <v>221414.55083333323</v>
      </c>
      <c r="H1720" s="517">
        <f>ISR!H118</f>
        <v>221414.55083333323</v>
      </c>
      <c r="I1720" s="517">
        <f>ISR!I118</f>
        <v>221414.55083333323</v>
      </c>
      <c r="J1720" s="517">
        <f>ISR!J118</f>
        <v>221414.55083333323</v>
      </c>
      <c r="K1720" s="517">
        <f>ISR!K118</f>
        <v>221414.55083333323</v>
      </c>
      <c r="L1720" s="517">
        <f>ISR!L118</f>
        <v>221414.55083333323</v>
      </c>
      <c r="M1720" s="517">
        <f>ISR!M118</f>
        <v>221414.55083333323</v>
      </c>
      <c r="N1720" s="517">
        <f>ISR!N118</f>
        <v>221414.55083333323</v>
      </c>
      <c r="O1720" s="517">
        <f>ISR!O118</f>
        <v>221414.55083333323</v>
      </c>
      <c r="P1720" s="511">
        <f t="shared" si="1374"/>
        <v>6.4028427004814148E-10</v>
      </c>
      <c r="Q1720" s="530">
        <v>0</v>
      </c>
      <c r="R1720" s="480"/>
      <c r="T1720" s="537"/>
      <c r="U1720" s="537"/>
    </row>
    <row r="1721" spans="1:21" s="479" customFormat="1" ht="18" x14ac:dyDescent="0.15">
      <c r="A1721" s="579"/>
      <c r="B1721" s="528" t="s">
        <v>298</v>
      </c>
      <c r="C1721" s="517">
        <f>FOFIR!I127</f>
        <v>1833760.0864940239</v>
      </c>
      <c r="D1721" s="517">
        <f t="shared" ref="D1721:O1721" si="1391">$C1721*D$23%</f>
        <v>250703.41901269046</v>
      </c>
      <c r="E1721" s="517">
        <f t="shared" si="1391"/>
        <v>63784.167641349886</v>
      </c>
      <c r="F1721" s="517">
        <f t="shared" si="1391"/>
        <v>63784.167641349886</v>
      </c>
      <c r="G1721" s="517">
        <f t="shared" si="1391"/>
        <v>359955.38801466837</v>
      </c>
      <c r="H1721" s="517">
        <f t="shared" si="1391"/>
        <v>63784.167641349886</v>
      </c>
      <c r="I1721" s="517">
        <f t="shared" si="1391"/>
        <v>63784.167641349886</v>
      </c>
      <c r="J1721" s="517">
        <f t="shared" si="1391"/>
        <v>447726.50244398997</v>
      </c>
      <c r="K1721" s="517">
        <f t="shared" si="1391"/>
        <v>63784.167641349886</v>
      </c>
      <c r="L1721" s="517">
        <f t="shared" si="1391"/>
        <v>63784.167641349886</v>
      </c>
      <c r="M1721" s="517">
        <f t="shared" si="1391"/>
        <v>265101.43589921104</v>
      </c>
      <c r="N1721" s="517">
        <f t="shared" si="1391"/>
        <v>63784.167641349886</v>
      </c>
      <c r="O1721" s="517">
        <f t="shared" si="1391"/>
        <v>63784.167641349886</v>
      </c>
      <c r="P1721" s="511">
        <f t="shared" si="1374"/>
        <v>-7.3347910074517131E-6</v>
      </c>
      <c r="Q1721" s="530">
        <v>71367</v>
      </c>
      <c r="R1721" s="480"/>
      <c r="T1721" s="537"/>
      <c r="U1721" s="537"/>
    </row>
    <row r="1722" spans="1:21" s="479" customFormat="1" ht="27" x14ac:dyDescent="0.15">
      <c r="A1722" s="579"/>
      <c r="B1722" s="528" t="s">
        <v>407</v>
      </c>
      <c r="C1722" s="517">
        <f>FCISAN!I127</f>
        <v>116409.38028308621</v>
      </c>
      <c r="D1722" s="517">
        <f t="shared" ref="D1722:O1722" si="1392">$C1722*D$24%</f>
        <v>9700.7816902183822</v>
      </c>
      <c r="E1722" s="517">
        <f t="shared" si="1392"/>
        <v>9700.7816902183822</v>
      </c>
      <c r="F1722" s="517">
        <f t="shared" si="1392"/>
        <v>9700.7816902183822</v>
      </c>
      <c r="G1722" s="517">
        <f t="shared" si="1392"/>
        <v>9700.7816902183822</v>
      </c>
      <c r="H1722" s="517">
        <f t="shared" si="1392"/>
        <v>9700.7816902183822</v>
      </c>
      <c r="I1722" s="517">
        <f t="shared" si="1392"/>
        <v>9700.7816902183822</v>
      </c>
      <c r="J1722" s="517">
        <f t="shared" si="1392"/>
        <v>9700.7816902183822</v>
      </c>
      <c r="K1722" s="517">
        <f t="shared" si="1392"/>
        <v>9700.7816902183822</v>
      </c>
      <c r="L1722" s="517">
        <f t="shared" si="1392"/>
        <v>9700.7816902183822</v>
      </c>
      <c r="M1722" s="517">
        <f t="shared" si="1392"/>
        <v>9700.7816902183822</v>
      </c>
      <c r="N1722" s="517">
        <f t="shared" si="1392"/>
        <v>9700.7816902183822</v>
      </c>
      <c r="O1722" s="517">
        <f t="shared" si="1392"/>
        <v>9700.7816902183822</v>
      </c>
      <c r="P1722" s="511">
        <f t="shared" si="1374"/>
        <v>4.6560671762563288E-7</v>
      </c>
      <c r="Q1722" s="530">
        <v>8494</v>
      </c>
      <c r="R1722" s="480"/>
      <c r="T1722" s="537"/>
      <c r="U1722" s="537"/>
    </row>
    <row r="1723" spans="1:21" s="479" customFormat="1" ht="27" x14ac:dyDescent="0.15">
      <c r="A1723" s="579"/>
      <c r="B1723" s="528" t="s">
        <v>242</v>
      </c>
      <c r="C1723" s="517">
        <f>ISAN!I127</f>
        <v>581478.50647518924</v>
      </c>
      <c r="D1723" s="517">
        <f t="shared" ref="D1723:O1723" si="1393">$C1723*D$25%</f>
        <v>55957.77437635653</v>
      </c>
      <c r="E1723" s="517">
        <f t="shared" si="1393"/>
        <v>62498.990566310014</v>
      </c>
      <c r="F1723" s="517">
        <f t="shared" si="1393"/>
        <v>48504.734859764139</v>
      </c>
      <c r="G1723" s="517">
        <f t="shared" si="1393"/>
        <v>45017.397248349043</v>
      </c>
      <c r="H1723" s="517">
        <f t="shared" si="1393"/>
        <v>48133.550436891659</v>
      </c>
      <c r="I1723" s="517">
        <f t="shared" si="1393"/>
        <v>41805.453142077262</v>
      </c>
      <c r="J1723" s="517">
        <f t="shared" si="1393"/>
        <v>45289.798709900489</v>
      </c>
      <c r="K1723" s="517">
        <f t="shared" si="1393"/>
        <v>46705.687410481783</v>
      </c>
      <c r="L1723" s="517">
        <f t="shared" si="1393"/>
        <v>45894.469573246737</v>
      </c>
      <c r="M1723" s="517">
        <f t="shared" si="1393"/>
        <v>47019.997167692767</v>
      </c>
      <c r="N1723" s="517">
        <f t="shared" si="1393"/>
        <v>45526.278424374657</v>
      </c>
      <c r="O1723" s="517">
        <f t="shared" si="1393"/>
        <v>49124.374552766421</v>
      </c>
      <c r="P1723" s="511">
        <f t="shared" si="1374"/>
        <v>6.9778106990270317E-6</v>
      </c>
      <c r="Q1723" s="530">
        <v>36469</v>
      </c>
      <c r="R1723" s="480"/>
      <c r="T1723" s="537"/>
      <c r="U1723" s="537"/>
    </row>
    <row r="1724" spans="1:21" s="479" customFormat="1" ht="18" x14ac:dyDescent="0.15">
      <c r="A1724" s="579" t="s">
        <v>7</v>
      </c>
      <c r="B1724" s="528" t="s">
        <v>403</v>
      </c>
      <c r="C1724" s="517">
        <f>LOT!I127</f>
        <v>28147.62716891092</v>
      </c>
      <c r="D1724" s="517">
        <f t="shared" ref="D1724:O1724" si="1394">$C1724*D$26%</f>
        <v>2128.2530380639087</v>
      </c>
      <c r="E1724" s="517">
        <f t="shared" si="1394"/>
        <v>2098.0864677862064</v>
      </c>
      <c r="F1724" s="517">
        <f t="shared" si="1394"/>
        <v>2062.161463401409</v>
      </c>
      <c r="G1724" s="517">
        <f t="shared" si="1394"/>
        <v>2268.8380838338312</v>
      </c>
      <c r="H1724" s="517">
        <f t="shared" si="1394"/>
        <v>1856.3225245726408</v>
      </c>
      <c r="I1724" s="517">
        <f t="shared" si="1394"/>
        <v>2519.1243088389442</v>
      </c>
      <c r="J1724" s="517">
        <f t="shared" si="1394"/>
        <v>5781.387580170036</v>
      </c>
      <c r="K1724" s="517">
        <f t="shared" si="1394"/>
        <v>2104.6324229335155</v>
      </c>
      <c r="L1724" s="517">
        <f t="shared" si="1394"/>
        <v>2553.7100258449564</v>
      </c>
      <c r="M1724" s="517">
        <f t="shared" si="1394"/>
        <v>1581.0964612780963</v>
      </c>
      <c r="N1724" s="517">
        <f t="shared" si="1394"/>
        <v>1597.0073959248023</v>
      </c>
      <c r="O1724" s="517">
        <f t="shared" si="1394"/>
        <v>1597.0073959248023</v>
      </c>
      <c r="P1724" s="511">
        <f t="shared" si="1374"/>
        <v>3.3777496355469339E-7</v>
      </c>
      <c r="Q1724" s="530">
        <v>1781</v>
      </c>
      <c r="R1724" s="480"/>
      <c r="T1724" s="537"/>
      <c r="U1724" s="537"/>
    </row>
    <row r="1725" spans="1:21" s="479" customFormat="1" ht="45" x14ac:dyDescent="0.15">
      <c r="A1725" s="579"/>
      <c r="B1725" s="518" t="s">
        <v>301</v>
      </c>
      <c r="C1725" s="517">
        <f>'ENAJENAC DE INMUE'!I127</f>
        <v>110679.81112207563</v>
      </c>
      <c r="D1725" s="517">
        <f t="shared" ref="D1725:O1725" si="1395">$C1725*D$27%</f>
        <v>4779.7870723412479</v>
      </c>
      <c r="E1725" s="517">
        <f t="shared" si="1395"/>
        <v>4850.1885470293737</v>
      </c>
      <c r="F1725" s="517">
        <f t="shared" si="1395"/>
        <v>4784.801518803728</v>
      </c>
      <c r="G1725" s="517">
        <f t="shared" si="1395"/>
        <v>4756.7734842943637</v>
      </c>
      <c r="H1725" s="517">
        <f t="shared" si="1395"/>
        <v>6598.5532514003526</v>
      </c>
      <c r="I1725" s="517">
        <f t="shared" si="1395"/>
        <v>4749.4907527225314</v>
      </c>
      <c r="J1725" s="517">
        <f t="shared" si="1395"/>
        <v>5458.489997437533</v>
      </c>
      <c r="K1725" s="517">
        <f t="shared" si="1395"/>
        <v>5452.8713693657846</v>
      </c>
      <c r="L1725" s="517">
        <f t="shared" si="1395"/>
        <v>5445.9636470037904</v>
      </c>
      <c r="M1725" s="517">
        <f t="shared" si="1395"/>
        <v>4755.9948192832562</v>
      </c>
      <c r="N1725" s="517">
        <f t="shared" si="1395"/>
        <v>19773.677441564239</v>
      </c>
      <c r="O1725" s="517">
        <f t="shared" si="1395"/>
        <v>39273.219220608065</v>
      </c>
      <c r="P1725" s="511">
        <f t="shared" si="1374"/>
        <v>2.2134918253868818E-7</v>
      </c>
      <c r="Q1725" s="530">
        <v>25993</v>
      </c>
      <c r="R1725" s="480"/>
      <c r="T1725" s="537"/>
      <c r="U1725" s="537"/>
    </row>
    <row r="1726" spans="1:21" s="479" customFormat="1" ht="27" x14ac:dyDescent="0.15">
      <c r="A1726" s="579"/>
      <c r="B1726" s="518" t="s">
        <v>248</v>
      </c>
      <c r="C1726" s="517">
        <f>'IMP BEBIDAS AL'!I127</f>
        <v>43259.518999637119</v>
      </c>
      <c r="D1726" s="517">
        <f t="shared" ref="D1726:O1726" si="1396">$C1726*D$28%</f>
        <v>9836.8077826341087</v>
      </c>
      <c r="E1726" s="517">
        <f t="shared" si="1396"/>
        <v>3383.5046524203012</v>
      </c>
      <c r="F1726" s="517">
        <f t="shared" si="1396"/>
        <v>3636.0936581300843</v>
      </c>
      <c r="G1726" s="517">
        <f t="shared" si="1396"/>
        <v>3609.9913523530149</v>
      </c>
      <c r="H1726" s="517">
        <f t="shared" si="1396"/>
        <v>2298.8598892228088</v>
      </c>
      <c r="I1726" s="517">
        <f t="shared" si="1396"/>
        <v>3762.087906830262</v>
      </c>
      <c r="J1726" s="517">
        <f t="shared" si="1396"/>
        <v>3740.9116705360693</v>
      </c>
      <c r="K1726" s="517">
        <f t="shared" si="1396"/>
        <v>3421.3366759142355</v>
      </c>
      <c r="L1726" s="517">
        <f t="shared" si="1396"/>
        <v>2481.2496320059781</v>
      </c>
      <c r="M1726" s="517">
        <f t="shared" si="1396"/>
        <v>2306.5413253286256</v>
      </c>
      <c r="N1726" s="517">
        <f t="shared" si="1396"/>
        <v>2322.8453635977794</v>
      </c>
      <c r="O1726" s="517">
        <f t="shared" si="1396"/>
        <v>2459.2890906638531</v>
      </c>
      <c r="P1726" s="511">
        <f t="shared" si="1374"/>
        <v>-6.3664629124104977E-12</v>
      </c>
      <c r="Q1726" s="530">
        <v>1112</v>
      </c>
      <c r="R1726" s="480"/>
      <c r="T1726" s="537"/>
      <c r="U1726" s="537"/>
    </row>
    <row r="1727" spans="1:21" s="479" customFormat="1" ht="18" x14ac:dyDescent="0.15">
      <c r="A1727" s="579"/>
      <c r="B1727" s="518" t="s">
        <v>253</v>
      </c>
      <c r="C1727" s="517">
        <f>'FOND GASO Y D'!Q128</f>
        <v>0</v>
      </c>
      <c r="D1727" s="517">
        <f t="shared" ref="D1727:O1727" si="1397">$C1727*D$29%</f>
        <v>0</v>
      </c>
      <c r="E1727" s="517">
        <f t="shared" si="1397"/>
        <v>0</v>
      </c>
      <c r="F1727" s="517">
        <f t="shared" si="1397"/>
        <v>0</v>
      </c>
      <c r="G1727" s="517">
        <f t="shared" si="1397"/>
        <v>0</v>
      </c>
      <c r="H1727" s="517">
        <f t="shared" si="1397"/>
        <v>0</v>
      </c>
      <c r="I1727" s="517">
        <f t="shared" si="1397"/>
        <v>0</v>
      </c>
      <c r="J1727" s="517">
        <f t="shared" si="1397"/>
        <v>0</v>
      </c>
      <c r="K1727" s="517">
        <f t="shared" si="1397"/>
        <v>0</v>
      </c>
      <c r="L1727" s="517">
        <f t="shared" si="1397"/>
        <v>0</v>
      </c>
      <c r="M1727" s="517">
        <f t="shared" si="1397"/>
        <v>0</v>
      </c>
      <c r="N1727" s="517">
        <f t="shared" si="1397"/>
        <v>0</v>
      </c>
      <c r="O1727" s="517">
        <f t="shared" si="1397"/>
        <v>0</v>
      </c>
      <c r="P1727" s="511">
        <f t="shared" si="1374"/>
        <v>0</v>
      </c>
      <c r="Q1727" s="530">
        <v>44992</v>
      </c>
      <c r="R1727" s="480"/>
      <c r="T1727" s="537"/>
      <c r="U1727" s="537"/>
    </row>
    <row r="1728" spans="1:21" s="479" customFormat="1" ht="18" x14ac:dyDescent="0.15">
      <c r="A1728" s="579" t="s">
        <v>7</v>
      </c>
      <c r="B1728" s="528" t="s">
        <v>408</v>
      </c>
      <c r="C1728" s="519">
        <f>'FOND GASO Y D'!H128</f>
        <v>1457280.3202723032</v>
      </c>
      <c r="D1728" s="517">
        <f t="shared" ref="D1728:O1728" si="1398">$C1728*D$30%</f>
        <v>113363.00575631313</v>
      </c>
      <c r="E1728" s="517">
        <f t="shared" si="1398"/>
        <v>124640.04480506237</v>
      </c>
      <c r="F1728" s="517">
        <f t="shared" si="1398"/>
        <v>121349.94374588008</v>
      </c>
      <c r="G1728" s="517">
        <f t="shared" si="1398"/>
        <v>113072.86553769471</v>
      </c>
      <c r="H1728" s="517">
        <f t="shared" si="1398"/>
        <v>124590.13576518676</v>
      </c>
      <c r="I1728" s="517">
        <f t="shared" si="1398"/>
        <v>120244.28529250046</v>
      </c>
      <c r="J1728" s="517">
        <f t="shared" si="1398"/>
        <v>122751.21166961319</v>
      </c>
      <c r="K1728" s="517">
        <f t="shared" si="1398"/>
        <v>122678.26919071256</v>
      </c>
      <c r="L1728" s="517">
        <f t="shared" si="1398"/>
        <v>127661.40808631589</v>
      </c>
      <c r="M1728" s="517">
        <f t="shared" si="1398"/>
        <v>126540.39400789114</v>
      </c>
      <c r="N1728" s="517">
        <f t="shared" si="1398"/>
        <v>118263.31579970582</v>
      </c>
      <c r="O1728" s="517">
        <f t="shared" si="1398"/>
        <v>122125.44061688436</v>
      </c>
      <c r="P1728" s="511">
        <f t="shared" si="1374"/>
        <v>-1.4573306543752551E-6</v>
      </c>
      <c r="Q1728" s="530">
        <v>89060</v>
      </c>
      <c r="R1728" s="480"/>
      <c r="T1728" s="537"/>
      <c r="U1728" s="537"/>
    </row>
    <row r="1729" spans="2:20" x14ac:dyDescent="0.15">
      <c r="P1729" s="511"/>
      <c r="Q1729" s="530"/>
      <c r="T1729" s="537"/>
    </row>
    <row r="1730" spans="2:20" x14ac:dyDescent="0.15">
      <c r="P1730" s="511"/>
      <c r="T1730" s="537"/>
    </row>
    <row r="1731" spans="2:20" x14ac:dyDescent="0.15">
      <c r="P1731" s="511"/>
      <c r="T1731" s="537"/>
    </row>
    <row r="1732" spans="2:20" x14ac:dyDescent="0.15">
      <c r="P1732" s="511"/>
      <c r="T1732" s="537"/>
    </row>
    <row r="1733" spans="2:20" x14ac:dyDescent="0.15">
      <c r="P1733" s="511"/>
      <c r="T1733" s="537"/>
    </row>
    <row r="1734" spans="2:20" x14ac:dyDescent="0.15">
      <c r="B1734" s="492" t="s">
        <v>236</v>
      </c>
      <c r="C1734" s="538">
        <f t="shared" ref="C1734:C1742" si="1399">+C40+C55+C70+C85+C100+C115+C130+C145+C160+C175+C190+C205+C220+C235+C250+C265+C280+C295+C310+C325+C340+C355+C370+C385+C400+C415+C430+C445+C460+C475+C490+C505+C520+C535+C550+C565+C580+C595+C610+C625+C640+C655+C670+C685+C700+C715+C730+C745+C760+C775+C790+C805+C820+C835+C850+C865+C880+C895+C910+C925+C940+C955+C970+C985+C1000+C1015+C1030+C1045+C1060+C1075+C1090+C1105+C1120+C1135+C1150+C1165+C1180+C1195+C1210+C1225+C1240+C1255+C1270+C1285+C1300+C1315+C1330+C1345+C1360+C1375+C1390+C1405+C1420+C1435+C1450+C1465+C1480+C1495+C1510+C1525+C1540+C1555+C1570+C1585+C1600+C1615+C1630+C1645+C1660+C1675+C1690+C1705+C1720</f>
        <v>504130059.43669099</v>
      </c>
      <c r="P1734" s="511"/>
      <c r="T1734" s="537"/>
    </row>
    <row r="1735" spans="2:20" x14ac:dyDescent="0.15">
      <c r="B1735" s="498"/>
      <c r="C1735" s="538">
        <f t="shared" si="1399"/>
        <v>298226760.79999989</v>
      </c>
      <c r="P1735" s="511"/>
      <c r="T1735" s="537"/>
    </row>
    <row r="1736" spans="2:20" x14ac:dyDescent="0.15">
      <c r="B1736" s="498"/>
      <c r="C1736" s="538">
        <f t="shared" si="1399"/>
        <v>18931807.199999999</v>
      </c>
      <c r="P1736" s="511"/>
      <c r="T1736" s="537"/>
    </row>
    <row r="1737" spans="2:20" x14ac:dyDescent="0.15">
      <c r="C1737" s="538">
        <f t="shared" si="1399"/>
        <v>94566597.200000003</v>
      </c>
      <c r="P1737" s="511"/>
      <c r="T1737" s="537"/>
    </row>
    <row r="1738" spans="2:20" x14ac:dyDescent="0.15">
      <c r="C1738" s="538">
        <f t="shared" si="1399"/>
        <v>4577684.799999998</v>
      </c>
      <c r="P1738" s="511"/>
      <c r="T1738" s="537"/>
    </row>
    <row r="1739" spans="2:20" x14ac:dyDescent="0.15">
      <c r="C1739" s="538">
        <f t="shared" si="1399"/>
        <v>18000000</v>
      </c>
      <c r="P1739" s="511"/>
      <c r="T1739" s="537"/>
    </row>
    <row r="1740" spans="2:20" x14ac:dyDescent="0.15">
      <c r="C1740" s="538">
        <f t="shared" si="1399"/>
        <v>7035351.1999999983</v>
      </c>
      <c r="P1740" s="511"/>
      <c r="T1740" s="537"/>
    </row>
    <row r="1741" spans="2:20" x14ac:dyDescent="0.15">
      <c r="B1741" s="492" t="s">
        <v>411</v>
      </c>
      <c r="C1741" s="538">
        <f t="shared" si="1399"/>
        <v>0</v>
      </c>
      <c r="P1741" s="511"/>
      <c r="T1741" s="537"/>
    </row>
    <row r="1742" spans="2:20" x14ac:dyDescent="0.15">
      <c r="B1742" s="492" t="s">
        <v>412</v>
      </c>
      <c r="C1742" s="538">
        <f t="shared" si="1399"/>
        <v>223551273.60000011</v>
      </c>
      <c r="P1742" s="511"/>
      <c r="T1742" s="537"/>
    </row>
    <row r="1743" spans="2:20" x14ac:dyDescent="0.15">
      <c r="P1743" s="511"/>
      <c r="T1743" s="537"/>
    </row>
    <row r="1744" spans="2:20" x14ac:dyDescent="0.15">
      <c r="P1744" s="511"/>
      <c r="T1744" s="537"/>
    </row>
    <row r="1745" spans="16:20" x14ac:dyDescent="0.15">
      <c r="P1745" s="511"/>
      <c r="T1745" s="537"/>
    </row>
    <row r="1746" spans="16:20" x14ac:dyDescent="0.15">
      <c r="P1746" s="511"/>
      <c r="T1746" s="537"/>
    </row>
    <row r="1747" spans="16:20" x14ac:dyDescent="0.15">
      <c r="P1747" s="511"/>
      <c r="T1747" s="537"/>
    </row>
    <row r="1748" spans="16:20" x14ac:dyDescent="0.15">
      <c r="P1748" s="511"/>
      <c r="T1748" s="537"/>
    </row>
    <row r="1749" spans="16:20" x14ac:dyDescent="0.15">
      <c r="P1749" s="511"/>
      <c r="T1749" s="537"/>
    </row>
    <row r="1750" spans="16:20" x14ac:dyDescent="0.15">
      <c r="P1750" s="511"/>
      <c r="T1750" s="537"/>
    </row>
    <row r="1751" spans="16:20" x14ac:dyDescent="0.15">
      <c r="P1751" s="511"/>
      <c r="T1751" s="537"/>
    </row>
    <row r="1752" spans="16:20" x14ac:dyDescent="0.15">
      <c r="P1752" s="511"/>
      <c r="T1752" s="537"/>
    </row>
    <row r="1753" spans="16:20" x14ac:dyDescent="0.15">
      <c r="P1753" s="511"/>
      <c r="T1753" s="537"/>
    </row>
    <row r="1754" spans="16:20" x14ac:dyDescent="0.15">
      <c r="P1754" s="511"/>
      <c r="T1754" s="537"/>
    </row>
    <row r="1755" spans="16:20" x14ac:dyDescent="0.15">
      <c r="P1755" s="511"/>
      <c r="T1755" s="537"/>
    </row>
    <row r="1756" spans="16:20" x14ac:dyDescent="0.15">
      <c r="P1756" s="511"/>
      <c r="T1756" s="537"/>
    </row>
    <row r="1757" spans="16:20" x14ac:dyDescent="0.15">
      <c r="P1757" s="511"/>
      <c r="T1757" s="537"/>
    </row>
    <row r="1758" spans="16:20" x14ac:dyDescent="0.15">
      <c r="P1758" s="511"/>
      <c r="T1758" s="537"/>
    </row>
    <row r="1759" spans="16:20" x14ac:dyDescent="0.15">
      <c r="P1759" s="511"/>
      <c r="T1759" s="537"/>
    </row>
    <row r="1760" spans="16:20" x14ac:dyDescent="0.15">
      <c r="P1760" s="511"/>
      <c r="T1760" s="537"/>
    </row>
    <row r="1761" spans="16:20" x14ac:dyDescent="0.15">
      <c r="P1761" s="511"/>
      <c r="T1761" s="537"/>
    </row>
    <row r="1762" spans="16:20" x14ac:dyDescent="0.15">
      <c r="P1762" s="511"/>
      <c r="T1762" s="537"/>
    </row>
    <row r="1763" spans="16:20" x14ac:dyDescent="0.15">
      <c r="P1763" s="511"/>
      <c r="T1763" s="537"/>
    </row>
    <row r="1764" spans="16:20" x14ac:dyDescent="0.15">
      <c r="P1764" s="511"/>
      <c r="T1764" s="537"/>
    </row>
    <row r="1765" spans="16:20" x14ac:dyDescent="0.15">
      <c r="P1765" s="511"/>
      <c r="T1765" s="537"/>
    </row>
    <row r="1766" spans="16:20" x14ac:dyDescent="0.15">
      <c r="P1766" s="511"/>
      <c r="T1766" s="537"/>
    </row>
    <row r="1767" spans="16:20" x14ac:dyDescent="0.15">
      <c r="P1767" s="511"/>
      <c r="T1767" s="537"/>
    </row>
    <row r="1768" spans="16:20" x14ac:dyDescent="0.15">
      <c r="P1768" s="511"/>
      <c r="T1768" s="537"/>
    </row>
    <row r="1769" spans="16:20" x14ac:dyDescent="0.15">
      <c r="P1769" s="511"/>
      <c r="T1769" s="537"/>
    </row>
    <row r="1770" spans="16:20" x14ac:dyDescent="0.15">
      <c r="P1770" s="511"/>
      <c r="T1770" s="537"/>
    </row>
    <row r="1771" spans="16:20" x14ac:dyDescent="0.15">
      <c r="P1771" s="511"/>
      <c r="T1771" s="537"/>
    </row>
    <row r="1772" spans="16:20" x14ac:dyDescent="0.15">
      <c r="P1772" s="511"/>
      <c r="T1772" s="537"/>
    </row>
    <row r="1773" spans="16:20" x14ac:dyDescent="0.15">
      <c r="P1773" s="511"/>
      <c r="T1773" s="537"/>
    </row>
    <row r="1774" spans="16:20" x14ac:dyDescent="0.15">
      <c r="P1774" s="511"/>
      <c r="T1774" s="537"/>
    </row>
    <row r="1775" spans="16:20" x14ac:dyDescent="0.15">
      <c r="P1775" s="511"/>
      <c r="T1775" s="537"/>
    </row>
    <row r="1776" spans="16:20" x14ac:dyDescent="0.15">
      <c r="P1776" s="511"/>
      <c r="T1776" s="537"/>
    </row>
    <row r="1777" spans="16:20" x14ac:dyDescent="0.15">
      <c r="P1777" s="511"/>
      <c r="T1777" s="537"/>
    </row>
    <row r="1778" spans="16:20" x14ac:dyDescent="0.15">
      <c r="P1778" s="511"/>
      <c r="T1778" s="537"/>
    </row>
    <row r="1779" spans="16:20" x14ac:dyDescent="0.15">
      <c r="P1779" s="511"/>
      <c r="T1779" s="537"/>
    </row>
    <row r="1780" spans="16:20" x14ac:dyDescent="0.15">
      <c r="P1780" s="511"/>
      <c r="T1780" s="537"/>
    </row>
    <row r="1781" spans="16:20" x14ac:dyDescent="0.15">
      <c r="P1781" s="511"/>
      <c r="T1781" s="537"/>
    </row>
    <row r="1782" spans="16:20" x14ac:dyDescent="0.15">
      <c r="P1782" s="511"/>
      <c r="T1782" s="537"/>
    </row>
    <row r="1783" spans="16:20" x14ac:dyDescent="0.15">
      <c r="P1783" s="511"/>
      <c r="T1783" s="537"/>
    </row>
    <row r="1784" spans="16:20" x14ac:dyDescent="0.15">
      <c r="P1784" s="511"/>
      <c r="T1784" s="537"/>
    </row>
    <row r="1785" spans="16:20" x14ac:dyDescent="0.15">
      <c r="P1785" s="511"/>
      <c r="T1785" s="537"/>
    </row>
    <row r="1786" spans="16:20" x14ac:dyDescent="0.15">
      <c r="P1786" s="511"/>
      <c r="T1786" s="537"/>
    </row>
    <row r="1787" spans="16:20" x14ac:dyDescent="0.15">
      <c r="P1787" s="511"/>
      <c r="T1787" s="537"/>
    </row>
    <row r="1788" spans="16:20" x14ac:dyDescent="0.15">
      <c r="P1788" s="511"/>
      <c r="T1788" s="537"/>
    </row>
    <row r="1789" spans="16:20" x14ac:dyDescent="0.15">
      <c r="P1789" s="511"/>
      <c r="T1789" s="537"/>
    </row>
    <row r="1790" spans="16:20" x14ac:dyDescent="0.15">
      <c r="P1790" s="511"/>
      <c r="T1790" s="537"/>
    </row>
    <row r="1791" spans="16:20" x14ac:dyDescent="0.15">
      <c r="P1791" s="511"/>
      <c r="T1791" s="537"/>
    </row>
    <row r="1792" spans="16:20" x14ac:dyDescent="0.15">
      <c r="P1792" s="511"/>
      <c r="T1792" s="537"/>
    </row>
    <row r="1793" spans="16:20" x14ac:dyDescent="0.15">
      <c r="P1793" s="511"/>
      <c r="T1793" s="537"/>
    </row>
    <row r="1794" spans="16:20" x14ac:dyDescent="0.15">
      <c r="P1794" s="511"/>
      <c r="T1794" s="537"/>
    </row>
    <row r="1795" spans="16:20" x14ac:dyDescent="0.15">
      <c r="P1795" s="511"/>
      <c r="T1795" s="537"/>
    </row>
    <row r="1796" spans="16:20" x14ac:dyDescent="0.15">
      <c r="P1796" s="511"/>
      <c r="T1796" s="537"/>
    </row>
    <row r="1797" spans="16:20" x14ac:dyDescent="0.15">
      <c r="P1797" s="511"/>
      <c r="T1797" s="537"/>
    </row>
    <row r="1798" spans="16:20" x14ac:dyDescent="0.15">
      <c r="P1798" s="511"/>
      <c r="T1798" s="537"/>
    </row>
    <row r="1799" spans="16:20" x14ac:dyDescent="0.15">
      <c r="P1799" s="511"/>
      <c r="T1799" s="537"/>
    </row>
    <row r="1800" spans="16:20" x14ac:dyDescent="0.15">
      <c r="P1800" s="511"/>
      <c r="T1800" s="537"/>
    </row>
    <row r="1801" spans="16:20" x14ac:dyDescent="0.15">
      <c r="T1801" s="537"/>
    </row>
    <row r="1802" spans="16:20" x14ac:dyDescent="0.15">
      <c r="T1802" s="537"/>
    </row>
    <row r="1803" spans="16:20" x14ac:dyDescent="0.15">
      <c r="T1803" s="537"/>
    </row>
    <row r="1804" spans="16:20" x14ac:dyDescent="0.15">
      <c r="T1804" s="537"/>
    </row>
    <row r="1805" spans="16:20" x14ac:dyDescent="0.15">
      <c r="T1805" s="537"/>
    </row>
    <row r="1806" spans="16:20" x14ac:dyDescent="0.15">
      <c r="T1806" s="537"/>
    </row>
    <row r="1807" spans="16:20" x14ac:dyDescent="0.15">
      <c r="T1807" s="537"/>
    </row>
    <row r="1808" spans="16:20" x14ac:dyDescent="0.15">
      <c r="T1808" s="537"/>
    </row>
    <row r="1809" spans="20:20" x14ac:dyDescent="0.15">
      <c r="T1809" s="537"/>
    </row>
    <row r="1810" spans="20:20" x14ac:dyDescent="0.15">
      <c r="T1810" s="537"/>
    </row>
    <row r="1811" spans="20:20" x14ac:dyDescent="0.15">
      <c r="T1811" s="537"/>
    </row>
    <row r="1812" spans="20:20" x14ac:dyDescent="0.15">
      <c r="T1812" s="537"/>
    </row>
    <row r="1813" spans="20:20" x14ac:dyDescent="0.15">
      <c r="T1813" s="537"/>
    </row>
    <row r="1814" spans="20:20" x14ac:dyDescent="0.15">
      <c r="T1814" s="537"/>
    </row>
    <row r="1815" spans="20:20" x14ac:dyDescent="0.15">
      <c r="T1815" s="537"/>
    </row>
    <row r="1816" spans="20:20" x14ac:dyDescent="0.15">
      <c r="T1816" s="537"/>
    </row>
    <row r="1817" spans="20:20" x14ac:dyDescent="0.15">
      <c r="T1817" s="537"/>
    </row>
    <row r="1818" spans="20:20" x14ac:dyDescent="0.15">
      <c r="T1818" s="537"/>
    </row>
    <row r="1819" spans="20:20" x14ac:dyDescent="0.15">
      <c r="T1819" s="537"/>
    </row>
    <row r="1820" spans="20:20" x14ac:dyDescent="0.15">
      <c r="T1820" s="537"/>
    </row>
    <row r="1821" spans="20:20" x14ac:dyDescent="0.15">
      <c r="T1821" s="537"/>
    </row>
    <row r="1822" spans="20:20" x14ac:dyDescent="0.15">
      <c r="T1822" s="537"/>
    </row>
    <row r="1823" spans="20:20" x14ac:dyDescent="0.15">
      <c r="T1823" s="537"/>
    </row>
    <row r="1824" spans="20:20" x14ac:dyDescent="0.15">
      <c r="T1824" s="537"/>
    </row>
    <row r="1825" spans="20:20" x14ac:dyDescent="0.15">
      <c r="T1825" s="537"/>
    </row>
    <row r="1826" spans="20:20" x14ac:dyDescent="0.15">
      <c r="T1826" s="537"/>
    </row>
    <row r="1827" spans="20:20" x14ac:dyDescent="0.15">
      <c r="T1827" s="537"/>
    </row>
    <row r="1828" spans="20:20" x14ac:dyDescent="0.15">
      <c r="T1828" s="537"/>
    </row>
    <row r="1829" spans="20:20" x14ac:dyDescent="0.15">
      <c r="T1829" s="537"/>
    </row>
    <row r="1830" spans="20:20" x14ac:dyDescent="0.15">
      <c r="T1830" s="537"/>
    </row>
    <row r="1831" spans="20:20" x14ac:dyDescent="0.15">
      <c r="T1831" s="537"/>
    </row>
    <row r="1832" spans="20:20" x14ac:dyDescent="0.15">
      <c r="T1832" s="537"/>
    </row>
    <row r="1833" spans="20:20" x14ac:dyDescent="0.15">
      <c r="T1833" s="537"/>
    </row>
    <row r="1834" spans="20:20" x14ac:dyDescent="0.15">
      <c r="T1834" s="537"/>
    </row>
    <row r="1835" spans="20:20" x14ac:dyDescent="0.15">
      <c r="T1835" s="537"/>
    </row>
    <row r="1836" spans="20:20" x14ac:dyDescent="0.15">
      <c r="T1836" s="537"/>
    </row>
    <row r="1837" spans="20:20" x14ac:dyDescent="0.15">
      <c r="T1837" s="537"/>
    </row>
    <row r="1838" spans="20:20" x14ac:dyDescent="0.15">
      <c r="T1838" s="537"/>
    </row>
    <row r="1839" spans="20:20" x14ac:dyDescent="0.15">
      <c r="T1839" s="537"/>
    </row>
    <row r="1840" spans="20:20" x14ac:dyDescent="0.15">
      <c r="T1840" s="537"/>
    </row>
    <row r="1841" spans="20:20" x14ac:dyDescent="0.15">
      <c r="T1841" s="537"/>
    </row>
    <row r="1842" spans="20:20" x14ac:dyDescent="0.15">
      <c r="T1842" s="537"/>
    </row>
    <row r="1843" spans="20:20" x14ac:dyDescent="0.15">
      <c r="T1843" s="537"/>
    </row>
    <row r="1844" spans="20:20" x14ac:dyDescent="0.15">
      <c r="T1844" s="537"/>
    </row>
    <row r="1845" spans="20:20" x14ac:dyDescent="0.15">
      <c r="T1845" s="537"/>
    </row>
    <row r="1846" spans="20:20" x14ac:dyDescent="0.15">
      <c r="T1846" s="537"/>
    </row>
    <row r="1847" spans="20:20" x14ac:dyDescent="0.15">
      <c r="T1847" s="537"/>
    </row>
    <row r="1848" spans="20:20" x14ac:dyDescent="0.15">
      <c r="T1848" s="537"/>
    </row>
    <row r="1849" spans="20:20" x14ac:dyDescent="0.15">
      <c r="T1849" s="537"/>
    </row>
    <row r="1850" spans="20:20" x14ac:dyDescent="0.15">
      <c r="T1850" s="537"/>
    </row>
    <row r="1851" spans="20:20" x14ac:dyDescent="0.15">
      <c r="T1851" s="537"/>
    </row>
    <row r="1852" spans="20:20" x14ac:dyDescent="0.15">
      <c r="T1852" s="537"/>
    </row>
    <row r="1853" spans="20:20" x14ac:dyDescent="0.15">
      <c r="T1853" s="537"/>
    </row>
    <row r="1854" spans="20:20" x14ac:dyDescent="0.15">
      <c r="T1854" s="537"/>
    </row>
    <row r="1855" spans="20:20" x14ac:dyDescent="0.15">
      <c r="T1855" s="537"/>
    </row>
    <row r="1856" spans="20:20" x14ac:dyDescent="0.15">
      <c r="T1856" s="537"/>
    </row>
    <row r="1857" spans="20:20" x14ac:dyDescent="0.15">
      <c r="T1857" s="537"/>
    </row>
    <row r="1858" spans="20:20" x14ac:dyDescent="0.15">
      <c r="T1858" s="537"/>
    </row>
    <row r="1859" spans="20:20" x14ac:dyDescent="0.15">
      <c r="T1859" s="537"/>
    </row>
    <row r="1860" spans="20:20" x14ac:dyDescent="0.15">
      <c r="T1860" s="537"/>
    </row>
    <row r="1861" spans="20:20" x14ac:dyDescent="0.15">
      <c r="T1861" s="537"/>
    </row>
    <row r="1862" spans="20:20" x14ac:dyDescent="0.15">
      <c r="T1862" s="537"/>
    </row>
    <row r="1863" spans="20:20" x14ac:dyDescent="0.15">
      <c r="T1863" s="537"/>
    </row>
    <row r="1864" spans="20:20" x14ac:dyDescent="0.15">
      <c r="T1864" s="537"/>
    </row>
    <row r="1865" spans="20:20" x14ac:dyDescent="0.15">
      <c r="T1865" s="537"/>
    </row>
    <row r="1866" spans="20:20" x14ac:dyDescent="0.15">
      <c r="T1866" s="537"/>
    </row>
    <row r="1867" spans="20:20" x14ac:dyDescent="0.15">
      <c r="T1867" s="537"/>
    </row>
  </sheetData>
  <printOptions horizontalCentered="1"/>
  <pageMargins left="0" right="0" top="0.9838582677165354" bottom="0.39370078740157483" header="0.59015748031496063" footer="0"/>
  <pageSetup paperSize="9" scale="90" fitToWidth="0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116"/>
  <sheetViews>
    <sheetView tabSelected="1" workbookViewId="0">
      <selection activeCell="Z4" sqref="Z4"/>
    </sheetView>
  </sheetViews>
  <sheetFormatPr baseColWidth="10" defaultRowHeight="12.75" x14ac:dyDescent="0.2"/>
  <cols>
    <col min="1" max="1" width="5" style="606" customWidth="1"/>
    <col min="2" max="2" width="11" style="596"/>
    <col min="3" max="3" width="12.25" style="596" customWidth="1"/>
    <col min="4" max="4" width="9.125" style="596" bestFit="1" customWidth="1"/>
    <col min="5" max="5" width="11.875" style="596" customWidth="1"/>
    <col min="6" max="6" width="9.375" style="596" bestFit="1" customWidth="1"/>
    <col min="7" max="7" width="11" style="596" customWidth="1"/>
    <col min="8" max="8" width="9.125" style="596" bestFit="1" customWidth="1"/>
    <col min="9" max="9" width="11" style="596" customWidth="1"/>
    <col min="10" max="10" width="9.375" style="596" bestFit="1" customWidth="1"/>
    <col min="11" max="11" width="11" style="596" customWidth="1"/>
    <col min="12" max="12" width="9.125" style="596" bestFit="1" customWidth="1"/>
    <col min="13" max="13" width="11.875" style="596" customWidth="1"/>
    <col min="14" max="14" width="9.125" style="596" bestFit="1" customWidth="1"/>
    <col min="15" max="15" width="13.125" style="596" customWidth="1"/>
    <col min="16" max="16" width="9.125" style="596" bestFit="1" customWidth="1"/>
    <col min="17" max="17" width="11" style="596"/>
    <col min="18" max="18" width="9.125" style="596" bestFit="1" customWidth="1"/>
    <col min="19" max="19" width="13.625" style="596" customWidth="1"/>
    <col min="20" max="20" width="9.125" style="596" bestFit="1" customWidth="1"/>
    <col min="21" max="21" width="12.875" style="596" customWidth="1"/>
    <col min="22" max="22" width="9.125" style="596" bestFit="1" customWidth="1"/>
    <col min="23" max="23" width="11" style="596"/>
    <col min="24" max="24" width="9.5" style="596" bestFit="1" customWidth="1"/>
    <col min="25" max="25" width="11.875" style="596" customWidth="1"/>
    <col min="26" max="26" width="10.5" style="596" customWidth="1"/>
    <col min="27" max="27" width="12" style="596" customWidth="1"/>
    <col min="28" max="28" width="9.25" style="596" bestFit="1" customWidth="1"/>
    <col min="29" max="16384" width="11" style="596"/>
  </cols>
  <sheetData>
    <row r="2" spans="1:28" s="461" customFormat="1" ht="81.75" customHeight="1" x14ac:dyDescent="0.2">
      <c r="A2" s="464" t="s">
        <v>21</v>
      </c>
      <c r="B2" s="464" t="s">
        <v>171</v>
      </c>
      <c r="C2" s="464" t="s">
        <v>494</v>
      </c>
      <c r="D2" s="464" t="s">
        <v>32</v>
      </c>
      <c r="E2" s="464" t="s">
        <v>296</v>
      </c>
      <c r="F2" s="464" t="s">
        <v>32</v>
      </c>
      <c r="G2" s="464" t="str">
        <f>'FONDOS PART 2024'!C11</f>
        <v>Impuesto Especial Sobre Producción y Servicios.</v>
      </c>
      <c r="H2" s="464" t="s">
        <v>32</v>
      </c>
      <c r="I2" s="464" t="str">
        <f>'FONDOS PART 2024'!C12</f>
        <v>ISR Participable</v>
      </c>
      <c r="J2" s="464" t="s">
        <v>32</v>
      </c>
      <c r="K2" s="464" t="str">
        <f>'FONDOS PART 2024'!C13</f>
        <v xml:space="preserve">Fondo de Fiscalización y Recaudación </v>
      </c>
      <c r="L2" s="464" t="s">
        <v>32</v>
      </c>
      <c r="M2" s="464" t="str">
        <f>'FONDOS PART 2024'!C14</f>
        <v>Fondo de Compensación sobre Automóviles Nuevos</v>
      </c>
      <c r="N2" s="464" t="s">
        <v>32</v>
      </c>
      <c r="O2" s="464" t="str">
        <f>'FONDOS PART 2024'!C15</f>
        <v>Incentivos por la Administración del Impuesto sobre Automóviles Nuevos</v>
      </c>
      <c r="P2" s="464" t="s">
        <v>32</v>
      </c>
      <c r="Q2" s="464" t="str">
        <f>'FONDOS PART 2024'!C16</f>
        <v xml:space="preserve">Impuesto Sobre Loterías, Rifas, Sorteos y Concursos </v>
      </c>
      <c r="R2" s="464" t="s">
        <v>32</v>
      </c>
      <c r="S2" s="464" t="str">
        <f>'FONDOS PART 2024'!C17</f>
        <v>Incentivos por la Administración del Impuesto sobre la Renta por la Enajenación de Bienes Inmuebles</v>
      </c>
      <c r="T2" s="464" t="s">
        <v>32</v>
      </c>
      <c r="U2" s="464" t="str">
        <f>'FONDOS PART 2024'!C18</f>
        <v>Impuesto a la Venta Final de Bebidas con Contenido  Alcohólico</v>
      </c>
      <c r="V2" s="464" t="s">
        <v>32</v>
      </c>
      <c r="W2" s="464" t="str">
        <f>'FONDOS PART 2024'!C21</f>
        <v>Venta Final de Gasolinas y Diesel.</v>
      </c>
      <c r="X2" s="464" t="s">
        <v>32</v>
      </c>
      <c r="Y2" s="464" t="str">
        <f>'FONDOS PART 2024'!C22</f>
        <v>Fondo de Compensación de Gasolinas y Diésel</v>
      </c>
      <c r="Z2" s="464" t="s">
        <v>32</v>
      </c>
      <c r="AA2" s="464" t="s">
        <v>191</v>
      </c>
      <c r="AB2" s="464" t="s">
        <v>32</v>
      </c>
    </row>
    <row r="3" spans="1:28" x14ac:dyDescent="0.2">
      <c r="A3" s="603">
        <v>1</v>
      </c>
      <c r="B3" s="597" t="s">
        <v>43</v>
      </c>
      <c r="C3" s="462">
        <f>'FG1'!I16</f>
        <v>23110218.453625157</v>
      </c>
      <c r="D3" s="737">
        <f>C3/$C$116</f>
        <v>3.6244402863533092E-3</v>
      </c>
      <c r="E3" s="462">
        <f>FFM!J16</f>
        <v>6211931.8668211978</v>
      </c>
      <c r="F3" s="740">
        <f>E3/$E$116</f>
        <v>3.6110298572938015E-3</v>
      </c>
      <c r="G3" s="462">
        <f>IEPS!I15</f>
        <v>558897.53723975492</v>
      </c>
      <c r="H3" s="737">
        <f>G3/$G$116</f>
        <v>3.6244402863533092E-3</v>
      </c>
      <c r="I3" s="462">
        <f>ISR!C6</f>
        <v>2142099.2400000002</v>
      </c>
      <c r="J3" s="737">
        <f>I3/$I$116</f>
        <v>4.249100405545261E-3</v>
      </c>
      <c r="K3" s="462">
        <f>FOFIR!I15</f>
        <v>1080905.0863121715</v>
      </c>
      <c r="L3" s="737">
        <f>K3/$K$116</f>
        <v>3.6244402863533096E-3</v>
      </c>
      <c r="M3" s="462">
        <f>FCISAN!I15</f>
        <v>68617.204709153622</v>
      </c>
      <c r="N3" s="737">
        <f>M3/$M$116</f>
        <v>3.6244402863533083E-3</v>
      </c>
      <c r="O3" s="462">
        <f>ISAN!I15</f>
        <v>342750.98463502596</v>
      </c>
      <c r="P3" s="737">
        <f>O3/$O$116</f>
        <v>3.6244402863533083E-3</v>
      </c>
      <c r="Q3" s="462">
        <f>LOT!I15</f>
        <v>16591.545207347186</v>
      </c>
      <c r="R3" s="737">
        <f>Q3/$Q$116</f>
        <v>3.6244402863533096E-3</v>
      </c>
      <c r="S3" s="462">
        <f>'ENAJENAC DE INMUE'!I15</f>
        <v>65239.925154359538</v>
      </c>
      <c r="T3" s="737">
        <f>S3/$S$116</f>
        <v>3.6244402863533079E-3</v>
      </c>
      <c r="U3" s="462">
        <f>'IMP BEBIDAS AL'!I15</f>
        <v>25499.210317924091</v>
      </c>
      <c r="V3" s="737">
        <f>U3/$U$116</f>
        <v>3.6244402863533092E-3</v>
      </c>
      <c r="W3" s="462">
        <f>'FOND GASO Y D'!H16</f>
        <v>965894.0730985183</v>
      </c>
      <c r="X3" s="737">
        <f>W3/$W$116</f>
        <v>4.3206824883797838E-3</v>
      </c>
      <c r="Y3" s="462">
        <f>'FOND GASO Y D'!Q16</f>
        <v>0</v>
      </c>
      <c r="Z3" s="775" t="e">
        <f>Y3/$Y$116</f>
        <v>#DIV/0!</v>
      </c>
      <c r="AA3" s="462">
        <f>C3+E3+G3+I3+K3+M3+O3+Q3+S3+U3+W3+Y3</f>
        <v>34588645.127120614</v>
      </c>
      <c r="AB3" s="737">
        <f>AA3/$AA$116</f>
        <v>3.6719456234586586E-3</v>
      </c>
    </row>
    <row r="4" spans="1:28" x14ac:dyDescent="0.2">
      <c r="A4" s="221">
        <v>2</v>
      </c>
      <c r="B4" s="598" t="s">
        <v>46</v>
      </c>
      <c r="C4" s="462">
        <f>'FG1'!I17</f>
        <v>47907516.726051852</v>
      </c>
      <c r="D4" s="737">
        <f t="shared" ref="D4:D67" si="0">C4/$C$116</f>
        <v>7.513470025801933E-3</v>
      </c>
      <c r="E4" s="462">
        <f>FFM!J17</f>
        <v>12877343.864490759</v>
      </c>
      <c r="F4" s="740">
        <f t="shared" ref="F4:F67" si="1">E4/$E$116</f>
        <v>7.4856701867064643E-3</v>
      </c>
      <c r="G4" s="462">
        <f>IEPS!I16</f>
        <v>1158595.4138509089</v>
      </c>
      <c r="H4" s="737">
        <f t="shared" ref="H4:H67" si="2">G4/$G$116</f>
        <v>7.5134700258019348E-3</v>
      </c>
      <c r="I4" s="462">
        <f>ISR!C7</f>
        <v>3911981.2</v>
      </c>
      <c r="J4" s="737">
        <f t="shared" ref="J4:J67" si="3">I4/$I$116</f>
        <v>7.7598649927187483E-3</v>
      </c>
      <c r="K4" s="462">
        <f>FOFIR!I16</f>
        <v>2240717.8281628024</v>
      </c>
      <c r="L4" s="737">
        <f t="shared" ref="L4:L67" si="4">K4/$K$116</f>
        <v>7.5134700258019339E-3</v>
      </c>
      <c r="M4" s="462">
        <f>FCISAN!I16</f>
        <v>142243.5659314612</v>
      </c>
      <c r="N4" s="737">
        <f t="shared" ref="N4:N67" si="5">M4/$M$116</f>
        <v>7.5134700258019322E-3</v>
      </c>
      <c r="O4" s="462">
        <f>ISAN!I16</f>
        <v>710523.29350428481</v>
      </c>
      <c r="P4" s="737">
        <f t="shared" ref="P4:P67" si="6">O4/$O$116</f>
        <v>7.5134700258019304E-3</v>
      </c>
      <c r="Q4" s="462">
        <f>LOT!I16</f>
        <v>34394.297532369106</v>
      </c>
      <c r="R4" s="737">
        <f t="shared" ref="R4:R67" si="7">Q4/$Q$116</f>
        <v>7.5134700258019339E-3</v>
      </c>
      <c r="S4" s="462">
        <f>'ENAJENAC DE INMUE'!I16</f>
        <v>135242.46046443476</v>
      </c>
      <c r="T4" s="737">
        <f t="shared" ref="T4:T67" si="8">S4/$S$116</f>
        <v>7.5134700258019313E-3</v>
      </c>
      <c r="U4" s="462">
        <f>'IMP BEBIDAS AL'!I16</f>
        <v>52859.900362189648</v>
      </c>
      <c r="V4" s="737">
        <f t="shared" ref="V4:V67" si="9">U4/$U$116</f>
        <v>7.513470025801933E-3</v>
      </c>
      <c r="W4" s="462">
        <f>'FOND GASO Y D'!H17</f>
        <v>1079678.723815463</v>
      </c>
      <c r="X4" s="737">
        <f t="shared" ref="X4:X67" si="10">W4/$W$116</f>
        <v>4.8296693032817617E-3</v>
      </c>
      <c r="Y4" s="462">
        <f>'FOND GASO Y D'!Q17</f>
        <v>0</v>
      </c>
      <c r="Z4" s="737" t="e">
        <f t="shared" ref="Z4:Z67" si="11">Y4/$Y$116</f>
        <v>#DIV/0!</v>
      </c>
      <c r="AA4" s="462">
        <f t="shared" ref="AA4:AA67" si="12">C4+E4+G4+I4+K4+M4+O4+Q4+S4+U4+W4+Y4</f>
        <v>70251097.27416651</v>
      </c>
      <c r="AB4" s="737">
        <f t="shared" ref="AB4:AB67" si="13">AA4/$AA$116</f>
        <v>7.457887067590911E-3</v>
      </c>
    </row>
    <row r="5" spans="1:28" ht="25.5" x14ac:dyDescent="0.2">
      <c r="A5" s="221">
        <v>3</v>
      </c>
      <c r="B5" s="598" t="s">
        <v>49</v>
      </c>
      <c r="C5" s="462">
        <f>'FG1'!I18</f>
        <v>37401822.993827179</v>
      </c>
      <c r="D5" s="737">
        <f t="shared" si="0"/>
        <v>5.8658326538067922E-3</v>
      </c>
      <c r="E5" s="462">
        <f>FFM!J18</f>
        <v>10053456.508807495</v>
      </c>
      <c r="F5" s="740">
        <f t="shared" si="1"/>
        <v>5.8441290729877079E-3</v>
      </c>
      <c r="G5" s="462">
        <f>IEPS!I17</f>
        <v>904525.71019501565</v>
      </c>
      <c r="H5" s="737">
        <f t="shared" si="2"/>
        <v>5.8658326538067939E-3</v>
      </c>
      <c r="I5" s="462">
        <f>ISR!C8</f>
        <v>2686137</v>
      </c>
      <c r="J5" s="737">
        <f t="shared" si="3"/>
        <v>5.3282619231264606E-3</v>
      </c>
      <c r="K5" s="462">
        <f>FOFIR!I17</f>
        <v>1749348.2717396673</v>
      </c>
      <c r="L5" s="737">
        <f t="shared" si="4"/>
        <v>5.8658326538067939E-3</v>
      </c>
      <c r="M5" s="462">
        <f>FCISAN!I17</f>
        <v>111050.81286933454</v>
      </c>
      <c r="N5" s="737">
        <f t="shared" si="5"/>
        <v>5.8658326538067922E-3</v>
      </c>
      <c r="O5" s="462">
        <f>ISAN!I17</f>
        <v>554711.83381515392</v>
      </c>
      <c r="P5" s="737">
        <f t="shared" si="6"/>
        <v>5.8658326538067913E-3</v>
      </c>
      <c r="Q5" s="462">
        <f>LOT!I17</f>
        <v>26851.93297867501</v>
      </c>
      <c r="R5" s="737">
        <f t="shared" si="7"/>
        <v>5.8658326538067939E-3</v>
      </c>
      <c r="S5" s="462">
        <f>'ENAJENAC DE INMUE'!I17</f>
        <v>105584.98776852223</v>
      </c>
      <c r="T5" s="737">
        <f t="shared" si="8"/>
        <v>5.8658326538067905E-3</v>
      </c>
      <c r="U5" s="462">
        <f>'IMP BEBIDAS AL'!I17</f>
        <v>41268.192799958793</v>
      </c>
      <c r="V5" s="737">
        <f t="shared" si="9"/>
        <v>5.8658326538067931E-3</v>
      </c>
      <c r="W5" s="462">
        <f>'FOND GASO Y D'!H18</f>
        <v>1351404.2464948508</v>
      </c>
      <c r="X5" s="737">
        <f t="shared" si="10"/>
        <v>6.0451646046665603E-3</v>
      </c>
      <c r="Y5" s="462">
        <f>'FOND GASO Y D'!Q18</f>
        <v>0</v>
      </c>
      <c r="Z5" s="737" t="e">
        <f t="shared" si="11"/>
        <v>#DIV/0!</v>
      </c>
      <c r="AA5" s="462">
        <f t="shared" si="12"/>
        <v>54986162.491295852</v>
      </c>
      <c r="AB5" s="737">
        <f t="shared" si="13"/>
        <v>5.8373549460712416E-3</v>
      </c>
    </row>
    <row r="6" spans="1:28" x14ac:dyDescent="0.2">
      <c r="A6" s="221">
        <v>4</v>
      </c>
      <c r="B6" s="598" t="s">
        <v>52</v>
      </c>
      <c r="C6" s="462">
        <f>'FG1'!I19</f>
        <v>26181580.631452154</v>
      </c>
      <c r="D6" s="737">
        <f t="shared" si="0"/>
        <v>4.1061306188629873E-3</v>
      </c>
      <c r="E6" s="462">
        <f>FFM!J19</f>
        <v>7037501.4141311273</v>
      </c>
      <c r="F6" s="740">
        <f t="shared" si="1"/>
        <v>4.0909379355731947E-3</v>
      </c>
      <c r="G6" s="462">
        <f>IEPS!I18</f>
        <v>633175.36202983488</v>
      </c>
      <c r="H6" s="737">
        <f t="shared" si="2"/>
        <v>4.1061306188629881E-3</v>
      </c>
      <c r="I6" s="462">
        <f>ISR!C9</f>
        <v>78614.75</v>
      </c>
      <c r="J6" s="737">
        <f>I6/$I$116</f>
        <v>1.5594140545367044E-4</v>
      </c>
      <c r="K6" s="462">
        <f>FOFIR!I18</f>
        <v>1224558.033885208</v>
      </c>
      <c r="L6" s="737">
        <f t="shared" si="4"/>
        <v>4.1061306188629881E-3</v>
      </c>
      <c r="M6" s="462">
        <f>FCISAN!I18</f>
        <v>77736.473214330748</v>
      </c>
      <c r="N6" s="737">
        <f t="shared" si="5"/>
        <v>4.1061306188629873E-3</v>
      </c>
      <c r="O6" s="462">
        <f>ISAN!I18</f>
        <v>388302.8002846028</v>
      </c>
      <c r="P6" s="737">
        <f t="shared" si="6"/>
        <v>4.1061306188629864E-3</v>
      </c>
      <c r="Q6" s="462">
        <f>LOT!I18</f>
        <v>18796.571720783686</v>
      </c>
      <c r="R6" s="737">
        <f t="shared" si="7"/>
        <v>4.1061306188629881E-3</v>
      </c>
      <c r="S6" s="462">
        <f>'ENAJENAC DE INMUE'!I18</f>
        <v>73910.351139533755</v>
      </c>
      <c r="T6" s="737">
        <f t="shared" si="8"/>
        <v>4.1061306188629864E-3</v>
      </c>
      <c r="U6" s="462">
        <f>'IMP BEBIDAS AL'!I18</f>
        <v>28888.070976774456</v>
      </c>
      <c r="V6" s="737">
        <f t="shared" si="9"/>
        <v>4.1061306188629873E-3</v>
      </c>
      <c r="W6" s="462">
        <f>'FOND GASO Y D'!H19</f>
        <v>1085906.7281553131</v>
      </c>
      <c r="X6" s="737">
        <f t="shared" si="10"/>
        <v>4.8575287032286115E-3</v>
      </c>
      <c r="Y6" s="462">
        <f>'FOND GASO Y D'!Q19</f>
        <v>0</v>
      </c>
      <c r="Z6" s="737" t="e">
        <f t="shared" si="11"/>
        <v>#DIV/0!</v>
      </c>
      <c r="AA6" s="462">
        <f t="shared" si="12"/>
        <v>36828971.186989658</v>
      </c>
      <c r="AB6" s="737">
        <f t="shared" si="13"/>
        <v>3.9097796132094255E-3</v>
      </c>
    </row>
    <row r="7" spans="1:28" x14ac:dyDescent="0.2">
      <c r="A7" s="221">
        <v>5</v>
      </c>
      <c r="B7" s="598" t="s">
        <v>54</v>
      </c>
      <c r="C7" s="462">
        <f>'FG1'!I20</f>
        <v>23189648.598080408</v>
      </c>
      <c r="D7" s="737">
        <f t="shared" si="0"/>
        <v>3.6368975383733269E-3</v>
      </c>
      <c r="E7" s="462">
        <f>FFM!J20</f>
        <v>6233282.3636379167</v>
      </c>
      <c r="F7" s="740">
        <f t="shared" si="1"/>
        <v>3.6234410174813456E-3</v>
      </c>
      <c r="G7" s="462">
        <f>IEPS!I19</f>
        <v>560818.47590191953</v>
      </c>
      <c r="H7" s="737">
        <f t="shared" si="2"/>
        <v>3.6368975383733273E-3</v>
      </c>
      <c r="I7" s="462">
        <f>ISR!C10</f>
        <v>1286519.44</v>
      </c>
      <c r="J7" s="737">
        <f t="shared" si="3"/>
        <v>2.5519593920615281E-3</v>
      </c>
      <c r="K7" s="462">
        <f>FOFIR!I19</f>
        <v>1084620.1722305708</v>
      </c>
      <c r="L7" s="737">
        <f t="shared" si="4"/>
        <v>3.6368975383733277E-3</v>
      </c>
      <c r="M7" s="462">
        <f>FCISAN!I19</f>
        <v>68853.043002638413</v>
      </c>
      <c r="N7" s="737">
        <f t="shared" si="5"/>
        <v>3.6368975383733264E-3</v>
      </c>
      <c r="O7" s="462">
        <f>ISAN!I19</f>
        <v>343929.02456902189</v>
      </c>
      <c r="P7" s="737">
        <f t="shared" si="6"/>
        <v>3.636897538373326E-3</v>
      </c>
      <c r="Q7" s="462">
        <f>LOT!I19</f>
        <v>16648.57058056899</v>
      </c>
      <c r="R7" s="737">
        <f t="shared" si="7"/>
        <v>3.6368975383733273E-3</v>
      </c>
      <c r="S7" s="462">
        <f>'ENAJENAC DE INMUE'!I19</f>
        <v>65464.155690719868</v>
      </c>
      <c r="T7" s="737">
        <f t="shared" si="8"/>
        <v>3.636897538373326E-3</v>
      </c>
      <c r="U7" s="462">
        <f>'IMP BEBIDAS AL'!I19</f>
        <v>25586.851460871825</v>
      </c>
      <c r="V7" s="737">
        <f t="shared" si="9"/>
        <v>3.6368975383733269E-3</v>
      </c>
      <c r="W7" s="462">
        <f>'FOND GASO Y D'!H20</f>
        <v>952416.53989746689</v>
      </c>
      <c r="X7" s="737">
        <f t="shared" si="10"/>
        <v>4.2603941572778694E-3</v>
      </c>
      <c r="Y7" s="462">
        <f>'FOND GASO Y D'!Q20</f>
        <v>0</v>
      </c>
      <c r="Z7" s="737" t="e">
        <f t="shared" si="11"/>
        <v>#DIV/0!</v>
      </c>
      <c r="AA7" s="462">
        <f t="shared" si="12"/>
        <v>33827787.235052101</v>
      </c>
      <c r="AB7" s="737">
        <f t="shared" si="13"/>
        <v>3.5911726184280472E-3</v>
      </c>
    </row>
    <row r="8" spans="1:28" x14ac:dyDescent="0.2">
      <c r="A8" s="221">
        <v>6</v>
      </c>
      <c r="B8" s="598" t="s">
        <v>57</v>
      </c>
      <c r="C8" s="462">
        <f>'FG1'!I21</f>
        <v>149791149.06357691</v>
      </c>
      <c r="D8" s="737">
        <f t="shared" si="0"/>
        <v>2.3492165437320609E-2</v>
      </c>
      <c r="E8" s="462">
        <f>FFM!J21</f>
        <v>40263246.065933965</v>
      </c>
      <c r="F8" s="740">
        <f t="shared" si="1"/>
        <v>2.3405244425202521E-2</v>
      </c>
      <c r="G8" s="462">
        <f>IEPS!I20</f>
        <v>3622549.240715371</v>
      </c>
      <c r="H8" s="737">
        <f t="shared" si="2"/>
        <v>2.3492165437320616E-2</v>
      </c>
      <c r="I8" s="462">
        <f>ISR!C11</f>
        <v>2825479.52</v>
      </c>
      <c r="J8" s="737">
        <f t="shared" si="3"/>
        <v>5.6046638503507561E-3</v>
      </c>
      <c r="K8" s="462">
        <f>FOFIR!I20</f>
        <v>7005992.4025498396</v>
      </c>
      <c r="L8" s="737">
        <f t="shared" si="4"/>
        <v>2.3492165437320613E-2</v>
      </c>
      <c r="M8" s="462">
        <f>FCISAN!I20</f>
        <v>444749.14676985738</v>
      </c>
      <c r="N8" s="737">
        <f t="shared" si="5"/>
        <v>2.3492165437320606E-2</v>
      </c>
      <c r="O8" s="462">
        <f>ISAN!I20</f>
        <v>2221574.1462668595</v>
      </c>
      <c r="P8" s="737">
        <f t="shared" si="6"/>
        <v>2.3492165437320606E-2</v>
      </c>
      <c r="Q8" s="462">
        <f>LOT!I20</f>
        <v>107539.72864150787</v>
      </c>
      <c r="R8" s="737">
        <f t="shared" si="7"/>
        <v>2.3492165437320613E-2</v>
      </c>
      <c r="S8" s="462">
        <f>'ENAJENAC DE INMUE'!I20</f>
        <v>422858.97787177085</v>
      </c>
      <c r="T8" s="737">
        <f t="shared" si="8"/>
        <v>2.3492165437320602E-2</v>
      </c>
      <c r="U8" s="462">
        <f>'IMP BEBIDAS AL'!I20</f>
        <v>165275.63430005204</v>
      </c>
      <c r="V8" s="737">
        <f t="shared" si="9"/>
        <v>2.3492165437320609E-2</v>
      </c>
      <c r="W8" s="462">
        <f>'FOND GASO Y D'!H21</f>
        <v>4751795.7588412864</v>
      </c>
      <c r="X8" s="737">
        <f t="shared" si="10"/>
        <v>2.1255954762949218E-2</v>
      </c>
      <c r="Y8" s="462">
        <f>'FOND GASO Y D'!Q21</f>
        <v>0</v>
      </c>
      <c r="Z8" s="737" t="e">
        <f t="shared" si="11"/>
        <v>#DIV/0!</v>
      </c>
      <c r="AA8" s="462">
        <f t="shared" si="12"/>
        <v>211622209.68546742</v>
      </c>
      <c r="AB8" s="737">
        <f t="shared" si="13"/>
        <v>2.2465905901353549E-2</v>
      </c>
    </row>
    <row r="9" spans="1:28" x14ac:dyDescent="0.2">
      <c r="A9" s="221">
        <v>7</v>
      </c>
      <c r="B9" s="598" t="s">
        <v>44</v>
      </c>
      <c r="C9" s="462">
        <f>'FG1'!I22</f>
        <v>15133780.403704993</v>
      </c>
      <c r="D9" s="737">
        <f t="shared" si="0"/>
        <v>2.3734731668626184E-3</v>
      </c>
      <c r="E9" s="462">
        <f>FFM!J22</f>
        <v>4067898.0574717349</v>
      </c>
      <c r="F9" s="740">
        <f t="shared" si="1"/>
        <v>2.3646913161452262E-3</v>
      </c>
      <c r="G9" s="462">
        <f>IEPS!I21</f>
        <v>365995.35455413209</v>
      </c>
      <c r="H9" s="737">
        <f t="shared" si="2"/>
        <v>2.3734731668626189E-3</v>
      </c>
      <c r="I9" s="462">
        <f>ISR!C12</f>
        <v>945979.81</v>
      </c>
      <c r="J9" s="737">
        <f t="shared" si="3"/>
        <v>1.8764598386714468E-3</v>
      </c>
      <c r="K9" s="462">
        <f>FOFIR!I21</f>
        <v>707833.21439915639</v>
      </c>
      <c r="L9" s="737">
        <f t="shared" si="4"/>
        <v>2.3734731668626184E-3</v>
      </c>
      <c r="M9" s="462">
        <f>FCISAN!I21</f>
        <v>44934.136389416504</v>
      </c>
      <c r="N9" s="737">
        <f t="shared" si="5"/>
        <v>2.3734731668626175E-3</v>
      </c>
      <c r="O9" s="462">
        <f>ISAN!I21</f>
        <v>224451.28093570555</v>
      </c>
      <c r="P9" s="737">
        <f t="shared" si="6"/>
        <v>2.3734731668626175E-3</v>
      </c>
      <c r="Q9" s="462">
        <f>LOT!I21</f>
        <v>10865.012039154866</v>
      </c>
      <c r="R9" s="737">
        <f t="shared" si="7"/>
        <v>2.3734731668626184E-3</v>
      </c>
      <c r="S9" s="462">
        <f>'ENAJENAC DE INMUE'!I21</f>
        <v>42722.517003527115</v>
      </c>
      <c r="T9" s="737">
        <f t="shared" si="8"/>
        <v>2.3734731668626175E-3</v>
      </c>
      <c r="U9" s="462">
        <f>'IMP BEBIDAS AL'!I21</f>
        <v>16698.217292654717</v>
      </c>
      <c r="V9" s="737">
        <f t="shared" si="9"/>
        <v>2.3734731668626184E-3</v>
      </c>
      <c r="W9" s="462">
        <f>'FOND GASO Y D'!H22</f>
        <v>709787.98987462767</v>
      </c>
      <c r="X9" s="737">
        <f t="shared" si="10"/>
        <v>3.1750567932108944E-3</v>
      </c>
      <c r="Y9" s="462">
        <f>'FOND GASO Y D'!Q22</f>
        <v>0</v>
      </c>
      <c r="Z9" s="737" t="e">
        <f t="shared" si="11"/>
        <v>#DIV/0!</v>
      </c>
      <c r="AA9" s="462">
        <f t="shared" si="12"/>
        <v>22270945.993665099</v>
      </c>
      <c r="AB9" s="737">
        <f t="shared" si="13"/>
        <v>2.3642933214403829E-3</v>
      </c>
    </row>
    <row r="10" spans="1:28" x14ac:dyDescent="0.2">
      <c r="A10" s="221">
        <v>8</v>
      </c>
      <c r="B10" s="598" t="s">
        <v>59</v>
      </c>
      <c r="C10" s="462">
        <f>'FG1'!I23</f>
        <v>85220631.494897261</v>
      </c>
      <c r="D10" s="737">
        <f t="shared" si="0"/>
        <v>1.3365390320234018E-2</v>
      </c>
      <c r="E10" s="462">
        <f>FFM!J23</f>
        <v>22906955.966516931</v>
      </c>
      <c r="F10" s="740">
        <f t="shared" si="1"/>
        <v>1.331593837604915E-2</v>
      </c>
      <c r="G10" s="462">
        <f>IEPS!I22</f>
        <v>2060975.8042786226</v>
      </c>
      <c r="H10" s="737">
        <f t="shared" si="2"/>
        <v>1.3365390320234019E-2</v>
      </c>
      <c r="I10" s="462">
        <f>ISR!C13</f>
        <v>259604.29</v>
      </c>
      <c r="J10" s="737">
        <f t="shared" si="3"/>
        <v>5.1495499056350414E-4</v>
      </c>
      <c r="K10" s="462">
        <f>FOFIR!I22</f>
        <v>3985917.0620310651</v>
      </c>
      <c r="L10" s="737">
        <f t="shared" si="4"/>
        <v>1.3365390320234019E-2</v>
      </c>
      <c r="M10" s="462">
        <f>FCISAN!I22</f>
        <v>253030.99269541661</v>
      </c>
      <c r="N10" s="737">
        <f t="shared" si="5"/>
        <v>1.3365390320234014E-2</v>
      </c>
      <c r="O10" s="462">
        <f>ISAN!I22</f>
        <v>1263919.4828343492</v>
      </c>
      <c r="P10" s="737">
        <f t="shared" si="6"/>
        <v>1.3365390320234014E-2</v>
      </c>
      <c r="Q10" s="462">
        <f>LOT!I22</f>
        <v>61182.544115002383</v>
      </c>
      <c r="R10" s="737">
        <f t="shared" si="7"/>
        <v>1.3365390320234021E-2</v>
      </c>
      <c r="S10" s="462">
        <f>'ENAJENAC DE INMUE'!I22</f>
        <v>240577.02576421225</v>
      </c>
      <c r="T10" s="737">
        <f t="shared" si="8"/>
        <v>1.3365390320234014E-2</v>
      </c>
      <c r="U10" s="462">
        <f>'IMP BEBIDAS AL'!I22</f>
        <v>94030.214827926757</v>
      </c>
      <c r="V10" s="737">
        <f t="shared" si="9"/>
        <v>1.3365390320234018E-2</v>
      </c>
      <c r="W10" s="462">
        <f>'FOND GASO Y D'!H23</f>
        <v>1406632.4754556383</v>
      </c>
      <c r="X10" s="737">
        <f t="shared" si="10"/>
        <v>6.292214098375137E-3</v>
      </c>
      <c r="Y10" s="462">
        <f>'FOND GASO Y D'!Q23</f>
        <v>0</v>
      </c>
      <c r="Z10" s="737" t="e">
        <f t="shared" si="11"/>
        <v>#DIV/0!</v>
      </c>
      <c r="AA10" s="462">
        <f t="shared" si="12"/>
        <v>117753457.35341644</v>
      </c>
      <c r="AB10" s="737">
        <f t="shared" si="13"/>
        <v>1.2500758291829566E-2</v>
      </c>
    </row>
    <row r="11" spans="1:28" x14ac:dyDescent="0.2">
      <c r="A11" s="221">
        <v>9</v>
      </c>
      <c r="B11" s="598" t="s">
        <v>342</v>
      </c>
      <c r="C11" s="462">
        <f>'FG1'!I24</f>
        <v>54410116.875404626</v>
      </c>
      <c r="D11" s="737">
        <f t="shared" si="0"/>
        <v>8.5332910194742904E-3</v>
      </c>
      <c r="E11" s="462">
        <f>FFM!J24</f>
        <v>14625216.095383691</v>
      </c>
      <c r="F11" s="740">
        <f t="shared" si="1"/>
        <v>8.501717842702235E-3</v>
      </c>
      <c r="G11" s="462">
        <f>IEPS!I23</f>
        <v>1315854.299846339</v>
      </c>
      <c r="H11" s="737">
        <f t="shared" si="2"/>
        <v>8.5332910194742904E-3</v>
      </c>
      <c r="I11" s="462">
        <f>ISR!C14</f>
        <v>5856322.5</v>
      </c>
      <c r="J11" s="737">
        <f t="shared" si="3"/>
        <v>1.1616689761653542E-2</v>
      </c>
      <c r="K11" s="462">
        <f>FOFIR!I23</f>
        <v>2544855.7397015463</v>
      </c>
      <c r="L11" s="737">
        <f t="shared" si="4"/>
        <v>8.5332910194742904E-3</v>
      </c>
      <c r="M11" s="462">
        <f>FCISAN!I23</f>
        <v>161550.62036217866</v>
      </c>
      <c r="N11" s="737">
        <f t="shared" si="5"/>
        <v>8.5332910194742886E-3</v>
      </c>
      <c r="O11" s="462">
        <f>ISAN!I23</f>
        <v>806964.29462900234</v>
      </c>
      <c r="P11" s="737">
        <f t="shared" si="6"/>
        <v>8.5332910194742869E-3</v>
      </c>
      <c r="Q11" s="462">
        <f>LOT!I23</f>
        <v>39062.716593823949</v>
      </c>
      <c r="R11" s="737">
        <f t="shared" si="7"/>
        <v>8.5332910194742904E-3</v>
      </c>
      <c r="S11" s="462">
        <f>'ENAJENAC DE INMUE'!I23</f>
        <v>153599.23835053714</v>
      </c>
      <c r="T11" s="737">
        <f t="shared" si="8"/>
        <v>8.5332910194742852E-3</v>
      </c>
      <c r="U11" s="462">
        <f>'IMP BEBIDAS AL'!I23</f>
        <v>60034.699213807646</v>
      </c>
      <c r="V11" s="737">
        <f t="shared" si="9"/>
        <v>8.5332910194742886E-3</v>
      </c>
      <c r="W11" s="462">
        <f>'FOND GASO Y D'!H24</f>
        <v>1788616.7416331139</v>
      </c>
      <c r="X11" s="737">
        <f t="shared" si="10"/>
        <v>8.000923961781951E-3</v>
      </c>
      <c r="Y11" s="462">
        <f>'FOND GASO Y D'!Q24</f>
        <v>0</v>
      </c>
      <c r="Z11" s="737" t="e">
        <f t="shared" si="11"/>
        <v>#DIV/0!</v>
      </c>
      <c r="AA11" s="462">
        <f t="shared" si="12"/>
        <v>81762193.821118653</v>
      </c>
      <c r="AB11" s="737">
        <f t="shared" si="13"/>
        <v>8.6799100879042732E-3</v>
      </c>
    </row>
    <row r="12" spans="1:28" x14ac:dyDescent="0.2">
      <c r="A12" s="221">
        <v>10</v>
      </c>
      <c r="B12" s="598" t="s">
        <v>64</v>
      </c>
      <c r="C12" s="462">
        <f>'FG1'!I25</f>
        <v>87955024.496948257</v>
      </c>
      <c r="D12" s="737">
        <f t="shared" si="0"/>
        <v>1.3794232833135561E-2</v>
      </c>
      <c r="E12" s="462">
        <f>FFM!J25</f>
        <v>23641949.58243357</v>
      </c>
      <c r="F12" s="740">
        <f t="shared" si="1"/>
        <v>1.3743194171652954E-2</v>
      </c>
      <c r="G12" s="462">
        <f>IEPS!I24</f>
        <v>2127104.366315309</v>
      </c>
      <c r="H12" s="737">
        <f t="shared" si="2"/>
        <v>1.3794232833135562E-2</v>
      </c>
      <c r="I12" s="462">
        <f>ISR!C15</f>
        <v>3627485.93</v>
      </c>
      <c r="J12" s="737">
        <f t="shared" si="3"/>
        <v>7.195535878287659E-3</v>
      </c>
      <c r="K12" s="462">
        <f>FOFIR!I24</f>
        <v>4113809.375547024</v>
      </c>
      <c r="L12" s="737">
        <f t="shared" si="4"/>
        <v>1.3794232833135562E-2</v>
      </c>
      <c r="M12" s="462">
        <f>FCISAN!I24</f>
        <v>261149.75646883211</v>
      </c>
      <c r="N12" s="737">
        <f t="shared" si="5"/>
        <v>1.3794232833135557E-2</v>
      </c>
      <c r="O12" s="462">
        <f>ISAN!I24</f>
        <v>1304473.6600141448</v>
      </c>
      <c r="P12" s="737">
        <f t="shared" si="6"/>
        <v>1.3794232833135555E-2</v>
      </c>
      <c r="Q12" s="462">
        <f>LOT!I24</f>
        <v>63145.649967905563</v>
      </c>
      <c r="R12" s="737">
        <f t="shared" si="7"/>
        <v>1.3794232833135561E-2</v>
      </c>
      <c r="S12" s="462">
        <f>'ENAJENAC DE INMUE'!I24</f>
        <v>248296.19099643998</v>
      </c>
      <c r="T12" s="737">
        <f t="shared" si="8"/>
        <v>1.3794232833135555E-2</v>
      </c>
      <c r="U12" s="462">
        <f>'IMP BEBIDAS AL'!I24</f>
        <v>97047.272515679622</v>
      </c>
      <c r="V12" s="737">
        <f t="shared" si="9"/>
        <v>1.3794232833135557E-2</v>
      </c>
      <c r="W12" s="462">
        <f>'FOND GASO Y D'!H25</f>
        <v>1263487.2328508287</v>
      </c>
      <c r="X12" s="737">
        <f t="shared" si="10"/>
        <v>5.6518901122951512E-3</v>
      </c>
      <c r="Y12" s="462">
        <f>'FOND GASO Y D'!Q25</f>
        <v>0</v>
      </c>
      <c r="Z12" s="737" t="e">
        <f t="shared" si="11"/>
        <v>#DIV/0!</v>
      </c>
      <c r="AA12" s="462">
        <f t="shared" si="12"/>
        <v>124702973.51405799</v>
      </c>
      <c r="AB12" s="737">
        <f t="shared" si="13"/>
        <v>1.323852195263322E-2</v>
      </c>
    </row>
    <row r="13" spans="1:28" x14ac:dyDescent="0.2">
      <c r="A13" s="221">
        <v>11</v>
      </c>
      <c r="B13" s="598" t="s">
        <v>343</v>
      </c>
      <c r="C13" s="462">
        <f>'FG1'!I26</f>
        <v>25381568.509446841</v>
      </c>
      <c r="D13" s="737">
        <f t="shared" si="0"/>
        <v>3.9806624771236256E-3</v>
      </c>
      <c r="E13" s="462">
        <f>FFM!J26</f>
        <v>6822461.4393035211</v>
      </c>
      <c r="F13" s="740">
        <f t="shared" si="1"/>
        <v>3.9659340259582685E-3</v>
      </c>
      <c r="G13" s="462">
        <f>IEPS!I25</f>
        <v>613827.86838117219</v>
      </c>
      <c r="H13" s="737">
        <f t="shared" si="2"/>
        <v>3.9806624771236265E-3</v>
      </c>
      <c r="I13" s="462">
        <f>ISR!C16</f>
        <v>1165009.31</v>
      </c>
      <c r="J13" s="737">
        <f t="shared" si="3"/>
        <v>2.3109300629717811E-3</v>
      </c>
      <c r="K13" s="462">
        <f>FOFIR!I25</f>
        <v>1187140.0763906827</v>
      </c>
      <c r="L13" s="737">
        <f t="shared" si="4"/>
        <v>3.9806624771236265E-3</v>
      </c>
      <c r="M13" s="462">
        <f>FCISAN!I25</f>
        <v>75361.134545178866</v>
      </c>
      <c r="N13" s="737">
        <f t="shared" si="5"/>
        <v>3.9806624771236247E-3</v>
      </c>
      <c r="O13" s="462">
        <f>ISAN!I25</f>
        <v>376437.70506330405</v>
      </c>
      <c r="P13" s="737">
        <f t="shared" si="6"/>
        <v>3.9806624771236247E-3</v>
      </c>
      <c r="Q13" s="462">
        <f>LOT!I25</f>
        <v>18222.218115459164</v>
      </c>
      <c r="R13" s="737">
        <f t="shared" si="7"/>
        <v>3.9806624771236265E-3</v>
      </c>
      <c r="S13" s="462">
        <f>'ENAJENAC DE INMUE'!I25</f>
        <v>71651.924588225243</v>
      </c>
      <c r="T13" s="737">
        <f t="shared" si="8"/>
        <v>3.9806624771236247E-3</v>
      </c>
      <c r="U13" s="462">
        <f>'IMP BEBIDAS AL'!I25</f>
        <v>28005.358535226667</v>
      </c>
      <c r="V13" s="737">
        <f t="shared" si="9"/>
        <v>3.9806624771236256E-3</v>
      </c>
      <c r="W13" s="462">
        <f>'FOND GASO Y D'!H26</f>
        <v>978415.98658604769</v>
      </c>
      <c r="X13" s="737">
        <f t="shared" si="10"/>
        <v>4.3766960967385297E-3</v>
      </c>
      <c r="Y13" s="462">
        <f>'FOND GASO Y D'!Q26</f>
        <v>0</v>
      </c>
      <c r="Z13" s="737" t="e">
        <f t="shared" si="11"/>
        <v>#DIV/0!</v>
      </c>
      <c r="AA13" s="462">
        <f t="shared" si="12"/>
        <v>36718101.530955665</v>
      </c>
      <c r="AB13" s="737">
        <f t="shared" si="13"/>
        <v>3.8980096422622495E-3</v>
      </c>
    </row>
    <row r="14" spans="1:28" x14ac:dyDescent="0.2">
      <c r="A14" s="221">
        <v>12</v>
      </c>
      <c r="B14" s="598" t="s">
        <v>70</v>
      </c>
      <c r="C14" s="462">
        <f>'FG1'!I27</f>
        <v>63316529.239445709</v>
      </c>
      <c r="D14" s="737">
        <f t="shared" si="0"/>
        <v>9.9301086152872812E-3</v>
      </c>
      <c r="E14" s="462">
        <f>FFM!J27</f>
        <v>17019223.183384992</v>
      </c>
      <c r="F14" s="740">
        <f t="shared" si="1"/>
        <v>9.8933672134107163E-3</v>
      </c>
      <c r="G14" s="462">
        <f>IEPS!I26</f>
        <v>1531246.9819143633</v>
      </c>
      <c r="H14" s="737">
        <f t="shared" si="2"/>
        <v>9.9301086152872829E-3</v>
      </c>
      <c r="I14" s="462">
        <f>ISR!C17</f>
        <v>302573.83</v>
      </c>
      <c r="J14" s="737">
        <f t="shared" si="3"/>
        <v>6.0019001909565259E-4</v>
      </c>
      <c r="K14" s="462">
        <f>FOFIR!I26</f>
        <v>2961424.1267292984</v>
      </c>
      <c r="L14" s="737">
        <f t="shared" si="4"/>
        <v>9.9301086152872812E-3</v>
      </c>
      <c r="M14" s="462">
        <f>FCISAN!I26</f>
        <v>187994.90177967772</v>
      </c>
      <c r="N14" s="737">
        <f t="shared" si="5"/>
        <v>9.9301086152872777E-3</v>
      </c>
      <c r="O14" s="462">
        <f>ISAN!I26</f>
        <v>939056.58157412196</v>
      </c>
      <c r="P14" s="737">
        <f t="shared" si="6"/>
        <v>9.9301086152872794E-3</v>
      </c>
      <c r="Q14" s="462">
        <f>LOT!I26</f>
        <v>45456.907270549622</v>
      </c>
      <c r="R14" s="737">
        <f t="shared" si="7"/>
        <v>9.9301086152872829E-3</v>
      </c>
      <c r="S14" s="462">
        <f>'ENAJENAC DE INMUE'!I26</f>
        <v>178741.95507517102</v>
      </c>
      <c r="T14" s="737">
        <f t="shared" si="8"/>
        <v>9.9301086152872794E-3</v>
      </c>
      <c r="U14" s="462">
        <f>'IMP BEBIDAS AL'!I26</f>
        <v>69861.801562691689</v>
      </c>
      <c r="V14" s="737">
        <f t="shared" si="9"/>
        <v>9.9301086152872812E-3</v>
      </c>
      <c r="W14" s="462">
        <f>'FOND GASO Y D'!H27</f>
        <v>2094085.525921002</v>
      </c>
      <c r="X14" s="737">
        <f t="shared" si="10"/>
        <v>9.367361197270321E-3</v>
      </c>
      <c r="Y14" s="462">
        <f>'FOND GASO Y D'!Q27</f>
        <v>0</v>
      </c>
      <c r="Z14" s="737" t="e">
        <f t="shared" si="11"/>
        <v>#DIV/0!</v>
      </c>
      <c r="AA14" s="462">
        <f t="shared" si="12"/>
        <v>88646195.034657583</v>
      </c>
      <c r="AB14" s="737">
        <f t="shared" si="13"/>
        <v>9.4107186534042389E-3</v>
      </c>
    </row>
    <row r="15" spans="1:28" x14ac:dyDescent="0.2">
      <c r="A15" s="221">
        <v>13</v>
      </c>
      <c r="B15" s="598" t="s">
        <v>73</v>
      </c>
      <c r="C15" s="462">
        <f>'FG1'!I28</f>
        <v>35461118.282570526</v>
      </c>
      <c r="D15" s="737">
        <f t="shared" si="0"/>
        <v>5.5614664984842358E-3</v>
      </c>
      <c r="E15" s="462">
        <f>FFM!J28</f>
        <v>9531803.0478444621</v>
      </c>
      <c r="F15" s="740">
        <f t="shared" si="1"/>
        <v>5.5408890724398434E-3</v>
      </c>
      <c r="G15" s="462">
        <f>IEPS!I27</f>
        <v>857591.70626911183</v>
      </c>
      <c r="H15" s="737">
        <f t="shared" si="2"/>
        <v>5.5614664984842367E-3</v>
      </c>
      <c r="I15" s="462">
        <f>ISR!C18</f>
        <v>171949.23</v>
      </c>
      <c r="J15" s="737">
        <f t="shared" si="3"/>
        <v>3.4108108965399535E-4</v>
      </c>
      <c r="K15" s="462">
        <f>FOFIR!I27</f>
        <v>1658578.1391406716</v>
      </c>
      <c r="L15" s="737">
        <f t="shared" si="4"/>
        <v>5.5614664984842375E-3</v>
      </c>
      <c r="M15" s="462">
        <f>FCISAN!I27</f>
        <v>105288.61149856262</v>
      </c>
      <c r="N15" s="737">
        <f t="shared" si="5"/>
        <v>5.5614664984842349E-3</v>
      </c>
      <c r="O15" s="462">
        <f>ISAN!I27</f>
        <v>525928.96220345306</v>
      </c>
      <c r="P15" s="737">
        <f t="shared" si="6"/>
        <v>5.5614664984842349E-3</v>
      </c>
      <c r="Q15" s="462">
        <f>LOT!I27</f>
        <v>25458.640655820502</v>
      </c>
      <c r="R15" s="737">
        <f t="shared" si="7"/>
        <v>5.5614664984842367E-3</v>
      </c>
      <c r="S15" s="462">
        <f>'ENAJENAC DE INMUE'!I27</f>
        <v>100106.3969727162</v>
      </c>
      <c r="T15" s="737">
        <f t="shared" si="8"/>
        <v>5.5614664984842332E-3</v>
      </c>
      <c r="U15" s="462">
        <f>'IMP BEBIDAS AL'!I27</f>
        <v>39126.870003870856</v>
      </c>
      <c r="V15" s="737">
        <f t="shared" si="9"/>
        <v>5.5614664984842358E-3</v>
      </c>
      <c r="W15" s="462">
        <f>'FOND GASO Y D'!H28</f>
        <v>895870.21478009736</v>
      </c>
      <c r="X15" s="737">
        <f t="shared" si="10"/>
        <v>4.0074484942683722E-3</v>
      </c>
      <c r="Y15" s="462">
        <f>'FOND GASO Y D'!Q28</f>
        <v>0</v>
      </c>
      <c r="Z15" s="737" t="e">
        <f t="shared" si="11"/>
        <v>#DIV/0!</v>
      </c>
      <c r="AA15" s="462">
        <f t="shared" si="12"/>
        <v>49372820.101939298</v>
      </c>
      <c r="AB15" s="737">
        <f t="shared" si="13"/>
        <v>5.2414400744762515E-3</v>
      </c>
    </row>
    <row r="16" spans="1:28" x14ac:dyDescent="0.2">
      <c r="A16" s="221">
        <v>14</v>
      </c>
      <c r="B16" s="598" t="s">
        <v>75</v>
      </c>
      <c r="C16" s="462">
        <f>'FG1'!I29</f>
        <v>31813857.61654843</v>
      </c>
      <c r="D16" s="737">
        <f t="shared" si="0"/>
        <v>4.9894563931150828E-3</v>
      </c>
      <c r="E16" s="462">
        <f>FFM!J29</f>
        <v>8551434.3506237678</v>
      </c>
      <c r="F16" s="740">
        <f t="shared" si="1"/>
        <v>4.9709954044605559E-3</v>
      </c>
      <c r="G16" s="462">
        <f>IEPS!I28</f>
        <v>769386.35208772728</v>
      </c>
      <c r="H16" s="737">
        <f t="shared" si="2"/>
        <v>4.9894563931150828E-3</v>
      </c>
      <c r="I16" s="462">
        <f>ISR!C19</f>
        <v>2677402.6</v>
      </c>
      <c r="J16" s="737">
        <f t="shared" si="3"/>
        <v>5.3109362353669174E-3</v>
      </c>
      <c r="K16" s="462">
        <f>FOFIR!I28</f>
        <v>1487989.4182715621</v>
      </c>
      <c r="L16" s="737">
        <f t="shared" si="4"/>
        <v>4.9894563931150828E-3</v>
      </c>
      <c r="M16" s="462">
        <f>FCISAN!I28</f>
        <v>94459.426467262121</v>
      </c>
      <c r="N16" s="737">
        <f t="shared" si="5"/>
        <v>4.989456393115081E-3</v>
      </c>
      <c r="O16" s="462">
        <f>ISAN!I28</f>
        <v>471835.91297467874</v>
      </c>
      <c r="P16" s="737">
        <f t="shared" si="6"/>
        <v>4.989456393115081E-3</v>
      </c>
      <c r="Q16" s="462">
        <f>LOT!I28</f>
        <v>22840.158691025732</v>
      </c>
      <c r="R16" s="737">
        <f t="shared" si="7"/>
        <v>4.9894563931150836E-3</v>
      </c>
      <c r="S16" s="462">
        <f>'ENAJENAC DE INMUE'!I28</f>
        <v>89810.215076071443</v>
      </c>
      <c r="T16" s="737">
        <f t="shared" si="8"/>
        <v>4.9894563931150802E-3</v>
      </c>
      <c r="U16" s="462">
        <f>'IMP BEBIDAS AL'!I28</f>
        <v>35102.578022649861</v>
      </c>
      <c r="V16" s="737">
        <f t="shared" si="9"/>
        <v>4.9894563931150828E-3</v>
      </c>
      <c r="W16" s="462">
        <f>'FOND GASO Y D'!H29</f>
        <v>1154414.7758936647</v>
      </c>
      <c r="X16" s="737">
        <f t="shared" si="10"/>
        <v>5.1639821026439638E-3</v>
      </c>
      <c r="Y16" s="462">
        <f>'FOND GASO Y D'!Q29</f>
        <v>0</v>
      </c>
      <c r="Z16" s="737" t="e">
        <f t="shared" si="11"/>
        <v>#DIV/0!</v>
      </c>
      <c r="AA16" s="462">
        <f t="shared" si="12"/>
        <v>47168533.40465685</v>
      </c>
      <c r="AB16" s="737">
        <f t="shared" si="13"/>
        <v>5.0074320391459521E-3</v>
      </c>
    </row>
    <row r="17" spans="1:28" ht="38.25" x14ac:dyDescent="0.2">
      <c r="A17" s="221">
        <v>15</v>
      </c>
      <c r="B17" s="599" t="s">
        <v>77</v>
      </c>
      <c r="C17" s="462">
        <f>'FG1'!I30</f>
        <v>84202291.745782182</v>
      </c>
      <c r="D17" s="737">
        <f t="shared" si="0"/>
        <v>1.3205681245250841E-2</v>
      </c>
      <c r="E17" s="462">
        <f>FFM!J30</f>
        <v>22633230.421625495</v>
      </c>
      <c r="F17" s="740">
        <f t="shared" si="1"/>
        <v>1.3156820224643411E-2</v>
      </c>
      <c r="G17" s="462">
        <f>IEPS!I29</f>
        <v>2036348.2751621902</v>
      </c>
      <c r="H17" s="737">
        <f t="shared" si="2"/>
        <v>1.3205681245250843E-2</v>
      </c>
      <c r="I17" s="462">
        <f>ISR!C20</f>
        <v>404290.45</v>
      </c>
      <c r="J17" s="737">
        <f t="shared" si="3"/>
        <v>8.0195664279918046E-4</v>
      </c>
      <c r="K17" s="462">
        <f>FOFIR!I29</f>
        <v>3938287.5419284683</v>
      </c>
      <c r="L17" s="737">
        <f t="shared" si="4"/>
        <v>1.3205681245250844E-2</v>
      </c>
      <c r="M17" s="462">
        <f>FCISAN!I29</f>
        <v>250007.41127974473</v>
      </c>
      <c r="N17" s="737">
        <f t="shared" si="5"/>
        <v>1.3205681245250836E-2</v>
      </c>
      <c r="O17" s="462">
        <f>ISAN!I29</f>
        <v>1248816.3390712303</v>
      </c>
      <c r="P17" s="737">
        <f t="shared" si="6"/>
        <v>1.3205681245250836E-2</v>
      </c>
      <c r="Q17" s="462">
        <f>LOT!I29</f>
        <v>60451.446310029824</v>
      </c>
      <c r="R17" s="737">
        <f t="shared" si="7"/>
        <v>1.3205681245250843E-2</v>
      </c>
      <c r="S17" s="462">
        <f>'ENAJENAC DE INMUE'!I29</f>
        <v>237702.26241451505</v>
      </c>
      <c r="T17" s="737">
        <f t="shared" si="8"/>
        <v>1.3205681245250836E-2</v>
      </c>
      <c r="U17" s="462">
        <f>'IMP BEBIDAS AL'!I29</f>
        <v>92906.605395592982</v>
      </c>
      <c r="V17" s="737">
        <f t="shared" si="9"/>
        <v>1.3205681245250843E-2</v>
      </c>
      <c r="W17" s="462">
        <f>'FOND GASO Y D'!H30</f>
        <v>1240453.5025145574</v>
      </c>
      <c r="X17" s="737">
        <f t="shared" si="10"/>
        <v>5.5488545537615615E-3</v>
      </c>
      <c r="Y17" s="462">
        <f>'FOND GASO Y D'!Q30</f>
        <v>0</v>
      </c>
      <c r="Z17" s="737" t="e">
        <f t="shared" si="11"/>
        <v>#DIV/0!</v>
      </c>
      <c r="AA17" s="462">
        <f t="shared" si="12"/>
        <v>116344786.00148401</v>
      </c>
      <c r="AB17" s="737">
        <f t="shared" si="13"/>
        <v>1.2351213127900489E-2</v>
      </c>
    </row>
    <row r="18" spans="1:28" x14ac:dyDescent="0.2">
      <c r="A18" s="221">
        <v>16</v>
      </c>
      <c r="B18" s="598" t="s">
        <v>79</v>
      </c>
      <c r="C18" s="462">
        <f>'FG1'!I31</f>
        <v>33446828.646869812</v>
      </c>
      <c r="D18" s="737">
        <f t="shared" si="0"/>
        <v>5.2455598133670997E-3</v>
      </c>
      <c r="E18" s="462">
        <f>FFM!J31</f>
        <v>8990370.261212619</v>
      </c>
      <c r="F18" s="740">
        <f t="shared" si="1"/>
        <v>5.2261512420576405E-3</v>
      </c>
      <c r="G18" s="462">
        <f>IEPS!I30</f>
        <v>808878.12448537513</v>
      </c>
      <c r="H18" s="737">
        <f t="shared" si="2"/>
        <v>5.2455598133671006E-3</v>
      </c>
      <c r="I18" s="462">
        <f>ISR!C21</f>
        <v>1684327.07</v>
      </c>
      <c r="J18" s="737">
        <f t="shared" si="3"/>
        <v>3.3410566151957839E-3</v>
      </c>
      <c r="K18" s="462">
        <f>FOFIR!I30</f>
        <v>1564366.3117231226</v>
      </c>
      <c r="L18" s="737">
        <f t="shared" si="4"/>
        <v>5.2455598133671014E-3</v>
      </c>
      <c r="M18" s="462">
        <f>FCISAN!I30</f>
        <v>99307.927042733892</v>
      </c>
      <c r="N18" s="737">
        <f t="shared" si="5"/>
        <v>5.2455598133670988E-3</v>
      </c>
      <c r="O18" s="462">
        <f>ISAN!I30</f>
        <v>496054.7419591936</v>
      </c>
      <c r="P18" s="737">
        <f t="shared" si="6"/>
        <v>5.2455598133670988E-3</v>
      </c>
      <c r="Q18" s="462">
        <f>LOT!I30</f>
        <v>24012.519425141403</v>
      </c>
      <c r="R18" s="737">
        <f t="shared" si="7"/>
        <v>5.2455598133671006E-3</v>
      </c>
      <c r="S18" s="462">
        <f>'ENAJENAC DE INMUE'!I30</f>
        <v>94420.076640607775</v>
      </c>
      <c r="T18" s="737">
        <f t="shared" si="8"/>
        <v>5.2455598133670988E-3</v>
      </c>
      <c r="U18" s="462">
        <f>'IMP BEBIDAS AL'!I30</f>
        <v>36904.355527643987</v>
      </c>
      <c r="V18" s="737">
        <f t="shared" si="9"/>
        <v>5.2455598133670988E-3</v>
      </c>
      <c r="W18" s="462">
        <f>'FOND GASO Y D'!H31</f>
        <v>1284346.1045287396</v>
      </c>
      <c r="X18" s="737">
        <f t="shared" si="10"/>
        <v>5.7451969914822211E-3</v>
      </c>
      <c r="Y18" s="462">
        <f>'FOND GASO Y D'!Q31</f>
        <v>0</v>
      </c>
      <c r="Z18" s="737" t="e">
        <f t="shared" si="11"/>
        <v>#DIV/0!</v>
      </c>
      <c r="AA18" s="462">
        <f t="shared" si="12"/>
        <v>48529816.139414988</v>
      </c>
      <c r="AB18" s="737">
        <f t="shared" si="13"/>
        <v>5.1519464068470926E-3</v>
      </c>
    </row>
    <row r="19" spans="1:28" x14ac:dyDescent="0.2">
      <c r="A19" s="221">
        <v>17</v>
      </c>
      <c r="B19" s="598" t="s">
        <v>81</v>
      </c>
      <c r="C19" s="462">
        <f>'FG1'!I32</f>
        <v>47379729.897931404</v>
      </c>
      <c r="D19" s="737">
        <f t="shared" si="0"/>
        <v>7.4306957393413774E-3</v>
      </c>
      <c r="E19" s="462">
        <f>FFM!J32</f>
        <v>12735476.931338701</v>
      </c>
      <c r="F19" s="740">
        <f t="shared" si="1"/>
        <v>7.4032021651058138E-3</v>
      </c>
      <c r="G19" s="462">
        <f>IEPS!I31</f>
        <v>1145831.4168763226</v>
      </c>
      <c r="H19" s="737">
        <f t="shared" si="2"/>
        <v>7.4306957393413791E-3</v>
      </c>
      <c r="I19" s="462">
        <f>ISR!C22</f>
        <v>3362656.45</v>
      </c>
      <c r="J19" s="737">
        <f t="shared" si="3"/>
        <v>6.6702161219217779E-3</v>
      </c>
      <c r="K19" s="462">
        <f>FOFIR!I31</f>
        <v>2216032.3208341398</v>
      </c>
      <c r="L19" s="737">
        <f t="shared" si="4"/>
        <v>7.4306957393413791E-3</v>
      </c>
      <c r="M19" s="462">
        <f>FCISAN!I31</f>
        <v>140676.49909907239</v>
      </c>
      <c r="N19" s="737">
        <f t="shared" si="5"/>
        <v>7.4306957393413765E-3</v>
      </c>
      <c r="O19" s="462">
        <f>ISAN!I31</f>
        <v>702695.61089805211</v>
      </c>
      <c r="P19" s="737">
        <f t="shared" si="6"/>
        <v>7.4306957393413756E-3</v>
      </c>
      <c r="Q19" s="462">
        <f>LOT!I31</f>
        <v>34015.382939407777</v>
      </c>
      <c r="R19" s="737">
        <f t="shared" si="7"/>
        <v>7.4306957393413791E-3</v>
      </c>
      <c r="S19" s="462">
        <f>'ENAJENAC DE INMUE'!I31</f>
        <v>133752.52330814477</v>
      </c>
      <c r="T19" s="737">
        <f t="shared" si="8"/>
        <v>7.4306957393413756E-3</v>
      </c>
      <c r="U19" s="462">
        <f>'IMP BEBIDAS AL'!I31</f>
        <v>52277.554186610243</v>
      </c>
      <c r="V19" s="737">
        <f t="shared" si="9"/>
        <v>7.4306957393413782E-3</v>
      </c>
      <c r="W19" s="462">
        <f>'FOND GASO Y D'!H32</f>
        <v>1749139.7617434817</v>
      </c>
      <c r="X19" s="737">
        <f t="shared" si="10"/>
        <v>7.8243336912193762E-3</v>
      </c>
      <c r="Y19" s="462">
        <f>'FOND GASO Y D'!Q32</f>
        <v>0</v>
      </c>
      <c r="Z19" s="737" t="e">
        <f t="shared" si="11"/>
        <v>#DIV/0!</v>
      </c>
      <c r="AA19" s="462">
        <f t="shared" si="12"/>
        <v>69652284.349155352</v>
      </c>
      <c r="AB19" s="737">
        <f t="shared" si="13"/>
        <v>7.3943168268028117E-3</v>
      </c>
    </row>
    <row r="20" spans="1:28" x14ac:dyDescent="0.2">
      <c r="A20" s="221">
        <v>18</v>
      </c>
      <c r="B20" s="598" t="s">
        <v>82</v>
      </c>
      <c r="C20" s="462">
        <f>'FG1'!I33</f>
        <v>19319326.768324126</v>
      </c>
      <c r="D20" s="737">
        <f t="shared" si="0"/>
        <v>3.0299041259540306E-3</v>
      </c>
      <c r="E20" s="462">
        <f>FFM!J33</f>
        <v>5192955.7411370613</v>
      </c>
      <c r="F20" s="740">
        <f t="shared" si="1"/>
        <v>3.0186934806880005E-3</v>
      </c>
      <c r="G20" s="462">
        <f>IEPS!I32</f>
        <v>467218.6104001404</v>
      </c>
      <c r="H20" s="737">
        <f t="shared" si="2"/>
        <v>3.029904125954031E-3</v>
      </c>
      <c r="I20" s="462">
        <f>ISR!C23</f>
        <v>2060067.98</v>
      </c>
      <c r="J20" s="737">
        <f t="shared" si="3"/>
        <v>4.0863819592545144E-3</v>
      </c>
      <c r="K20" s="462">
        <f>FOFIR!I32</f>
        <v>903598.49301782565</v>
      </c>
      <c r="L20" s="737">
        <f t="shared" si="4"/>
        <v>3.0299041259540314E-3</v>
      </c>
      <c r="M20" s="462">
        <f>FCISAN!I32</f>
        <v>57361.560747046213</v>
      </c>
      <c r="N20" s="737">
        <f t="shared" si="5"/>
        <v>3.0299041259540301E-3</v>
      </c>
      <c r="O20" s="462">
        <f>ISAN!I32</f>
        <v>286527.72303371283</v>
      </c>
      <c r="P20" s="737">
        <f t="shared" si="6"/>
        <v>3.0299041259540301E-3</v>
      </c>
      <c r="Q20" s="462">
        <f>LOT!I32</f>
        <v>13869.946062837047</v>
      </c>
      <c r="R20" s="737">
        <f t="shared" si="7"/>
        <v>3.029904125954031E-3</v>
      </c>
      <c r="S20" s="462">
        <f>'ENAJENAC DE INMUE'!I32</f>
        <v>54538.274267172543</v>
      </c>
      <c r="T20" s="737">
        <f t="shared" si="8"/>
        <v>3.0299041259540301E-3</v>
      </c>
      <c r="U20" s="462">
        <f>'IMP BEBIDAS AL'!I32</f>
        <v>21316.439628415639</v>
      </c>
      <c r="V20" s="737">
        <f t="shared" si="9"/>
        <v>3.029904125954031E-3</v>
      </c>
      <c r="W20" s="462">
        <f>'FOND GASO Y D'!H33</f>
        <v>906019.555185779</v>
      </c>
      <c r="X20" s="737">
        <f t="shared" si="10"/>
        <v>4.0528489978854613E-3</v>
      </c>
      <c r="Y20" s="462">
        <f>'FOND GASO Y D'!Q33</f>
        <v>0</v>
      </c>
      <c r="Z20" s="737" t="e">
        <f t="shared" si="11"/>
        <v>#DIV/0!</v>
      </c>
      <c r="AA20" s="462">
        <f t="shared" si="12"/>
        <v>29282801.091804117</v>
      </c>
      <c r="AB20" s="737">
        <f t="shared" si="13"/>
        <v>3.1086749109854954E-3</v>
      </c>
    </row>
    <row r="21" spans="1:28" x14ac:dyDescent="0.2">
      <c r="A21" s="221">
        <v>19</v>
      </c>
      <c r="B21" s="598" t="s">
        <v>344</v>
      </c>
      <c r="C21" s="462">
        <f>'FG1'!I34</f>
        <v>35534150.91795966</v>
      </c>
      <c r="D21" s="737">
        <f t="shared" si="0"/>
        <v>5.5729204112395011E-3</v>
      </c>
      <c r="E21" s="462">
        <f>FFM!J34</f>
        <v>9551433.9204821289</v>
      </c>
      <c r="F21" s="740">
        <f t="shared" si="1"/>
        <v>5.5523006057179155E-3</v>
      </c>
      <c r="G21" s="462">
        <f>IEPS!I33</f>
        <v>859357.92756810249</v>
      </c>
      <c r="H21" s="737">
        <f t="shared" si="2"/>
        <v>5.572920411239502E-3</v>
      </c>
      <c r="I21" s="462">
        <f>ISR!C24</f>
        <v>2380007.61</v>
      </c>
      <c r="J21" s="737">
        <f t="shared" si="3"/>
        <v>4.721019041513598E-3</v>
      </c>
      <c r="K21" s="462">
        <f>FOFIR!I33</f>
        <v>1661994.0024401599</v>
      </c>
      <c r="L21" s="737">
        <f t="shared" si="4"/>
        <v>5.572920411239502E-3</v>
      </c>
      <c r="M21" s="462">
        <f>FCISAN!I33</f>
        <v>105505.45476653091</v>
      </c>
      <c r="N21" s="737">
        <f t="shared" si="5"/>
        <v>5.5729204112394994E-3</v>
      </c>
      <c r="O21" s="462">
        <f>ISAN!I33</f>
        <v>527012.11975734413</v>
      </c>
      <c r="P21" s="737">
        <f t="shared" si="6"/>
        <v>5.5729204112394994E-3</v>
      </c>
      <c r="Q21" s="462">
        <f>LOT!I33</f>
        <v>25511.073058140806</v>
      </c>
      <c r="R21" s="737">
        <f t="shared" si="7"/>
        <v>5.572920411239502E-3</v>
      </c>
      <c r="S21" s="462">
        <f>'ENAJENAC DE INMUE'!I33</f>
        <v>100312.567402311</v>
      </c>
      <c r="T21" s="737">
        <f t="shared" si="8"/>
        <v>5.5729204112395002E-3</v>
      </c>
      <c r="U21" s="462">
        <f>'IMP BEBIDAS AL'!I33</f>
        <v>39207.452302718302</v>
      </c>
      <c r="V21" s="737">
        <f t="shared" si="9"/>
        <v>5.5729204112395002E-3</v>
      </c>
      <c r="W21" s="462">
        <f>'FOND GASO Y D'!H34</f>
        <v>1259071.6107262787</v>
      </c>
      <c r="X21" s="737">
        <f t="shared" si="10"/>
        <v>5.6321379451370664E-3</v>
      </c>
      <c r="Y21" s="462">
        <f>'FOND GASO Y D'!Q34</f>
        <v>0</v>
      </c>
      <c r="Z21" s="737" t="e">
        <f t="shared" si="11"/>
        <v>#DIV/0!</v>
      </c>
      <c r="AA21" s="462">
        <f t="shared" si="12"/>
        <v>52043564.656463385</v>
      </c>
      <c r="AB21" s="737">
        <f t="shared" si="13"/>
        <v>5.5249674789848288E-3</v>
      </c>
    </row>
    <row r="22" spans="1:28" x14ac:dyDescent="0.2">
      <c r="A22" s="221">
        <v>20</v>
      </c>
      <c r="B22" s="598" t="s">
        <v>87</v>
      </c>
      <c r="C22" s="462">
        <f>'FG1'!I35</f>
        <v>40577978.816454373</v>
      </c>
      <c r="D22" s="737">
        <f t="shared" si="0"/>
        <v>6.3639580671327684E-3</v>
      </c>
      <c r="E22" s="462">
        <f>FFM!J35</f>
        <v>10907194.157724986</v>
      </c>
      <c r="F22" s="740">
        <f t="shared" si="1"/>
        <v>6.3404114222843774E-3</v>
      </c>
      <c r="G22" s="462">
        <f>IEPS!I34</f>
        <v>981337.86455513991</v>
      </c>
      <c r="H22" s="737">
        <f t="shared" si="2"/>
        <v>6.363958067132771E-3</v>
      </c>
      <c r="I22" s="462">
        <f>ISR!C25</f>
        <v>2245628.66</v>
      </c>
      <c r="J22" s="737">
        <f t="shared" si="3"/>
        <v>4.454462926708317E-3</v>
      </c>
      <c r="K22" s="462">
        <f>FOFIR!I34</f>
        <v>1897902.6002280344</v>
      </c>
      <c r="L22" s="737">
        <f t="shared" si="4"/>
        <v>6.363958067132771E-3</v>
      </c>
      <c r="M22" s="462">
        <f>FCISAN!I34</f>
        <v>120481.22715584221</v>
      </c>
      <c r="N22" s="737">
        <f t="shared" si="5"/>
        <v>6.3639580671327675E-3</v>
      </c>
      <c r="O22" s="462">
        <f>ISAN!I34</f>
        <v>601817.85913223505</v>
      </c>
      <c r="P22" s="737">
        <f t="shared" si="6"/>
        <v>6.3639580671327684E-3</v>
      </c>
      <c r="Q22" s="462">
        <f>LOT!I34</f>
        <v>29132.194111751051</v>
      </c>
      <c r="R22" s="737">
        <f t="shared" si="7"/>
        <v>6.363958067132771E-3</v>
      </c>
      <c r="S22" s="462">
        <f>'ENAJENAC DE INMUE'!I34</f>
        <v>114551.24520838981</v>
      </c>
      <c r="T22" s="737">
        <f t="shared" si="8"/>
        <v>6.3639580671327675E-3</v>
      </c>
      <c r="U22" s="462">
        <f>'IMP BEBIDAS AL'!I34</f>
        <v>44772.680024352201</v>
      </c>
      <c r="V22" s="737">
        <f t="shared" si="9"/>
        <v>6.3639580671327701E-3</v>
      </c>
      <c r="W22" s="462">
        <f>'FOND GASO Y D'!H35</f>
        <v>1579105.3575443984</v>
      </c>
      <c r="X22" s="737">
        <f t="shared" si="10"/>
        <v>7.0637278514006085E-3</v>
      </c>
      <c r="Y22" s="462">
        <f>'FOND GASO Y D'!Q35</f>
        <v>0</v>
      </c>
      <c r="Z22" s="737" t="e">
        <f t="shared" si="11"/>
        <v>#DIV/0!</v>
      </c>
      <c r="AA22" s="462">
        <f t="shared" si="12"/>
        <v>59099902.662139513</v>
      </c>
      <c r="AB22" s="737">
        <f t="shared" si="13"/>
        <v>6.2740713933579096E-3</v>
      </c>
    </row>
    <row r="23" spans="1:28" x14ac:dyDescent="0.2">
      <c r="A23" s="221">
        <v>21</v>
      </c>
      <c r="B23" s="598" t="s">
        <v>88</v>
      </c>
      <c r="C23" s="462">
        <f>'FG1'!I36</f>
        <v>23203104.068122189</v>
      </c>
      <c r="D23" s="737">
        <f t="shared" si="0"/>
        <v>3.6390077974255775E-3</v>
      </c>
      <c r="E23" s="462">
        <f>FFM!J36</f>
        <v>7451133.0502867224</v>
      </c>
      <c r="F23" s="740">
        <f t="shared" si="1"/>
        <v>4.3313842605010094E-3</v>
      </c>
      <c r="G23" s="462">
        <f>IEPS!I35</f>
        <v>561143.88299765275</v>
      </c>
      <c r="H23" s="737">
        <f t="shared" si="2"/>
        <v>3.6390077974255779E-3</v>
      </c>
      <c r="I23" s="462">
        <f>ISR!C26</f>
        <v>1186597.08</v>
      </c>
      <c r="J23" s="737">
        <f t="shared" si="3"/>
        <v>2.3537518895935102E-3</v>
      </c>
      <c r="K23" s="462">
        <f>FOFIR!I35</f>
        <v>1085249.5079521723</v>
      </c>
      <c r="L23" s="737">
        <f t="shared" si="4"/>
        <v>3.6390077974255779E-3</v>
      </c>
      <c r="M23" s="462">
        <f>FCISAN!I35</f>
        <v>68892.994020157668</v>
      </c>
      <c r="N23" s="737">
        <f t="shared" si="5"/>
        <v>3.6390077974255766E-3</v>
      </c>
      <c r="O23" s="462">
        <f>ISAN!I35</f>
        <v>344128.58458680368</v>
      </c>
      <c r="P23" s="737">
        <f t="shared" si="6"/>
        <v>3.6390077974255762E-3</v>
      </c>
      <c r="Q23" s="462">
        <f>LOT!I35</f>
        <v>16658.230681356537</v>
      </c>
      <c r="R23" s="737">
        <f t="shared" si="7"/>
        <v>3.6390077974255775E-3</v>
      </c>
      <c r="S23" s="462">
        <f>'ENAJENAC DE INMUE'!I35</f>
        <v>65502.140353660376</v>
      </c>
      <c r="T23" s="737">
        <f t="shared" si="8"/>
        <v>3.6390077974255766E-3</v>
      </c>
      <c r="U23" s="462">
        <f>'IMP BEBIDAS AL'!I35</f>
        <v>25601.697874427387</v>
      </c>
      <c r="V23" s="737">
        <f t="shared" si="9"/>
        <v>3.6390077974255775E-3</v>
      </c>
      <c r="W23" s="462">
        <f>'FOND GASO Y D'!H36</f>
        <v>1039641.5530592836</v>
      </c>
      <c r="X23" s="737">
        <f t="shared" si="10"/>
        <v>4.6505731607662968E-3</v>
      </c>
      <c r="Y23" s="462">
        <f>'FOND GASO Y D'!Q36</f>
        <v>0</v>
      </c>
      <c r="Z23" s="737" t="e">
        <f t="shared" si="11"/>
        <v>#DIV/0!</v>
      </c>
      <c r="AA23" s="462">
        <f t="shared" si="12"/>
        <v>35047652.789934427</v>
      </c>
      <c r="AB23" s="737">
        <f t="shared" si="13"/>
        <v>3.7206740767533391E-3</v>
      </c>
    </row>
    <row r="24" spans="1:28" x14ac:dyDescent="0.2">
      <c r="A24" s="221">
        <v>22</v>
      </c>
      <c r="B24" s="598" t="s">
        <v>91</v>
      </c>
      <c r="C24" s="462">
        <f>'FG1'!I37</f>
        <v>38401584.872121111</v>
      </c>
      <c r="D24" s="737">
        <f t="shared" si="0"/>
        <v>6.0226281092768535E-3</v>
      </c>
      <c r="E24" s="462">
        <f>FFM!J37</f>
        <v>10322188.398273163</v>
      </c>
      <c r="F24" s="740">
        <f t="shared" si="1"/>
        <v>6.0003443852725286E-3</v>
      </c>
      <c r="G24" s="462">
        <f>IEPS!I36</f>
        <v>928703.95207212865</v>
      </c>
      <c r="H24" s="737">
        <f t="shared" si="2"/>
        <v>6.0226281092768553E-3</v>
      </c>
      <c r="I24" s="462">
        <f>ISR!C27</f>
        <v>3309872.04</v>
      </c>
      <c r="J24" s="737">
        <f t="shared" si="3"/>
        <v>6.5655121690192646E-3</v>
      </c>
      <c r="K24" s="462">
        <f>FOFIR!I36</f>
        <v>1796108.8725326641</v>
      </c>
      <c r="L24" s="737">
        <f t="shared" si="4"/>
        <v>6.0226281092768544E-3</v>
      </c>
      <c r="M24" s="462">
        <f>FCISAN!I36</f>
        <v>114019.23420212991</v>
      </c>
      <c r="N24" s="737">
        <f t="shared" si="5"/>
        <v>6.0226281092768535E-3</v>
      </c>
      <c r="O24" s="462">
        <f>ISAN!I36</f>
        <v>569539.44649538165</v>
      </c>
      <c r="P24" s="737">
        <f t="shared" si="6"/>
        <v>6.0226281092768518E-3</v>
      </c>
      <c r="Q24" s="462">
        <f>LOT!I36</f>
        <v>27569.693151889383</v>
      </c>
      <c r="R24" s="737">
        <f t="shared" si="7"/>
        <v>6.0226281092768544E-3</v>
      </c>
      <c r="S24" s="462">
        <f>'ENAJENAC DE INMUE'!I36</f>
        <v>108407.30596698335</v>
      </c>
      <c r="T24" s="737">
        <f t="shared" si="8"/>
        <v>6.0226281092768527E-3</v>
      </c>
      <c r="U24" s="462">
        <f>'IMP BEBIDAS AL'!I36</f>
        <v>42371.303895754638</v>
      </c>
      <c r="V24" s="737">
        <f t="shared" si="9"/>
        <v>6.0226281092768544E-3</v>
      </c>
      <c r="W24" s="462">
        <f>'FOND GASO Y D'!H37</f>
        <v>1421856.4860641609</v>
      </c>
      <c r="X24" s="737">
        <f t="shared" si="10"/>
        <v>6.3603148538007711E-3</v>
      </c>
      <c r="Y24" s="462">
        <f>'FOND GASO Y D'!Q37</f>
        <v>0</v>
      </c>
      <c r="Z24" s="737" t="e">
        <f t="shared" si="11"/>
        <v>#DIV/0!</v>
      </c>
      <c r="AA24" s="462">
        <f t="shared" si="12"/>
        <v>57042221.604775369</v>
      </c>
      <c r="AB24" s="737">
        <f t="shared" si="13"/>
        <v>6.0556270765801563E-3</v>
      </c>
    </row>
    <row r="25" spans="1:28" x14ac:dyDescent="0.2">
      <c r="A25" s="221">
        <v>23</v>
      </c>
      <c r="B25" s="598" t="s">
        <v>60</v>
      </c>
      <c r="C25" s="462">
        <f>'FG1'!I38</f>
        <v>21116103.075291462</v>
      </c>
      <c r="D25" s="737">
        <f t="shared" si="0"/>
        <v>3.311697586522379E-3</v>
      </c>
      <c r="E25" s="462">
        <f>FFM!J38</f>
        <v>5675921.8377664462</v>
      </c>
      <c r="F25" s="740">
        <f t="shared" si="1"/>
        <v>3.2994443054522463E-3</v>
      </c>
      <c r="G25" s="462">
        <f>IEPS!I37</f>
        <v>510671.84970854089</v>
      </c>
      <c r="H25" s="737">
        <f t="shared" si="2"/>
        <v>3.3116975865223794E-3</v>
      </c>
      <c r="I25" s="462">
        <f>ISR!C28</f>
        <v>3170302.92</v>
      </c>
      <c r="J25" s="737">
        <f t="shared" si="3"/>
        <v>6.2886607546125285E-3</v>
      </c>
      <c r="K25" s="462">
        <f>FOFIR!I37</f>
        <v>987636.84397774667</v>
      </c>
      <c r="L25" s="737">
        <f t="shared" si="4"/>
        <v>3.3116975865223799E-3</v>
      </c>
      <c r="M25" s="462">
        <f>FCISAN!I37</f>
        <v>62696.420212746991</v>
      </c>
      <c r="N25" s="737">
        <f t="shared" si="5"/>
        <v>3.3116975865223786E-3</v>
      </c>
      <c r="O25" s="462">
        <f>ISAN!I37</f>
        <v>313175.9717128739</v>
      </c>
      <c r="P25" s="737">
        <f t="shared" si="6"/>
        <v>3.3116975865223781E-3</v>
      </c>
      <c r="Q25" s="462">
        <f>LOT!I37</f>
        <v>15159.907704020176</v>
      </c>
      <c r="R25" s="737">
        <f t="shared" si="7"/>
        <v>3.3116975865223799E-3</v>
      </c>
      <c r="S25" s="462">
        <f>'ENAJENAC DE INMUE'!I37</f>
        <v>59610.556557402815</v>
      </c>
      <c r="T25" s="737">
        <f t="shared" si="8"/>
        <v>3.3116975865223786E-3</v>
      </c>
      <c r="U25" s="462">
        <f>'IMP BEBIDAS AL'!I37</f>
        <v>23298.955589377321</v>
      </c>
      <c r="V25" s="737">
        <f t="shared" si="9"/>
        <v>3.3116975865223794E-3</v>
      </c>
      <c r="W25" s="462">
        <f>'FOND GASO Y D'!H38</f>
        <v>936764.14803805517</v>
      </c>
      <c r="X25" s="737">
        <f t="shared" si="10"/>
        <v>4.1903771468294361E-3</v>
      </c>
      <c r="Y25" s="462">
        <f>'FOND GASO Y D'!Q38</f>
        <v>0</v>
      </c>
      <c r="Z25" s="737" t="e">
        <f t="shared" si="11"/>
        <v>#DIV/0!</v>
      </c>
      <c r="AA25" s="462">
        <f t="shared" si="12"/>
        <v>32871342.486558672</v>
      </c>
      <c r="AB25" s="737">
        <f t="shared" si="13"/>
        <v>3.4896360275785622E-3</v>
      </c>
    </row>
    <row r="26" spans="1:28" x14ac:dyDescent="0.2">
      <c r="A26" s="221">
        <v>24</v>
      </c>
      <c r="B26" s="598" t="s">
        <v>95</v>
      </c>
      <c r="C26" s="462">
        <f>'FG1'!I39</f>
        <v>30412303.184776291</v>
      </c>
      <c r="D26" s="737">
        <f t="shared" si="0"/>
        <v>4.7696466861568551E-3</v>
      </c>
      <c r="E26" s="462">
        <f>FFM!J39</f>
        <v>8174702.2718993425</v>
      </c>
      <c r="F26" s="740">
        <f t="shared" si="1"/>
        <v>4.7519989934180756E-3</v>
      </c>
      <c r="G26" s="462">
        <f>IEPS!I38</f>
        <v>735491.15885115985</v>
      </c>
      <c r="H26" s="737">
        <f t="shared" si="2"/>
        <v>4.7696466861568559E-3</v>
      </c>
      <c r="I26" s="462">
        <f>ISR!C29</f>
        <v>1069988.72</v>
      </c>
      <c r="J26" s="737">
        <f t="shared" si="3"/>
        <v>2.1224457855093838E-3</v>
      </c>
      <c r="K26" s="462">
        <f>FOFIR!I38</f>
        <v>1422436.281373013</v>
      </c>
      <c r="L26" s="737">
        <f t="shared" si="4"/>
        <v>4.7696466861568568E-3</v>
      </c>
      <c r="M26" s="462">
        <f>FCISAN!I38</f>
        <v>90298.031474440475</v>
      </c>
      <c r="N26" s="737">
        <f t="shared" si="5"/>
        <v>4.7696466861568542E-3</v>
      </c>
      <c r="O26" s="462">
        <f>ISAN!I38</f>
        <v>451049.25695611007</v>
      </c>
      <c r="P26" s="737">
        <f t="shared" si="6"/>
        <v>4.7696466861568542E-3</v>
      </c>
      <c r="Q26" s="462">
        <f>LOT!I38</f>
        <v>21833.939136590598</v>
      </c>
      <c r="R26" s="737">
        <f t="shared" si="7"/>
        <v>4.7696466861568551E-3</v>
      </c>
      <c r="S26" s="462">
        <f>'ENAJENAC DE INMUE'!I38</f>
        <v>85853.640350823378</v>
      </c>
      <c r="T26" s="737">
        <f t="shared" si="8"/>
        <v>4.7696466861568542E-3</v>
      </c>
      <c r="U26" s="462">
        <f>'IMP BEBIDAS AL'!I38</f>
        <v>33556.139537029652</v>
      </c>
      <c r="V26" s="737">
        <f t="shared" si="9"/>
        <v>4.7696466861568559E-3</v>
      </c>
      <c r="W26" s="462">
        <f>'FOND GASO Y D'!H39</f>
        <v>1271857.1434451246</v>
      </c>
      <c r="X26" s="737">
        <f t="shared" si="10"/>
        <v>5.6893307873559975E-3</v>
      </c>
      <c r="Y26" s="462">
        <f>'FOND GASO Y D'!Q39</f>
        <v>0</v>
      </c>
      <c r="Z26" s="737" t="e">
        <f t="shared" si="11"/>
        <v>#DIV/0!</v>
      </c>
      <c r="AA26" s="462">
        <f t="shared" si="12"/>
        <v>43769369.767799929</v>
      </c>
      <c r="AB26" s="737">
        <f t="shared" si="13"/>
        <v>4.6465753477692223E-3</v>
      </c>
    </row>
    <row r="27" spans="1:28" x14ac:dyDescent="0.2">
      <c r="A27" s="221">
        <v>25</v>
      </c>
      <c r="B27" s="598" t="s">
        <v>97</v>
      </c>
      <c r="C27" s="462">
        <f>'FG1'!I40</f>
        <v>49018675.151797973</v>
      </c>
      <c r="D27" s="737">
        <f t="shared" si="0"/>
        <v>7.6877361138043779E-3</v>
      </c>
      <c r="E27" s="462">
        <f>FFM!J40</f>
        <v>13176018.688695915</v>
      </c>
      <c r="F27" s="740">
        <f t="shared" si="1"/>
        <v>7.6592914901833014E-3</v>
      </c>
      <c r="G27" s="462">
        <f>IEPS!I39</f>
        <v>1185467.6698998469</v>
      </c>
      <c r="H27" s="737">
        <f t="shared" si="2"/>
        <v>7.6877361138043788E-3</v>
      </c>
      <c r="I27" s="462">
        <f>ISR!C30</f>
        <v>3931194.82</v>
      </c>
      <c r="J27" s="737">
        <f t="shared" si="3"/>
        <v>7.7979774195426291E-3</v>
      </c>
      <c r="K27" s="462">
        <f>FOFIR!I39</f>
        <v>2292688.6391050597</v>
      </c>
      <c r="L27" s="737">
        <f t="shared" si="4"/>
        <v>7.6877361138043806E-3</v>
      </c>
      <c r="M27" s="462">
        <f>FCISAN!I39</f>
        <v>145542.73791102172</v>
      </c>
      <c r="N27" s="737">
        <f t="shared" si="5"/>
        <v>7.6877361138043771E-3</v>
      </c>
      <c r="O27" s="462">
        <f>ISAN!I39</f>
        <v>727003.04445403186</v>
      </c>
      <c r="P27" s="737">
        <f t="shared" si="6"/>
        <v>7.6877361138043762E-3</v>
      </c>
      <c r="Q27" s="462">
        <f>LOT!I39</f>
        <v>35192.03275457336</v>
      </c>
      <c r="R27" s="737">
        <f t="shared" si="7"/>
        <v>7.6877361138043788E-3</v>
      </c>
      <c r="S27" s="462">
        <f>'ENAJENAC DE INMUE'!I39</f>
        <v>138379.25004847877</v>
      </c>
      <c r="T27" s="737">
        <f t="shared" si="8"/>
        <v>7.6877361138043762E-3</v>
      </c>
      <c r="U27" s="462">
        <f>'IMP BEBIDAS AL'!I39</f>
        <v>54085.923493536953</v>
      </c>
      <c r="V27" s="737">
        <f t="shared" si="9"/>
        <v>7.6877361138043779E-3</v>
      </c>
      <c r="W27" s="462">
        <f>'FOND GASO Y D'!H40</f>
        <v>1930048.4592343671</v>
      </c>
      <c r="X27" s="737">
        <f t="shared" si="10"/>
        <v>8.6335829277707412E-3</v>
      </c>
      <c r="Y27" s="462">
        <f>'FOND GASO Y D'!Q40</f>
        <v>0</v>
      </c>
      <c r="Z27" s="737" t="e">
        <f t="shared" si="11"/>
        <v>#DIV/0!</v>
      </c>
      <c r="AA27" s="462">
        <f t="shared" si="12"/>
        <v>72634296.417394802</v>
      </c>
      <c r="AB27" s="737">
        <f t="shared" si="13"/>
        <v>7.7108885260650968E-3</v>
      </c>
    </row>
    <row r="28" spans="1:28" x14ac:dyDescent="0.2">
      <c r="A28" s="221">
        <v>26</v>
      </c>
      <c r="B28" s="598" t="s">
        <v>345</v>
      </c>
      <c r="C28" s="462">
        <f>'FG1'!I41</f>
        <v>31366354.375326112</v>
      </c>
      <c r="D28" s="737">
        <f t="shared" si="0"/>
        <v>4.9192732064431526E-3</v>
      </c>
      <c r="E28" s="462">
        <f>FFM!J41</f>
        <v>8431147.3161142077</v>
      </c>
      <c r="F28" s="740">
        <f t="shared" si="1"/>
        <v>4.901071895579312E-3</v>
      </c>
      <c r="G28" s="462">
        <f>IEPS!I40</f>
        <v>758563.93342786701</v>
      </c>
      <c r="H28" s="737">
        <f t="shared" si="2"/>
        <v>4.9192732064431534E-3</v>
      </c>
      <c r="I28" s="462">
        <f>ISR!C31</f>
        <v>961641.99</v>
      </c>
      <c r="J28" s="737">
        <f t="shared" si="3"/>
        <v>1.9075275754723443E-3</v>
      </c>
      <c r="K28" s="462">
        <f>FOFIR!I40</f>
        <v>1467058.9138477708</v>
      </c>
      <c r="L28" s="737">
        <f t="shared" si="4"/>
        <v>4.9192732064431534E-3</v>
      </c>
      <c r="M28" s="462">
        <f>FCISAN!I40</f>
        <v>93130.731908507543</v>
      </c>
      <c r="N28" s="737">
        <f t="shared" si="5"/>
        <v>4.9192732064431517E-3</v>
      </c>
      <c r="O28" s="462">
        <f>ISAN!I40</f>
        <v>465198.92783046194</v>
      </c>
      <c r="P28" s="737">
        <f t="shared" si="6"/>
        <v>4.9192732064431508E-3</v>
      </c>
      <c r="Q28" s="462">
        <f>LOT!I40</f>
        <v>22518.882184182072</v>
      </c>
      <c r="R28" s="737">
        <f t="shared" si="7"/>
        <v>4.9192732064431526E-3</v>
      </c>
      <c r="S28" s="462">
        <f>'ENAJENAC DE INMUE'!I40</f>
        <v>88546.917715976713</v>
      </c>
      <c r="T28" s="737">
        <f t="shared" si="8"/>
        <v>4.9192732064431508E-3</v>
      </c>
      <c r="U28" s="462">
        <f>'IMP BEBIDAS AL'!I40</f>
        <v>34608.814656077673</v>
      </c>
      <c r="V28" s="737">
        <f t="shared" si="9"/>
        <v>4.9192732064431526E-3</v>
      </c>
      <c r="W28" s="462">
        <f>'FOND GASO Y D'!H41</f>
        <v>750780.78034432908</v>
      </c>
      <c r="X28" s="737">
        <f t="shared" si="10"/>
        <v>3.3584276584695274E-3</v>
      </c>
      <c r="Y28" s="462">
        <f>'FOND GASO Y D'!Q41</f>
        <v>0</v>
      </c>
      <c r="Z28" s="737" t="e">
        <f t="shared" si="11"/>
        <v>#DIV/0!</v>
      </c>
      <c r="AA28" s="462">
        <f t="shared" si="12"/>
        <v>44439551.583355509</v>
      </c>
      <c r="AB28" s="737">
        <f t="shared" si="13"/>
        <v>4.7177221410450694E-3</v>
      </c>
    </row>
    <row r="29" spans="1:28" x14ac:dyDescent="0.2">
      <c r="A29" s="221">
        <v>27</v>
      </c>
      <c r="B29" s="598" t="s">
        <v>71</v>
      </c>
      <c r="C29" s="462">
        <f>'FG1'!I42</f>
        <v>13844618.150281157</v>
      </c>
      <c r="D29" s="737">
        <f t="shared" si="0"/>
        <v>2.171290240018739E-3</v>
      </c>
      <c r="E29" s="462">
        <f>FFM!J42</f>
        <v>3721376.5349852033</v>
      </c>
      <c r="F29" s="740">
        <f t="shared" si="1"/>
        <v>2.1632564661306698E-3</v>
      </c>
      <c r="G29" s="462">
        <f>IEPS!I41</f>
        <v>334818.25382759125</v>
      </c>
      <c r="H29" s="737">
        <f t="shared" si="2"/>
        <v>2.1712902400187395E-3</v>
      </c>
      <c r="I29" s="462">
        <f>ISR!C32</f>
        <v>623888.51</v>
      </c>
      <c r="J29" s="737">
        <f t="shared" si="3"/>
        <v>1.2375546713027303E-3</v>
      </c>
      <c r="K29" s="462">
        <f>FOFIR!I41</f>
        <v>647536.85503744311</v>
      </c>
      <c r="L29" s="737">
        <f t="shared" si="4"/>
        <v>2.1712902400187399E-3</v>
      </c>
      <c r="M29" s="462">
        <f>FCISAN!I41</f>
        <v>41106.448199276485</v>
      </c>
      <c r="N29" s="737">
        <f t="shared" si="5"/>
        <v>2.1712902400187386E-3</v>
      </c>
      <c r="O29" s="462">
        <f>ISAN!I41</f>
        <v>205331.52953214338</v>
      </c>
      <c r="P29" s="737">
        <f t="shared" si="6"/>
        <v>2.1712902400187386E-3</v>
      </c>
      <c r="Q29" s="462">
        <f>LOT!I41</f>
        <v>9939.4823281221325</v>
      </c>
      <c r="R29" s="737">
        <f t="shared" si="7"/>
        <v>2.1712902400187399E-3</v>
      </c>
      <c r="S29" s="462">
        <f>'ENAJENAC DE INMUE'!I41</f>
        <v>39083.2243203373</v>
      </c>
      <c r="T29" s="737">
        <f t="shared" si="8"/>
        <v>2.171290240018739E-3</v>
      </c>
      <c r="U29" s="462">
        <f>'IMP BEBIDAS AL'!I41</f>
        <v>15275.78939566412</v>
      </c>
      <c r="V29" s="737">
        <f t="shared" si="9"/>
        <v>2.171290240018739E-3</v>
      </c>
      <c r="W29" s="462">
        <f>'FOND GASO Y D'!H42</f>
        <v>756415.64141371741</v>
      </c>
      <c r="X29" s="737">
        <f t="shared" si="10"/>
        <v>3.3836337822309641E-3</v>
      </c>
      <c r="Y29" s="462">
        <f>'FOND GASO Y D'!Q42</f>
        <v>0</v>
      </c>
      <c r="Z29" s="737" t="e">
        <f t="shared" si="11"/>
        <v>#DIV/0!</v>
      </c>
      <c r="AA29" s="462">
        <f t="shared" si="12"/>
        <v>20239390.419320654</v>
      </c>
      <c r="AB29" s="737">
        <f t="shared" si="13"/>
        <v>2.1486224973126691E-3</v>
      </c>
    </row>
    <row r="30" spans="1:28" x14ac:dyDescent="0.2">
      <c r="A30" s="221">
        <v>28</v>
      </c>
      <c r="B30" s="598" t="s">
        <v>72</v>
      </c>
      <c r="C30" s="462">
        <f>'FG1'!I43</f>
        <v>14558719.013480889</v>
      </c>
      <c r="D30" s="737">
        <f t="shared" si="0"/>
        <v>2.283284678422448E-3</v>
      </c>
      <c r="E30" s="462">
        <f>FFM!J43</f>
        <v>3913323.9160597892</v>
      </c>
      <c r="F30" s="740">
        <f t="shared" si="1"/>
        <v>2.2748365251122845E-3</v>
      </c>
      <c r="G30" s="462">
        <f>IEPS!I42</f>
        <v>352088.06954067061</v>
      </c>
      <c r="H30" s="737">
        <f t="shared" si="2"/>
        <v>2.283284678422448E-3</v>
      </c>
      <c r="I30" s="462">
        <f>ISR!C33</f>
        <v>993115.7</v>
      </c>
      <c r="J30" s="737">
        <f t="shared" si="3"/>
        <v>1.9699593019898392E-3</v>
      </c>
      <c r="K30" s="462">
        <f>FOFIR!I42</f>
        <v>680936.59363019606</v>
      </c>
      <c r="L30" s="737">
        <f t="shared" si="4"/>
        <v>2.283284678422448E-3</v>
      </c>
      <c r="M30" s="462">
        <f>FCISAN!I42</f>
        <v>43226.705314607767</v>
      </c>
      <c r="N30" s="737">
        <f t="shared" si="5"/>
        <v>2.2832846784224471E-3</v>
      </c>
      <c r="O30" s="462">
        <f>ISAN!I42</f>
        <v>215922.4624773071</v>
      </c>
      <c r="P30" s="737">
        <f t="shared" si="6"/>
        <v>2.2832846784224471E-3</v>
      </c>
      <c r="Q30" s="462">
        <f>LOT!I42</f>
        <v>10452.157566487323</v>
      </c>
      <c r="R30" s="737">
        <f t="shared" si="7"/>
        <v>2.283284678422448E-3</v>
      </c>
      <c r="S30" s="462">
        <f>'ENAJENAC DE INMUE'!I42</f>
        <v>41099.124211604045</v>
      </c>
      <c r="T30" s="737">
        <f t="shared" si="8"/>
        <v>2.2832846784224471E-3</v>
      </c>
      <c r="U30" s="462">
        <f>'IMP BEBIDAS AL'!I42</f>
        <v>16063.709602280976</v>
      </c>
      <c r="V30" s="737">
        <f t="shared" si="9"/>
        <v>2.2832846784224476E-3</v>
      </c>
      <c r="W30" s="462">
        <f>'FOND GASO Y D'!H43</f>
        <v>765938.8861450227</v>
      </c>
      <c r="X30" s="737">
        <f t="shared" si="10"/>
        <v>3.4262336054301161E-3</v>
      </c>
      <c r="Y30" s="462">
        <f>'FOND GASO Y D'!Q43</f>
        <v>0</v>
      </c>
      <c r="Z30" s="737" t="e">
        <f t="shared" si="11"/>
        <v>#DIV/0!</v>
      </c>
      <c r="AA30" s="462">
        <f t="shared" si="12"/>
        <v>21590886.338028856</v>
      </c>
      <c r="AB30" s="737">
        <f t="shared" si="13"/>
        <v>2.2920978923616554E-3</v>
      </c>
    </row>
    <row r="31" spans="1:28" x14ac:dyDescent="0.2">
      <c r="A31" s="221">
        <v>29</v>
      </c>
      <c r="B31" s="598" t="s">
        <v>61</v>
      </c>
      <c r="C31" s="462">
        <f>'FG1'!I44</f>
        <v>33804298.990614332</v>
      </c>
      <c r="D31" s="737">
        <f t="shared" si="0"/>
        <v>5.3016228885666749E-3</v>
      </c>
      <c r="E31" s="462">
        <f>FFM!J44</f>
        <v>9599049.518119663</v>
      </c>
      <c r="F31" s="740">
        <f t="shared" si="1"/>
        <v>5.5799798121915706E-3</v>
      </c>
      <c r="G31" s="462">
        <f>IEPS!I43</f>
        <v>817523.18749747856</v>
      </c>
      <c r="H31" s="737">
        <f t="shared" si="2"/>
        <v>5.3016228885666766E-3</v>
      </c>
      <c r="I31" s="462">
        <f>ISR!C34</f>
        <v>162280.62</v>
      </c>
      <c r="J31" s="737">
        <f t="shared" si="3"/>
        <v>3.219022888286615E-4</v>
      </c>
      <c r="K31" s="462">
        <f>FOFIR!I43</f>
        <v>1581085.8210403789</v>
      </c>
      <c r="L31" s="737">
        <f t="shared" si="4"/>
        <v>5.3016228885666775E-3</v>
      </c>
      <c r="M31" s="462">
        <f>FCISAN!I43</f>
        <v>100369.30237345136</v>
      </c>
      <c r="N31" s="737">
        <f t="shared" si="5"/>
        <v>5.301622888566674E-3</v>
      </c>
      <c r="O31" s="462">
        <f>ISAN!I43</f>
        <v>501356.43620938517</v>
      </c>
      <c r="P31" s="737">
        <f t="shared" si="6"/>
        <v>5.301622888566674E-3</v>
      </c>
      <c r="Q31" s="462">
        <f>LOT!I43</f>
        <v>24269.158512323756</v>
      </c>
      <c r="R31" s="737">
        <f t="shared" si="7"/>
        <v>5.3016228885666766E-3</v>
      </c>
      <c r="S31" s="462">
        <f>'ENAJENAC DE INMUE'!I43</f>
        <v>95429.21199420013</v>
      </c>
      <c r="T31" s="737">
        <f t="shared" si="8"/>
        <v>5.301622888566674E-3</v>
      </c>
      <c r="U31" s="462">
        <f>'IMP BEBIDAS AL'!I43</f>
        <v>37298.778951025015</v>
      </c>
      <c r="V31" s="737">
        <f t="shared" si="9"/>
        <v>5.3016228885666749E-3</v>
      </c>
      <c r="W31" s="462">
        <f>'FOND GASO Y D'!H44</f>
        <v>1000197.525573566</v>
      </c>
      <c r="X31" s="737">
        <f t="shared" si="10"/>
        <v>4.4741302944362443E-3</v>
      </c>
      <c r="Y31" s="462">
        <f>'FOND GASO Y D'!Q44</f>
        <v>0</v>
      </c>
      <c r="Z31" s="737" t="e">
        <f t="shared" si="11"/>
        <v>#DIV/0!</v>
      </c>
      <c r="AA31" s="462">
        <f t="shared" si="12"/>
        <v>47723158.550885811</v>
      </c>
      <c r="AB31" s="737">
        <f t="shared" si="13"/>
        <v>5.0663112861031772E-3</v>
      </c>
    </row>
    <row r="32" spans="1:28" x14ac:dyDescent="0.2">
      <c r="A32" s="221">
        <v>30</v>
      </c>
      <c r="B32" s="598" t="s">
        <v>104</v>
      </c>
      <c r="C32" s="462">
        <f>'FG1'!I45</f>
        <v>23179688.532170512</v>
      </c>
      <c r="D32" s="737">
        <f t="shared" si="0"/>
        <v>3.6353354733408825E-3</v>
      </c>
      <c r="E32" s="462">
        <f>FFM!J45</f>
        <v>6230605.1388014015</v>
      </c>
      <c r="F32" s="740">
        <f t="shared" si="1"/>
        <v>3.6218847320895206E-3</v>
      </c>
      <c r="G32" s="462">
        <f>IEPS!I44</f>
        <v>560577.60166185303</v>
      </c>
      <c r="H32" s="737">
        <f t="shared" si="2"/>
        <v>3.6353354733408825E-3</v>
      </c>
      <c r="I32" s="462">
        <f>ISR!C35</f>
        <v>1209153.05</v>
      </c>
      <c r="J32" s="737">
        <f t="shared" si="3"/>
        <v>2.3984942523583965E-3</v>
      </c>
      <c r="K32" s="462">
        <f>FOFIR!I44</f>
        <v>1084154.3226357859</v>
      </c>
      <c r="L32" s="737">
        <f t="shared" si="4"/>
        <v>3.6353354733408829E-3</v>
      </c>
      <c r="M32" s="462">
        <f>FCISAN!I44</f>
        <v>68823.470288610304</v>
      </c>
      <c r="N32" s="737">
        <f t="shared" si="5"/>
        <v>3.6353354733408812E-3</v>
      </c>
      <c r="O32" s="462">
        <f>ISAN!I44</f>
        <v>343781.30539429851</v>
      </c>
      <c r="P32" s="737">
        <f t="shared" si="6"/>
        <v>3.6353354733408816E-3</v>
      </c>
      <c r="Q32" s="462">
        <f>LOT!I44</f>
        <v>16641.419939213356</v>
      </c>
      <c r="R32" s="737">
        <f t="shared" si="7"/>
        <v>3.6353354733408825E-3</v>
      </c>
      <c r="S32" s="462">
        <f>'ENAJENAC DE INMUE'!I44</f>
        <v>65436.038520135866</v>
      </c>
      <c r="T32" s="737">
        <f t="shared" si="8"/>
        <v>3.6353354733408816E-3</v>
      </c>
      <c r="U32" s="462">
        <f>'IMP BEBIDAS AL'!I44</f>
        <v>25575.861784771339</v>
      </c>
      <c r="V32" s="737">
        <f t="shared" si="9"/>
        <v>3.6353354733408825E-3</v>
      </c>
      <c r="W32" s="462">
        <f>'FOND GASO Y D'!H45</f>
        <v>983984.94284760673</v>
      </c>
      <c r="X32" s="737">
        <f t="shared" si="10"/>
        <v>4.4016074120349193E-3</v>
      </c>
      <c r="Y32" s="462">
        <f>'FOND GASO Y D'!Q45</f>
        <v>0</v>
      </c>
      <c r="Z32" s="737" t="e">
        <f t="shared" si="11"/>
        <v>#DIV/0!</v>
      </c>
      <c r="AA32" s="462">
        <f t="shared" si="12"/>
        <v>33768421.68404419</v>
      </c>
      <c r="AB32" s="737">
        <f t="shared" si="13"/>
        <v>3.5848703456906627E-3</v>
      </c>
    </row>
    <row r="33" spans="1:28" ht="25.5" x14ac:dyDescent="0.2">
      <c r="A33" s="221">
        <v>31</v>
      </c>
      <c r="B33" s="598" t="s">
        <v>48</v>
      </c>
      <c r="C33" s="462">
        <f>'FG1'!I46</f>
        <v>30736945.915574867</v>
      </c>
      <c r="D33" s="737">
        <f t="shared" si="0"/>
        <v>4.8205613148757168E-3</v>
      </c>
      <c r="E33" s="462">
        <f>FFM!J46</f>
        <v>8261964.9054753203</v>
      </c>
      <c r="F33" s="740">
        <f t="shared" si="1"/>
        <v>4.8027252380106761E-3</v>
      </c>
      <c r="G33" s="462">
        <f>IEPS!I45</f>
        <v>743342.31885166827</v>
      </c>
      <c r="H33" s="737">
        <f t="shared" si="2"/>
        <v>4.8205613148757176E-3</v>
      </c>
      <c r="I33" s="462">
        <f>ISR!C36</f>
        <v>3187561.2366909115</v>
      </c>
      <c r="J33" s="737">
        <f t="shared" si="3"/>
        <v>6.322894612260683E-3</v>
      </c>
      <c r="K33" s="462">
        <f>FOFIR!I45</f>
        <v>1437620.3861731736</v>
      </c>
      <c r="L33" s="737">
        <f t="shared" si="4"/>
        <v>4.8205613148757176E-3</v>
      </c>
      <c r="M33" s="462">
        <f>FCISAN!I45</f>
        <v>91261.93740900555</v>
      </c>
      <c r="N33" s="737">
        <f t="shared" si="5"/>
        <v>4.8205613148757159E-3</v>
      </c>
      <c r="O33" s="462">
        <f>ISAN!I45</f>
        <v>455864.08014175418</v>
      </c>
      <c r="P33" s="737">
        <f t="shared" si="6"/>
        <v>4.8205613148757159E-3</v>
      </c>
      <c r="Q33" s="462">
        <f>LOT!I45</f>
        <v>22067.010258574574</v>
      </c>
      <c r="R33" s="737">
        <f t="shared" si="7"/>
        <v>4.8205613148757168E-3</v>
      </c>
      <c r="S33" s="462">
        <f>'ENAJENAC DE INMUE'!I45</f>
        <v>86770.103667762887</v>
      </c>
      <c r="T33" s="737">
        <f t="shared" si="8"/>
        <v>4.8205613148757159E-3</v>
      </c>
      <c r="U33" s="462">
        <f>'IMP BEBIDAS AL'!I45</f>
        <v>33914.341831284444</v>
      </c>
      <c r="V33" s="737">
        <f t="shared" si="9"/>
        <v>4.8205613148757168E-3</v>
      </c>
      <c r="W33" s="462">
        <f>'FOND GASO Y D'!H46</f>
        <v>1124428.0883314232</v>
      </c>
      <c r="X33" s="737">
        <f t="shared" si="10"/>
        <v>5.0298442510480186E-3</v>
      </c>
      <c r="Y33" s="462">
        <f>'FOND GASO Y D'!Q46</f>
        <v>0</v>
      </c>
      <c r="Z33" s="737" t="e">
        <f t="shared" si="11"/>
        <v>#DIV/0!</v>
      </c>
      <c r="AA33" s="462">
        <f t="shared" si="12"/>
        <v>46181740.324405745</v>
      </c>
      <c r="AB33" s="737">
        <f t="shared" si="13"/>
        <v>4.9026736561861572E-3</v>
      </c>
    </row>
    <row r="34" spans="1:28" x14ac:dyDescent="0.2">
      <c r="A34" s="221">
        <v>32</v>
      </c>
      <c r="B34" s="598" t="s">
        <v>83</v>
      </c>
      <c r="C34" s="462">
        <f>'FG1'!I47</f>
        <v>26071828.022101816</v>
      </c>
      <c r="D34" s="737">
        <f t="shared" si="0"/>
        <v>4.0889178097474003E-3</v>
      </c>
      <c r="E34" s="462">
        <f>FFM!J47</f>
        <v>7008000.3632060438</v>
      </c>
      <c r="F34" s="740">
        <f t="shared" si="1"/>
        <v>4.0737888138513336E-3</v>
      </c>
      <c r="G34" s="462">
        <f>IEPS!I46</f>
        <v>630521.10485807178</v>
      </c>
      <c r="H34" s="737">
        <f t="shared" si="2"/>
        <v>4.0889178097474003E-3</v>
      </c>
      <c r="I34" s="462">
        <f>ISR!C37</f>
        <v>613380.44999999995</v>
      </c>
      <c r="J34" s="737">
        <f t="shared" si="3"/>
        <v>1.2167107247788081E-3</v>
      </c>
      <c r="K34" s="462">
        <f>FOFIR!I46</f>
        <v>1219424.7135783974</v>
      </c>
      <c r="L34" s="737">
        <f t="shared" si="4"/>
        <v>4.0889178097474003E-3</v>
      </c>
      <c r="M34" s="462">
        <f>FCISAN!I46</f>
        <v>77410.603630784026</v>
      </c>
      <c r="N34" s="737">
        <f t="shared" si="5"/>
        <v>4.0889178097473985E-3</v>
      </c>
      <c r="O34" s="462">
        <f>ISAN!I46</f>
        <v>386675.04349828855</v>
      </c>
      <c r="P34" s="737">
        <f t="shared" si="6"/>
        <v>4.0889178097473994E-3</v>
      </c>
      <c r="Q34" s="462">
        <f>LOT!I46</f>
        <v>18717.776906129959</v>
      </c>
      <c r="R34" s="737">
        <f t="shared" si="7"/>
        <v>4.0889178097474003E-3</v>
      </c>
      <c r="S34" s="462">
        <f>'ENAJENAC DE INMUE'!I46</f>
        <v>73600.520575453178</v>
      </c>
      <c r="T34" s="737">
        <f t="shared" si="8"/>
        <v>4.0889178097473985E-3</v>
      </c>
      <c r="U34" s="462">
        <f>'IMP BEBIDAS AL'!I46</f>
        <v>28766.972819507737</v>
      </c>
      <c r="V34" s="737">
        <f t="shared" si="9"/>
        <v>4.0889178097474003E-3</v>
      </c>
      <c r="W34" s="462">
        <f>'FOND GASO Y D'!H47</f>
        <v>1111345.9839773467</v>
      </c>
      <c r="X34" s="737">
        <f t="shared" si="10"/>
        <v>4.9713247707363819E-3</v>
      </c>
      <c r="Y34" s="462">
        <f>'FOND GASO Y D'!Q47</f>
        <v>0</v>
      </c>
      <c r="Z34" s="737" t="e">
        <f t="shared" si="11"/>
        <v>#DIV/0!</v>
      </c>
      <c r="AA34" s="462">
        <f t="shared" si="12"/>
        <v>37239671.555151843</v>
      </c>
      <c r="AB34" s="737">
        <f t="shared" si="13"/>
        <v>3.9533797430752679E-3</v>
      </c>
    </row>
    <row r="35" spans="1:28" ht="25.5" x14ac:dyDescent="0.2">
      <c r="A35" s="221">
        <v>33</v>
      </c>
      <c r="B35" s="598" t="s">
        <v>108</v>
      </c>
      <c r="C35" s="462">
        <f>'FG1'!I48</f>
        <v>33553468.701093927</v>
      </c>
      <c r="D35" s="737">
        <f t="shared" si="0"/>
        <v>5.2622844717447083E-3</v>
      </c>
      <c r="E35" s="462">
        <f>FFM!J48</f>
        <v>9019034.6700949352</v>
      </c>
      <c r="F35" s="740">
        <f t="shared" si="1"/>
        <v>5.2428140191992526E-3</v>
      </c>
      <c r="G35" s="462">
        <f>IEPS!I47</f>
        <v>811457.10762205883</v>
      </c>
      <c r="H35" s="737">
        <f t="shared" si="2"/>
        <v>5.26228447174471E-3</v>
      </c>
      <c r="I35" s="462">
        <f>ISR!C38</f>
        <v>3015762.75</v>
      </c>
      <c r="J35" s="737">
        <f t="shared" si="3"/>
        <v>5.9821125393113399E-3</v>
      </c>
      <c r="K35" s="462">
        <f>FOFIR!I47</f>
        <v>1569354.052416563</v>
      </c>
      <c r="L35" s="737">
        <f t="shared" si="4"/>
        <v>5.2622844717447083E-3</v>
      </c>
      <c r="M35" s="462">
        <f>FCISAN!I47</f>
        <v>99624.555050624636</v>
      </c>
      <c r="N35" s="737">
        <f t="shared" si="5"/>
        <v>5.2622844717447074E-3</v>
      </c>
      <c r="O35" s="462">
        <f>ISAN!I47</f>
        <v>497636.33599129651</v>
      </c>
      <c r="P35" s="737">
        <f t="shared" si="6"/>
        <v>5.2622844717447074E-3</v>
      </c>
      <c r="Q35" s="462">
        <f>LOT!I47</f>
        <v>24089.079639581774</v>
      </c>
      <c r="R35" s="737">
        <f t="shared" si="7"/>
        <v>5.2622844717447092E-3</v>
      </c>
      <c r="S35" s="462">
        <f>'ENAJENAC DE INMUE'!I47</f>
        <v>94721.120491404727</v>
      </c>
      <c r="T35" s="737">
        <f t="shared" si="8"/>
        <v>5.2622844717447074E-3</v>
      </c>
      <c r="U35" s="462">
        <f>'IMP BEBIDAS AL'!I47</f>
        <v>37022.019373030489</v>
      </c>
      <c r="V35" s="737">
        <f t="shared" si="9"/>
        <v>5.2622844717447083E-3</v>
      </c>
      <c r="W35" s="462">
        <f>'FOND GASO Y D'!H48</f>
        <v>1300855.2588899296</v>
      </c>
      <c r="X35" s="737">
        <f t="shared" si="10"/>
        <v>5.8190465119762527E-3</v>
      </c>
      <c r="Y35" s="462">
        <f>'FOND GASO Y D'!Q48</f>
        <v>0</v>
      </c>
      <c r="Z35" s="737" t="e">
        <f t="shared" si="11"/>
        <v>#DIV/0!</v>
      </c>
      <c r="AA35" s="462">
        <f t="shared" si="12"/>
        <v>50023025.650663354</v>
      </c>
      <c r="AB35" s="737">
        <f t="shared" si="13"/>
        <v>5.3104661785694065E-3</v>
      </c>
    </row>
    <row r="36" spans="1:28" x14ac:dyDescent="0.2">
      <c r="A36" s="221">
        <v>34</v>
      </c>
      <c r="B36" s="598" t="s">
        <v>110</v>
      </c>
      <c r="C36" s="462">
        <f>'FG1'!I49</f>
        <v>140174044.20037404</v>
      </c>
      <c r="D36" s="737">
        <f t="shared" si="0"/>
        <v>2.1983887946382005E-2</v>
      </c>
      <c r="E36" s="462">
        <f>FFM!J49</f>
        <v>37678207.751122199</v>
      </c>
      <c r="F36" s="740">
        <f t="shared" si="1"/>
        <v>2.1902547560980392E-2</v>
      </c>
      <c r="G36" s="462">
        <f>IEPS!I48</f>
        <v>3389969.1708122487</v>
      </c>
      <c r="H36" s="737">
        <f t="shared" si="2"/>
        <v>2.1983887946382008E-2</v>
      </c>
      <c r="I36" s="462">
        <f>ISR!C39</f>
        <v>18300852.539999999</v>
      </c>
      <c r="J36" s="737">
        <f t="shared" si="3"/>
        <v>3.630184750429117E-2</v>
      </c>
      <c r="K36" s="462">
        <f>FOFIR!I48</f>
        <v>6556183.6920396686</v>
      </c>
      <c r="L36" s="737">
        <f t="shared" si="4"/>
        <v>2.1983887946382012E-2</v>
      </c>
      <c r="M36" s="462">
        <f>FCISAN!I48</f>
        <v>416194.72810730798</v>
      </c>
      <c r="N36" s="737">
        <f t="shared" si="5"/>
        <v>2.1983887946382001E-2</v>
      </c>
      <c r="O36" s="462">
        <f>ISAN!I48</f>
        <v>2078941.4763154418</v>
      </c>
      <c r="P36" s="737">
        <f t="shared" si="6"/>
        <v>2.1983887946381998E-2</v>
      </c>
      <c r="Q36" s="462">
        <f>LOT!I48</f>
        <v>100635.30969705609</v>
      </c>
      <c r="R36" s="737">
        <f t="shared" si="7"/>
        <v>2.1983887946382008E-2</v>
      </c>
      <c r="S36" s="462">
        <f>'ENAJENAC DE INMUE'!I48</f>
        <v>395709.983034876</v>
      </c>
      <c r="T36" s="737">
        <f t="shared" si="8"/>
        <v>2.1983887946382001E-2</v>
      </c>
      <c r="U36" s="462">
        <f>'IMP BEBIDAS AL'!I48</f>
        <v>154664.37244424416</v>
      </c>
      <c r="V36" s="737">
        <f t="shared" si="9"/>
        <v>2.1983887946382008E-2</v>
      </c>
      <c r="W36" s="462">
        <f>'FOND GASO Y D'!H49</f>
        <v>4736011.5573662166</v>
      </c>
      <c r="X36" s="737">
        <f t="shared" si="10"/>
        <v>2.1185348135570693E-2</v>
      </c>
      <c r="Y36" s="462">
        <f>'FOND GASO Y D'!Q49</f>
        <v>0</v>
      </c>
      <c r="Z36" s="737" t="e">
        <f t="shared" si="11"/>
        <v>#DIV/0!</v>
      </c>
      <c r="AA36" s="462">
        <f t="shared" si="12"/>
        <v>213981414.7813133</v>
      </c>
      <c r="AB36" s="737">
        <f t="shared" si="13"/>
        <v>2.2716360141312782E-2</v>
      </c>
    </row>
    <row r="37" spans="1:28" x14ac:dyDescent="0.2">
      <c r="A37" s="221">
        <v>35</v>
      </c>
      <c r="B37" s="598" t="s">
        <v>112</v>
      </c>
      <c r="C37" s="462">
        <f>'FG1'!I50</f>
        <v>62645727.323123842</v>
      </c>
      <c r="D37" s="737">
        <f t="shared" si="0"/>
        <v>9.8249048719925656E-3</v>
      </c>
      <c r="E37" s="462">
        <f>FFM!J50</f>
        <v>16838914.381515108</v>
      </c>
      <c r="F37" s="740">
        <f t="shared" si="1"/>
        <v>9.788552723966195E-3</v>
      </c>
      <c r="G37" s="462">
        <f>IEPS!I49</f>
        <v>1515024.307959103</v>
      </c>
      <c r="H37" s="737">
        <f t="shared" si="2"/>
        <v>9.8249048719925673E-3</v>
      </c>
      <c r="I37" s="462">
        <f>ISR!C40</f>
        <v>3528930.38</v>
      </c>
      <c r="J37" s="737">
        <f t="shared" si="3"/>
        <v>7.000039600779182E-3</v>
      </c>
      <c r="K37" s="462">
        <f>FOFIR!I49</f>
        <v>2930049.5551424809</v>
      </c>
      <c r="L37" s="737">
        <f t="shared" si="4"/>
        <v>9.8249048719925673E-3</v>
      </c>
      <c r="M37" s="462">
        <f>FCISAN!I49</f>
        <v>186003.2047949039</v>
      </c>
      <c r="N37" s="737">
        <f t="shared" si="5"/>
        <v>9.8249048719925638E-3</v>
      </c>
      <c r="O37" s="462">
        <f>ISAN!I49</f>
        <v>929107.82155803847</v>
      </c>
      <c r="P37" s="737">
        <f t="shared" si="6"/>
        <v>9.8249048719925656E-3</v>
      </c>
      <c r="Q37" s="462">
        <f>LOT!I49</f>
        <v>44975.317693966303</v>
      </c>
      <c r="R37" s="737">
        <f t="shared" si="7"/>
        <v>9.8249048719925673E-3</v>
      </c>
      <c r="S37" s="462">
        <f>'ENAJENAC DE INMUE'!I49</f>
        <v>176848.28769586617</v>
      </c>
      <c r="T37" s="737">
        <f t="shared" si="8"/>
        <v>9.8249048719925656E-3</v>
      </c>
      <c r="U37" s="462">
        <f>'IMP BEBIDAS AL'!I49</f>
        <v>69121.656281058735</v>
      </c>
      <c r="V37" s="737">
        <f t="shared" si="9"/>
        <v>9.8249048719925673E-3</v>
      </c>
      <c r="W37" s="462">
        <f>'FOND GASO Y D'!H50</f>
        <v>1602732.2311511317</v>
      </c>
      <c r="X37" s="737">
        <f t="shared" si="10"/>
        <v>7.169416686119613E-3</v>
      </c>
      <c r="Y37" s="462">
        <f>'FOND GASO Y D'!Q50</f>
        <v>0</v>
      </c>
      <c r="Z37" s="737" t="e">
        <f t="shared" si="11"/>
        <v>#DIV/0!</v>
      </c>
      <c r="AA37" s="462">
        <f t="shared" si="12"/>
        <v>90467434.466915503</v>
      </c>
      <c r="AB37" s="737">
        <f t="shared" si="13"/>
        <v>9.6040622243354461E-3</v>
      </c>
    </row>
    <row r="38" spans="1:28" x14ac:dyDescent="0.2">
      <c r="A38" s="221">
        <v>36</v>
      </c>
      <c r="B38" s="598" t="s">
        <v>114</v>
      </c>
      <c r="C38" s="462">
        <f>'FG1'!I51</f>
        <v>23296970.307911504</v>
      </c>
      <c r="D38" s="737">
        <f t="shared" si="0"/>
        <v>3.6537291027089348E-3</v>
      </c>
      <c r="E38" s="462">
        <f>FFM!J51</f>
        <v>6262129.9987496007</v>
      </c>
      <c r="F38" s="740">
        <f t="shared" si="1"/>
        <v>3.6402103050289106E-3</v>
      </c>
      <c r="G38" s="462">
        <f>IEPS!I50</f>
        <v>563413.9441982198</v>
      </c>
      <c r="H38" s="737">
        <f t="shared" si="2"/>
        <v>3.6537291027089348E-3</v>
      </c>
      <c r="I38" s="462">
        <f>ISR!C41</f>
        <v>1101482</v>
      </c>
      <c r="J38" s="737">
        <f t="shared" si="3"/>
        <v>2.1849163313744533E-3</v>
      </c>
      <c r="K38" s="462">
        <f>FOFIR!I50</f>
        <v>1089639.7951415759</v>
      </c>
      <c r="L38" s="737">
        <f t="shared" si="4"/>
        <v>3.6537291027089352E-3</v>
      </c>
      <c r="M38" s="462">
        <f>FCISAN!I50</f>
        <v>69171.694933514518</v>
      </c>
      <c r="N38" s="737">
        <f t="shared" si="5"/>
        <v>3.653729102708933E-3</v>
      </c>
      <c r="O38" s="462">
        <f>ISAN!I50</f>
        <v>345520.72833379311</v>
      </c>
      <c r="P38" s="737">
        <f t="shared" si="6"/>
        <v>3.653729102708933E-3</v>
      </c>
      <c r="Q38" s="462">
        <f>LOT!I50</f>
        <v>16725.620176788321</v>
      </c>
      <c r="R38" s="737">
        <f t="shared" si="7"/>
        <v>3.6537291027089348E-3</v>
      </c>
      <c r="S38" s="462">
        <f>'ENAJENAC DE INMUE'!I50</f>
        <v>65767.123848760792</v>
      </c>
      <c r="T38" s="737">
        <f t="shared" si="8"/>
        <v>3.653729102708933E-3</v>
      </c>
      <c r="U38" s="462">
        <f>'IMP BEBIDAS AL'!I50</f>
        <v>25705.267427218219</v>
      </c>
      <c r="V38" s="737">
        <f t="shared" si="9"/>
        <v>3.6537291027089343E-3</v>
      </c>
      <c r="W38" s="462">
        <f>'FOND GASO Y D'!H51</f>
        <v>977196.74764120928</v>
      </c>
      <c r="X38" s="737">
        <f t="shared" si="10"/>
        <v>4.3712421401351786E-3</v>
      </c>
      <c r="Y38" s="462">
        <f>'FOND GASO Y D'!Q51</f>
        <v>0</v>
      </c>
      <c r="Z38" s="737" t="e">
        <f t="shared" si="11"/>
        <v>#DIV/0!</v>
      </c>
      <c r="AA38" s="462">
        <f t="shared" si="12"/>
        <v>33813723.228362188</v>
      </c>
      <c r="AB38" s="737">
        <f t="shared" si="13"/>
        <v>3.5896795773556508E-3</v>
      </c>
    </row>
    <row r="39" spans="1:28" x14ac:dyDescent="0.2">
      <c r="A39" s="221">
        <v>37</v>
      </c>
      <c r="B39" s="598" t="s">
        <v>92</v>
      </c>
      <c r="C39" s="462">
        <f>'FG1'!I52</f>
        <v>18131164.411835719</v>
      </c>
      <c r="D39" s="737">
        <f t="shared" si="0"/>
        <v>2.8435612958234249E-3</v>
      </c>
      <c r="E39" s="462">
        <f>FFM!J52</f>
        <v>4873582.5764030898</v>
      </c>
      <c r="F39" s="740">
        <f t="shared" si="1"/>
        <v>2.8330401190288781E-3</v>
      </c>
      <c r="G39" s="462">
        <f>IEPS!I51</f>
        <v>438484.09124295833</v>
      </c>
      <c r="H39" s="737">
        <f t="shared" si="2"/>
        <v>2.8435612958234253E-3</v>
      </c>
      <c r="I39" s="462">
        <f>ISR!C42</f>
        <v>1041014.82</v>
      </c>
      <c r="J39" s="737">
        <f t="shared" si="3"/>
        <v>2.0649727198636353E-3</v>
      </c>
      <c r="K39" s="462">
        <f>FOFIR!I51</f>
        <v>848026.07438967028</v>
      </c>
      <c r="L39" s="737">
        <f t="shared" si="4"/>
        <v>2.8435612958234249E-3</v>
      </c>
      <c r="M39" s="462">
        <f>FCISAN!I51</f>
        <v>53833.754213911227</v>
      </c>
      <c r="N39" s="737">
        <f t="shared" si="5"/>
        <v>2.843561295823424E-3</v>
      </c>
      <c r="O39" s="462">
        <f>ISAN!I51</f>
        <v>268905.91567564377</v>
      </c>
      <c r="P39" s="737">
        <f t="shared" si="6"/>
        <v>2.843561295823424E-3</v>
      </c>
      <c r="Q39" s="462">
        <f>LOT!I51</f>
        <v>13016.927321759191</v>
      </c>
      <c r="R39" s="737">
        <f t="shared" si="7"/>
        <v>2.8435612958234253E-3</v>
      </c>
      <c r="S39" s="462">
        <f>'ENAJENAC DE INMUE'!I51</f>
        <v>51184.103324821626</v>
      </c>
      <c r="T39" s="737">
        <f t="shared" si="8"/>
        <v>2.8435612958234236E-3</v>
      </c>
      <c r="U39" s="462">
        <f>'IMP BEBIDAS AL'!I51</f>
        <v>20005.452374844885</v>
      </c>
      <c r="V39" s="737">
        <f t="shared" si="9"/>
        <v>2.8435612958234253E-3</v>
      </c>
      <c r="W39" s="462">
        <f>'FOND GASO Y D'!H52</f>
        <v>855305.805561285</v>
      </c>
      <c r="X39" s="737">
        <f t="shared" si="10"/>
        <v>3.8259938840325379E-3</v>
      </c>
      <c r="Y39" s="462">
        <f>'FOND GASO Y D'!Q52</f>
        <v>0</v>
      </c>
      <c r="Z39" s="737" t="e">
        <f t="shared" si="11"/>
        <v>#DIV/0!</v>
      </c>
      <c r="AA39" s="462">
        <f t="shared" si="12"/>
        <v>26594523.932343703</v>
      </c>
      <c r="AB39" s="737">
        <f t="shared" si="13"/>
        <v>2.8232862375047688E-3</v>
      </c>
    </row>
    <row r="40" spans="1:28" x14ac:dyDescent="0.2">
      <c r="A40" s="221">
        <v>38</v>
      </c>
      <c r="B40" s="598" t="s">
        <v>51</v>
      </c>
      <c r="C40" s="462">
        <f>'FG1'!I53</f>
        <v>84611924.500161618</v>
      </c>
      <c r="D40" s="737">
        <f t="shared" si="0"/>
        <v>1.32699250974049E-2</v>
      </c>
      <c r="E40" s="462">
        <f>FFM!J53</f>
        <v>22743338.024707206</v>
      </c>
      <c r="F40" s="740">
        <f t="shared" si="1"/>
        <v>1.3220826374544501E-2</v>
      </c>
      <c r="G40" s="462">
        <f>IEPS!I52</f>
        <v>2046254.8339450429</v>
      </c>
      <c r="H40" s="737">
        <f t="shared" si="2"/>
        <v>1.3269925097404902E-2</v>
      </c>
      <c r="I40" s="462">
        <f>ISR!C43</f>
        <v>6107298.4800000004</v>
      </c>
      <c r="J40" s="737">
        <f t="shared" si="3"/>
        <v>1.211452950618383E-2</v>
      </c>
      <c r="K40" s="462">
        <f>FOFIR!I52</f>
        <v>3957446.7778576869</v>
      </c>
      <c r="L40" s="737">
        <f t="shared" si="4"/>
        <v>1.3269925097404902E-2</v>
      </c>
      <c r="M40" s="462">
        <f>FCISAN!I52</f>
        <v>251223.6635025107</v>
      </c>
      <c r="N40" s="737">
        <f t="shared" si="5"/>
        <v>1.3269925097404895E-2</v>
      </c>
      <c r="O40" s="462">
        <f>ISAN!I52</f>
        <v>1254891.6615604598</v>
      </c>
      <c r="P40" s="737">
        <f t="shared" si="6"/>
        <v>1.3269925097404899E-2</v>
      </c>
      <c r="Q40" s="462">
        <f>LOT!I52</f>
        <v>60745.534415528906</v>
      </c>
      <c r="R40" s="737">
        <f t="shared" si="7"/>
        <v>1.32699250974049E-2</v>
      </c>
      <c r="S40" s="462">
        <f>'ENAJENAC DE INMUE'!I52</f>
        <v>238858.65175328814</v>
      </c>
      <c r="T40" s="737">
        <f t="shared" si="8"/>
        <v>1.3269925097404897E-2</v>
      </c>
      <c r="U40" s="462">
        <f>'IMP BEBIDAS AL'!I52</f>
        <v>93358.583457937668</v>
      </c>
      <c r="V40" s="737">
        <f t="shared" si="9"/>
        <v>1.3269925097404902E-2</v>
      </c>
      <c r="W40" s="462">
        <f>'FOND GASO Y D'!H53</f>
        <v>1976610.2059656275</v>
      </c>
      <c r="X40" s="737">
        <f t="shared" si="10"/>
        <v>8.8418651083257641E-3</v>
      </c>
      <c r="Y40" s="462">
        <f>'FOND GASO Y D'!Q53</f>
        <v>0</v>
      </c>
      <c r="Z40" s="737" t="e">
        <f t="shared" si="11"/>
        <v>#DIV/0!</v>
      </c>
      <c r="AA40" s="462">
        <f t="shared" si="12"/>
        <v>123341950.9173269</v>
      </c>
      <c r="AB40" s="737">
        <f t="shared" si="13"/>
        <v>1.309403520129827E-2</v>
      </c>
    </row>
    <row r="41" spans="1:28" x14ac:dyDescent="0.2">
      <c r="A41" s="221">
        <v>39</v>
      </c>
      <c r="B41" s="598" t="s">
        <v>105</v>
      </c>
      <c r="C41" s="462">
        <f>'FG1'!I54</f>
        <v>19592307.629093237</v>
      </c>
      <c r="D41" s="737">
        <f t="shared" si="0"/>
        <v>3.0727164789034582E-3</v>
      </c>
      <c r="E41" s="462">
        <f>FFM!J54</f>
        <v>5266331.8760899501</v>
      </c>
      <c r="F41" s="740">
        <f t="shared" si="1"/>
        <v>3.0613474279315152E-3</v>
      </c>
      <c r="G41" s="462">
        <f>IEPS!I53</f>
        <v>473820.37970420829</v>
      </c>
      <c r="H41" s="737">
        <f t="shared" si="2"/>
        <v>3.0727164789034586E-3</v>
      </c>
      <c r="I41" s="462">
        <f>ISR!C44</f>
        <v>94082.26</v>
      </c>
      <c r="J41" s="737">
        <f t="shared" si="3"/>
        <v>1.8662299190238014E-4</v>
      </c>
      <c r="K41" s="462">
        <f>FOFIR!I53</f>
        <v>916366.28236015968</v>
      </c>
      <c r="L41" s="737">
        <f t="shared" si="4"/>
        <v>3.0727164789034586E-3</v>
      </c>
      <c r="M41" s="462">
        <f>FCISAN!I53</f>
        <v>58172.075958863126</v>
      </c>
      <c r="N41" s="737">
        <f t="shared" si="5"/>
        <v>3.0727164789034578E-3</v>
      </c>
      <c r="O41" s="462">
        <f>ISAN!I53</f>
        <v>290576.34157026553</v>
      </c>
      <c r="P41" s="737">
        <f t="shared" si="6"/>
        <v>3.0727164789034569E-3</v>
      </c>
      <c r="Q41" s="462">
        <f>LOT!I53</f>
        <v>14065.927520185876</v>
      </c>
      <c r="R41" s="737">
        <f t="shared" si="7"/>
        <v>3.0727164789034586E-3</v>
      </c>
      <c r="S41" s="462">
        <f>'ENAJENAC DE INMUE'!I53</f>
        <v>55308.896620262232</v>
      </c>
      <c r="T41" s="737">
        <f t="shared" si="8"/>
        <v>3.0727164789034573E-3</v>
      </c>
      <c r="U41" s="462">
        <f>'IMP BEBIDAS AL'!I53</f>
        <v>21617.639567113216</v>
      </c>
      <c r="V41" s="737">
        <f t="shared" si="9"/>
        <v>3.0727164789034586E-3</v>
      </c>
      <c r="W41" s="462">
        <f>'FOND GASO Y D'!H54</f>
        <v>890564.8777498547</v>
      </c>
      <c r="X41" s="737">
        <f t="shared" si="10"/>
        <v>3.9837164128321669E-3</v>
      </c>
      <c r="Y41" s="462">
        <f>'FOND GASO Y D'!Q54</f>
        <v>0</v>
      </c>
      <c r="Z41" s="737" t="e">
        <f t="shared" si="11"/>
        <v>#DIV/0!</v>
      </c>
      <c r="AA41" s="462">
        <f t="shared" si="12"/>
        <v>27673214.186234102</v>
      </c>
      <c r="AB41" s="737">
        <f t="shared" si="13"/>
        <v>2.9378004644218174E-3</v>
      </c>
    </row>
    <row r="42" spans="1:28" x14ac:dyDescent="0.2">
      <c r="A42" s="221">
        <v>40</v>
      </c>
      <c r="B42" s="598" t="s">
        <v>96</v>
      </c>
      <c r="C42" s="462">
        <f>'FG1'!I55</f>
        <v>30551210.234147802</v>
      </c>
      <c r="D42" s="737">
        <f t="shared" si="0"/>
        <v>4.7914318677556725E-3</v>
      </c>
      <c r="E42" s="462">
        <f>FFM!J55</f>
        <v>8212039.9166407138</v>
      </c>
      <c r="F42" s="740">
        <f t="shared" si="1"/>
        <v>4.7737035698449757E-3</v>
      </c>
      <c r="G42" s="462">
        <f>IEPS!I54</f>
        <v>738850.4870182547</v>
      </c>
      <c r="H42" s="737">
        <f t="shared" si="2"/>
        <v>4.7914318677556734E-3</v>
      </c>
      <c r="I42" s="462">
        <f>ISR!C45</f>
        <v>2821895.12</v>
      </c>
      <c r="J42" s="737">
        <f t="shared" si="3"/>
        <v>5.5975537803739624E-3</v>
      </c>
      <c r="K42" s="462">
        <f>FOFIR!I54</f>
        <v>1428933.205514668</v>
      </c>
      <c r="L42" s="737">
        <f t="shared" si="4"/>
        <v>4.7914318677556734E-3</v>
      </c>
      <c r="M42" s="462">
        <f>FCISAN!I54</f>
        <v>90710.464332286268</v>
      </c>
      <c r="N42" s="737">
        <f t="shared" si="5"/>
        <v>4.7914318677556716E-3</v>
      </c>
      <c r="O42" s="462">
        <f>ISAN!I54</f>
        <v>453109.40744929423</v>
      </c>
      <c r="P42" s="737">
        <f t="shared" si="6"/>
        <v>4.7914318677556708E-3</v>
      </c>
      <c r="Q42" s="462">
        <f>LOT!I54</f>
        <v>21933.664831260743</v>
      </c>
      <c r="R42" s="737">
        <f t="shared" si="7"/>
        <v>4.7914318677556725E-3</v>
      </c>
      <c r="S42" s="462">
        <f>'ENAJENAC DE INMUE'!I54</f>
        <v>86245.773619602085</v>
      </c>
      <c r="T42" s="737">
        <f t="shared" si="8"/>
        <v>4.7914318677556716E-3</v>
      </c>
      <c r="U42" s="462">
        <f>'IMP BEBIDAS AL'!I54</f>
        <v>33709.405940533106</v>
      </c>
      <c r="V42" s="737">
        <f t="shared" si="9"/>
        <v>4.7914318677556725E-3</v>
      </c>
      <c r="W42" s="462">
        <f>'FOND GASO Y D'!H55</f>
        <v>1199328.9024291979</v>
      </c>
      <c r="X42" s="737">
        <f t="shared" si="10"/>
        <v>5.3648940715728373E-3</v>
      </c>
      <c r="Y42" s="462">
        <f>'FOND GASO Y D'!Q55</f>
        <v>0</v>
      </c>
      <c r="Z42" s="737" t="e">
        <f t="shared" si="11"/>
        <v>#DIV/0!</v>
      </c>
      <c r="AA42" s="462">
        <f t="shared" si="12"/>
        <v>45637966.581923619</v>
      </c>
      <c r="AB42" s="737">
        <f t="shared" si="13"/>
        <v>4.8449463989744144E-3</v>
      </c>
    </row>
    <row r="43" spans="1:28" x14ac:dyDescent="0.2">
      <c r="A43" s="221">
        <v>41</v>
      </c>
      <c r="B43" s="598" t="s">
        <v>98</v>
      </c>
      <c r="C43" s="462">
        <f>'FG1'!I56</f>
        <v>29693574.978569921</v>
      </c>
      <c r="D43" s="737">
        <f t="shared" si="0"/>
        <v>4.6569265285893186E-3</v>
      </c>
      <c r="E43" s="462">
        <f>FFM!J56</f>
        <v>7981511.0800170228</v>
      </c>
      <c r="F43" s="740">
        <f t="shared" si="1"/>
        <v>4.6396959004335377E-3</v>
      </c>
      <c r="G43" s="462">
        <f>IEPS!I55</f>
        <v>718109.43547197315</v>
      </c>
      <c r="H43" s="737">
        <f t="shared" si="2"/>
        <v>4.6569265285893195E-3</v>
      </c>
      <c r="I43" s="462">
        <f>ISR!C46</f>
        <v>142112.19</v>
      </c>
      <c r="J43" s="737">
        <f t="shared" si="3"/>
        <v>2.818958864678581E-4</v>
      </c>
      <c r="K43" s="462">
        <f>FOFIR!I55</f>
        <v>1388820.1139047809</v>
      </c>
      <c r="L43" s="737">
        <f t="shared" si="4"/>
        <v>4.6569265285893195E-3</v>
      </c>
      <c r="M43" s="462">
        <f>FCISAN!I55</f>
        <v>88164.03518381824</v>
      </c>
      <c r="N43" s="737">
        <f t="shared" si="5"/>
        <v>4.6569265285893169E-3</v>
      </c>
      <c r="O43" s="462">
        <f>ISAN!I55</f>
        <v>440389.69521910022</v>
      </c>
      <c r="P43" s="737">
        <f t="shared" si="6"/>
        <v>4.6569265285893169E-3</v>
      </c>
      <c r="Q43" s="462">
        <f>LOT!I55</f>
        <v>21317.941784640083</v>
      </c>
      <c r="R43" s="737">
        <f t="shared" si="7"/>
        <v>4.6569265285893195E-3</v>
      </c>
      <c r="S43" s="462">
        <f>'ENAJENAC DE INMUE'!I55</f>
        <v>83824.677514607713</v>
      </c>
      <c r="T43" s="737">
        <f t="shared" si="8"/>
        <v>4.6569265285893178E-3</v>
      </c>
      <c r="U43" s="462">
        <f>'IMP BEBIDAS AL'!I55</f>
        <v>32763.113641222688</v>
      </c>
      <c r="V43" s="737">
        <f t="shared" si="9"/>
        <v>4.6569265285893186E-3</v>
      </c>
      <c r="W43" s="462">
        <f>'FOND GASO Y D'!H56</f>
        <v>1122154.3724613194</v>
      </c>
      <c r="X43" s="737">
        <f t="shared" si="10"/>
        <v>5.0196733590039313E-3</v>
      </c>
      <c r="Y43" s="462">
        <f>'FOND GASO Y D'!Q56</f>
        <v>0</v>
      </c>
      <c r="Z43" s="737" t="e">
        <f t="shared" si="11"/>
        <v>#DIV/0!</v>
      </c>
      <c r="AA43" s="462">
        <f t="shared" si="12"/>
        <v>41712741.633768402</v>
      </c>
      <c r="AB43" s="737">
        <f t="shared" si="13"/>
        <v>4.4282428097908062E-3</v>
      </c>
    </row>
    <row r="44" spans="1:28" x14ac:dyDescent="0.2">
      <c r="A44" s="221">
        <v>42</v>
      </c>
      <c r="B44" s="598" t="s">
        <v>122</v>
      </c>
      <c r="C44" s="462">
        <f>'FG1'!I57</f>
        <v>25755302.789657634</v>
      </c>
      <c r="D44" s="737">
        <f t="shared" si="0"/>
        <v>4.0392762710306567E-3</v>
      </c>
      <c r="E44" s="462">
        <f>FFM!J57</f>
        <v>6922919.6798702898</v>
      </c>
      <c r="F44" s="740">
        <f t="shared" si="1"/>
        <v>4.0243309488278423E-3</v>
      </c>
      <c r="G44" s="462">
        <f>IEPS!I56</f>
        <v>622866.25844273902</v>
      </c>
      <c r="H44" s="737">
        <f t="shared" si="2"/>
        <v>4.0392762710306576E-3</v>
      </c>
      <c r="I44" s="462">
        <f>ISR!C47</f>
        <v>2733655.02</v>
      </c>
      <c r="J44" s="737">
        <f t="shared" si="3"/>
        <v>5.4225193852843337E-3</v>
      </c>
      <c r="K44" s="462">
        <f>FOFIR!I56</f>
        <v>1204620.2782857753</v>
      </c>
      <c r="L44" s="737">
        <f t="shared" si="4"/>
        <v>4.0392762710306567E-3</v>
      </c>
      <c r="M44" s="462">
        <f>FCISAN!I56</f>
        <v>76470.799590687326</v>
      </c>
      <c r="N44" s="737">
        <f t="shared" si="5"/>
        <v>4.0392762710306559E-3</v>
      </c>
      <c r="O44" s="462">
        <f>ISAN!I56</f>
        <v>381980.61210207402</v>
      </c>
      <c r="P44" s="737">
        <f t="shared" si="6"/>
        <v>4.039276271030655E-3</v>
      </c>
      <c r="Q44" s="462">
        <f>LOT!I56</f>
        <v>18490.53358889771</v>
      </c>
      <c r="R44" s="737">
        <f t="shared" si="7"/>
        <v>4.0392762710306567E-3</v>
      </c>
      <c r="S44" s="462">
        <f>'ENAJENAC DE INMUE'!I56</f>
        <v>72706.972878551795</v>
      </c>
      <c r="T44" s="737">
        <f t="shared" si="8"/>
        <v>4.039276271030655E-3</v>
      </c>
      <c r="U44" s="462">
        <f>'IMP BEBIDAS AL'!I56</f>
        <v>28417.727160527047</v>
      </c>
      <c r="V44" s="737">
        <f t="shared" si="9"/>
        <v>4.0392762710306567E-3</v>
      </c>
      <c r="W44" s="462">
        <f>'FOND GASO Y D'!H57</f>
        <v>1064784.2372460859</v>
      </c>
      <c r="X44" s="737">
        <f t="shared" si="10"/>
        <v>4.7630425901813572E-3</v>
      </c>
      <c r="Y44" s="462">
        <f>'FOND GASO Y D'!Q57</f>
        <v>0</v>
      </c>
      <c r="Z44" s="737" t="e">
        <f t="shared" si="11"/>
        <v>#DIV/0!</v>
      </c>
      <c r="AA44" s="462">
        <f t="shared" si="12"/>
        <v>38882214.908823274</v>
      </c>
      <c r="AB44" s="737">
        <f t="shared" si="13"/>
        <v>4.127752860515645E-3</v>
      </c>
    </row>
    <row r="45" spans="1:28" x14ac:dyDescent="0.2">
      <c r="A45" s="221">
        <v>43</v>
      </c>
      <c r="B45" s="598" t="s">
        <v>346</v>
      </c>
      <c r="C45" s="462">
        <f>'FG1'!I58</f>
        <v>101883110.13149329</v>
      </c>
      <c r="D45" s="737">
        <f t="shared" si="0"/>
        <v>1.5978613512484141E-2</v>
      </c>
      <c r="E45" s="462">
        <f>FFM!J58</f>
        <v>27385761.834605206</v>
      </c>
      <c r="F45" s="740">
        <f t="shared" si="1"/>
        <v>1.5919492642487945E-2</v>
      </c>
      <c r="G45" s="462">
        <f>IEPS!I57</f>
        <v>2463941.1978334691</v>
      </c>
      <c r="H45" s="737">
        <f t="shared" si="2"/>
        <v>1.5978613512484138E-2</v>
      </c>
      <c r="I45" s="462">
        <f>ISR!C48</f>
        <v>1738394.86</v>
      </c>
      <c r="J45" s="737">
        <f t="shared" si="3"/>
        <v>3.4483063000497571E-3</v>
      </c>
      <c r="K45" s="462">
        <f>FOFIR!I57</f>
        <v>4765250.1499032537</v>
      </c>
      <c r="L45" s="737">
        <f t="shared" si="4"/>
        <v>1.5978613512484141E-2</v>
      </c>
      <c r="M45" s="462">
        <f>FCISAN!I57</f>
        <v>302504.03034166445</v>
      </c>
      <c r="N45" s="737">
        <f t="shared" si="5"/>
        <v>1.5978613512484138E-2</v>
      </c>
      <c r="O45" s="462">
        <f>ISAN!I57</f>
        <v>1511043.1078495644</v>
      </c>
      <c r="P45" s="737">
        <f t="shared" si="6"/>
        <v>1.5978613512484134E-2</v>
      </c>
      <c r="Q45" s="462">
        <f>LOT!I57</f>
        <v>73145.056201173225</v>
      </c>
      <c r="R45" s="737">
        <f t="shared" si="7"/>
        <v>1.5978613512484141E-2</v>
      </c>
      <c r="S45" s="462">
        <f>'ENAJENAC DE INMUE'!I57</f>
        <v>287615.04322471441</v>
      </c>
      <c r="T45" s="737">
        <f t="shared" si="8"/>
        <v>1.5978613512484134E-2</v>
      </c>
      <c r="U45" s="462">
        <f>'IMP BEBIDAS AL'!I57</f>
        <v>112415.15774939147</v>
      </c>
      <c r="V45" s="737">
        <f t="shared" si="9"/>
        <v>1.5978613512484138E-2</v>
      </c>
      <c r="W45" s="462">
        <f>'FOND GASO Y D'!H58</f>
        <v>2859998.2501069116</v>
      </c>
      <c r="X45" s="737">
        <f t="shared" si="10"/>
        <v>1.2793477773802808E-2</v>
      </c>
      <c r="Y45" s="462">
        <f>'FOND GASO Y D'!Q58</f>
        <v>0</v>
      </c>
      <c r="Z45" s="737" t="e">
        <f t="shared" si="11"/>
        <v>#DIV/0!</v>
      </c>
      <c r="AA45" s="462">
        <f t="shared" si="12"/>
        <v>143383178.81930861</v>
      </c>
      <c r="AB45" s="737">
        <f t="shared" si="13"/>
        <v>1.5221620679508224E-2</v>
      </c>
    </row>
    <row r="46" spans="1:28" x14ac:dyDescent="0.2">
      <c r="A46" s="221">
        <v>44</v>
      </c>
      <c r="B46" s="598" t="s">
        <v>102</v>
      </c>
      <c r="C46" s="462">
        <f>'FG1'!I59</f>
        <v>24186474.99391612</v>
      </c>
      <c r="D46" s="737">
        <f t="shared" si="0"/>
        <v>3.7932326139078721E-3</v>
      </c>
      <c r="E46" s="462">
        <f>FFM!J59</f>
        <v>6501225.207467203</v>
      </c>
      <c r="F46" s="740">
        <f t="shared" si="1"/>
        <v>3.7791976532364126E-3</v>
      </c>
      <c r="G46" s="462">
        <f>IEPS!I58</f>
        <v>584925.7260694647</v>
      </c>
      <c r="H46" s="737">
        <f t="shared" si="2"/>
        <v>3.7932326139078726E-3</v>
      </c>
      <c r="I46" s="462">
        <f>ISR!C49</f>
        <v>1045450</v>
      </c>
      <c r="J46" s="737">
        <f t="shared" si="3"/>
        <v>2.0737704098981393E-3</v>
      </c>
      <c r="K46" s="462">
        <f>FOFIR!I58</f>
        <v>1131243.4754066614</v>
      </c>
      <c r="L46" s="737">
        <f t="shared" si="4"/>
        <v>3.7932326139078726E-3</v>
      </c>
      <c r="M46" s="462">
        <f>FCISAN!I58</f>
        <v>71812.74851125585</v>
      </c>
      <c r="N46" s="737">
        <f t="shared" si="5"/>
        <v>3.7932326139078708E-3</v>
      </c>
      <c r="O46" s="462">
        <f>ISAN!I58</f>
        <v>358713.10068532883</v>
      </c>
      <c r="P46" s="737">
        <f t="shared" si="6"/>
        <v>3.7932326139078717E-3</v>
      </c>
      <c r="Q46" s="462">
        <f>LOT!I58</f>
        <v>17364.22327955033</v>
      </c>
      <c r="R46" s="737">
        <f t="shared" si="7"/>
        <v>3.7932326139078726E-3</v>
      </c>
      <c r="S46" s="462">
        <f>'ENAJENAC DE INMUE'!I58</f>
        <v>68278.187050341672</v>
      </c>
      <c r="T46" s="737">
        <f t="shared" si="8"/>
        <v>3.7932326139078708E-3</v>
      </c>
      <c r="U46" s="462">
        <f>'IMP BEBIDAS AL'!I58</f>
        <v>26686.723622135876</v>
      </c>
      <c r="V46" s="737">
        <f t="shared" si="9"/>
        <v>3.7932326139078717E-3</v>
      </c>
      <c r="W46" s="462">
        <f>'FOND GASO Y D'!H59</f>
        <v>1020100.7775379547</v>
      </c>
      <c r="X46" s="737">
        <f t="shared" si="10"/>
        <v>4.5631624508801465E-3</v>
      </c>
      <c r="Y46" s="462">
        <f>'FOND GASO Y D'!Q59</f>
        <v>0</v>
      </c>
      <c r="Z46" s="737" t="e">
        <f t="shared" si="11"/>
        <v>#DIV/0!</v>
      </c>
      <c r="AA46" s="462">
        <f t="shared" si="12"/>
        <v>35012275.163546018</v>
      </c>
      <c r="AB46" s="737">
        <f t="shared" si="13"/>
        <v>3.716918372535731E-3</v>
      </c>
    </row>
    <row r="47" spans="1:28" x14ac:dyDescent="0.2">
      <c r="A47" s="221">
        <v>45</v>
      </c>
      <c r="B47" s="598" t="s">
        <v>127</v>
      </c>
      <c r="C47" s="462">
        <f>'FG1'!I60</f>
        <v>50228557.378010765</v>
      </c>
      <c r="D47" s="737">
        <f t="shared" si="0"/>
        <v>7.8774853319360915E-3</v>
      </c>
      <c r="E47" s="462">
        <f>FFM!J60</f>
        <v>13501230.06526483</v>
      </c>
      <c r="F47" s="740">
        <f t="shared" si="1"/>
        <v>7.8483386362079265E-3</v>
      </c>
      <c r="G47" s="462">
        <f>IEPS!I59</f>
        <v>1214727.4623997491</v>
      </c>
      <c r="H47" s="737">
        <f t="shared" si="2"/>
        <v>7.8774853319360932E-3</v>
      </c>
      <c r="I47" s="462">
        <f>ISR!C50</f>
        <v>5546916.6799999997</v>
      </c>
      <c r="J47" s="737">
        <f t="shared" si="3"/>
        <v>1.1002947704007294E-2</v>
      </c>
      <c r="K47" s="462">
        <f>FOFIR!I59</f>
        <v>2349276.9337928127</v>
      </c>
      <c r="L47" s="737">
        <f t="shared" si="4"/>
        <v>7.8774853319360915E-3</v>
      </c>
      <c r="M47" s="462">
        <f>FCISAN!I59</f>
        <v>149135.03352504203</v>
      </c>
      <c r="N47" s="737">
        <f t="shared" si="5"/>
        <v>7.8774853319360898E-3</v>
      </c>
      <c r="O47" s="462">
        <f>ISAN!I59</f>
        <v>744946.98233410856</v>
      </c>
      <c r="P47" s="737">
        <f t="shared" si="6"/>
        <v>7.8774853319360898E-3</v>
      </c>
      <c r="Q47" s="462">
        <f>LOT!I59</f>
        <v>36060.644866226794</v>
      </c>
      <c r="R47" s="737">
        <f t="shared" si="7"/>
        <v>7.8774853319360932E-3</v>
      </c>
      <c r="S47" s="462">
        <f>'ENAJENAC DE INMUE'!I59</f>
        <v>141794.73597484961</v>
      </c>
      <c r="T47" s="737">
        <f t="shared" si="8"/>
        <v>7.8774853319360898E-3</v>
      </c>
      <c r="U47" s="462">
        <f>'IMP BEBIDAS AL'!I59</f>
        <v>55420.875883018962</v>
      </c>
      <c r="V47" s="737">
        <f t="shared" si="9"/>
        <v>7.8774853319360915E-3</v>
      </c>
      <c r="W47" s="462">
        <f>'FOND GASO Y D'!H60</f>
        <v>1784991.9772025133</v>
      </c>
      <c r="X47" s="737">
        <f t="shared" si="10"/>
        <v>7.9847094962044191E-3</v>
      </c>
      <c r="Y47" s="462">
        <f>'FOND GASO Y D'!Q60</f>
        <v>0</v>
      </c>
      <c r="Z47" s="737" t="e">
        <f t="shared" si="11"/>
        <v>#DIV/0!</v>
      </c>
      <c r="AA47" s="462">
        <f t="shared" si="12"/>
        <v>75753058.76925391</v>
      </c>
      <c r="AB47" s="737">
        <f t="shared" si="13"/>
        <v>8.0419776949651346E-3</v>
      </c>
    </row>
    <row r="48" spans="1:28" x14ac:dyDescent="0.2">
      <c r="A48" s="221">
        <v>46</v>
      </c>
      <c r="B48" s="598" t="s">
        <v>119</v>
      </c>
      <c r="C48" s="462">
        <f>'FG1'!I61</f>
        <v>27191699.923074607</v>
      </c>
      <c r="D48" s="737">
        <f t="shared" si="0"/>
        <v>4.2645504564740328E-3</v>
      </c>
      <c r="E48" s="462">
        <f>FFM!J61</f>
        <v>7309017.3337885663</v>
      </c>
      <c r="F48" s="740">
        <f t="shared" si="1"/>
        <v>4.2487716197850784E-3</v>
      </c>
      <c r="G48" s="462">
        <f>IEPS!I60</f>
        <v>657604.08759722963</v>
      </c>
      <c r="H48" s="737">
        <f t="shared" si="2"/>
        <v>4.2645504564740328E-3</v>
      </c>
      <c r="I48" s="462">
        <f>ISR!C51</f>
        <v>1586848.9</v>
      </c>
      <c r="J48" s="737">
        <f t="shared" si="3"/>
        <v>3.1476974449274582E-3</v>
      </c>
      <c r="K48" s="462">
        <f>FOFIR!I60</f>
        <v>1271803.0689024117</v>
      </c>
      <c r="L48" s="737">
        <f t="shared" si="4"/>
        <v>4.2645504564740328E-3</v>
      </c>
      <c r="M48" s="462">
        <f>FCISAN!I60</f>
        <v>80735.647036638344</v>
      </c>
      <c r="N48" s="737">
        <f t="shared" si="5"/>
        <v>4.2645504564740311E-3</v>
      </c>
      <c r="O48" s="462">
        <f>ISAN!I60</f>
        <v>403284.02525645588</v>
      </c>
      <c r="P48" s="737">
        <f t="shared" si="6"/>
        <v>4.2645504564740311E-3</v>
      </c>
      <c r="Q48" s="462">
        <f>LOT!I60</f>
        <v>19521.767803434232</v>
      </c>
      <c r="R48" s="737">
        <f t="shared" si="7"/>
        <v>4.2645504564740328E-3</v>
      </c>
      <c r="S48" s="462">
        <f>'ENAJENAC DE INMUE'!I60</f>
        <v>76761.908216532567</v>
      </c>
      <c r="T48" s="737">
        <f t="shared" si="8"/>
        <v>4.2645504564740311E-3</v>
      </c>
      <c r="U48" s="462">
        <f>'IMP BEBIDAS AL'!I60</f>
        <v>30002.610171415123</v>
      </c>
      <c r="V48" s="737">
        <f t="shared" si="9"/>
        <v>4.2645504564740319E-3</v>
      </c>
      <c r="W48" s="462">
        <f>'FOND GASO Y D'!H61</f>
        <v>1085676.0613279114</v>
      </c>
      <c r="X48" s="737">
        <f t="shared" si="10"/>
        <v>4.8564968736009512E-3</v>
      </c>
      <c r="Y48" s="462">
        <f>'FOND GASO Y D'!Q61</f>
        <v>0</v>
      </c>
      <c r="Z48" s="737" t="e">
        <f t="shared" si="11"/>
        <v>#DIV/0!</v>
      </c>
      <c r="AA48" s="462">
        <f t="shared" si="12"/>
        <v>39712955.333175205</v>
      </c>
      <c r="AB48" s="737">
        <f t="shared" si="13"/>
        <v>4.2159446255939899E-3</v>
      </c>
    </row>
    <row r="49" spans="1:28" x14ac:dyDescent="0.2">
      <c r="A49" s="221">
        <v>47</v>
      </c>
      <c r="B49" s="598" t="s">
        <v>121</v>
      </c>
      <c r="C49" s="462">
        <f>'FG1'!I62</f>
        <v>33843812.702442512</v>
      </c>
      <c r="D49" s="737">
        <f t="shared" si="0"/>
        <v>5.3078199346612764E-3</v>
      </c>
      <c r="E49" s="462">
        <f>FFM!J62</f>
        <v>9097077.9459703621</v>
      </c>
      <c r="F49" s="740">
        <f t="shared" si="1"/>
        <v>5.2881810009030297E-3</v>
      </c>
      <c r="G49" s="462">
        <f>IEPS!I61</f>
        <v>818478.78712853719</v>
      </c>
      <c r="H49" s="737">
        <f t="shared" si="2"/>
        <v>5.3078199346612773E-3</v>
      </c>
      <c r="I49" s="462">
        <f>ISR!C52</f>
        <v>1853780.61</v>
      </c>
      <c r="J49" s="737">
        <f t="shared" si="3"/>
        <v>3.6771872164722587E-3</v>
      </c>
      <c r="K49" s="462">
        <f>FOFIR!I61</f>
        <v>1582933.9460236998</v>
      </c>
      <c r="L49" s="737">
        <f t="shared" si="4"/>
        <v>5.3078199346612773E-3</v>
      </c>
      <c r="M49" s="462">
        <f>FCISAN!I61</f>
        <v>100486.62365532384</v>
      </c>
      <c r="N49" s="737">
        <f t="shared" si="5"/>
        <v>5.3078199346612747E-3</v>
      </c>
      <c r="O49" s="462">
        <f>ISAN!I61</f>
        <v>501942.46977124311</v>
      </c>
      <c r="P49" s="737">
        <f t="shared" si="6"/>
        <v>5.3078199346612747E-3</v>
      </c>
      <c r="Q49" s="462">
        <f>LOT!I61</f>
        <v>24297.526636035909</v>
      </c>
      <c r="R49" s="737">
        <f t="shared" si="7"/>
        <v>5.3078199346612764E-3</v>
      </c>
      <c r="S49" s="462">
        <f>'ENAJENAC DE INMUE'!I61</f>
        <v>95540.758823902943</v>
      </c>
      <c r="T49" s="737">
        <f t="shared" si="8"/>
        <v>5.3078199346612747E-3</v>
      </c>
      <c r="U49" s="462">
        <f>'IMP BEBIDAS AL'!I61</f>
        <v>37342.377346703121</v>
      </c>
      <c r="V49" s="737">
        <f t="shared" si="9"/>
        <v>5.3078199346612755E-3</v>
      </c>
      <c r="W49" s="462">
        <f>'FOND GASO Y D'!H62</f>
        <v>1247076.9357013823</v>
      </c>
      <c r="X49" s="737">
        <f t="shared" si="10"/>
        <v>5.5784828044986891E-3</v>
      </c>
      <c r="Y49" s="462">
        <f>'FOND GASO Y D'!Q62</f>
        <v>0</v>
      </c>
      <c r="Z49" s="737" t="e">
        <f t="shared" si="11"/>
        <v>#DIV/0!</v>
      </c>
      <c r="AA49" s="462">
        <f t="shared" si="12"/>
        <v>49202770.683499709</v>
      </c>
      <c r="AB49" s="737">
        <f t="shared" si="13"/>
        <v>5.2233875541905879E-3</v>
      </c>
    </row>
    <row r="50" spans="1:28" x14ac:dyDescent="0.2">
      <c r="A50" s="221">
        <v>48</v>
      </c>
      <c r="B50" s="598" t="s">
        <v>47</v>
      </c>
      <c r="C50" s="462">
        <f>'FG1'!I63</f>
        <v>16535932.470851466</v>
      </c>
      <c r="D50" s="737">
        <f t="shared" si="0"/>
        <v>2.5933766026504379E-3</v>
      </c>
      <c r="E50" s="462">
        <f>FFM!J63</f>
        <v>4444790.778131851</v>
      </c>
      <c r="F50" s="740">
        <f t="shared" si="1"/>
        <v>2.5837811092206315E-3</v>
      </c>
      <c r="G50" s="462">
        <f>IEPS!I62</f>
        <v>399905.00100495864</v>
      </c>
      <c r="H50" s="737">
        <f t="shared" si="2"/>
        <v>2.5933766026504388E-3</v>
      </c>
      <c r="I50" s="462">
        <f>ISR!C53</f>
        <v>865121.72</v>
      </c>
      <c r="J50" s="737">
        <f t="shared" si="3"/>
        <v>1.7160685101116106E-3</v>
      </c>
      <c r="K50" s="462">
        <f>FOFIR!I62</f>
        <v>773414.30374294869</v>
      </c>
      <c r="L50" s="737">
        <f t="shared" si="4"/>
        <v>2.5933766026504383E-3</v>
      </c>
      <c r="M50" s="462">
        <f>FCISAN!I62</f>
        <v>49097.305838369095</v>
      </c>
      <c r="N50" s="737">
        <f t="shared" si="5"/>
        <v>2.5933766026504379E-3</v>
      </c>
      <c r="O50" s="462">
        <f>ISAN!I62</f>
        <v>245246.8005707484</v>
      </c>
      <c r="P50" s="737">
        <f t="shared" si="6"/>
        <v>2.5933766026504375E-3</v>
      </c>
      <c r="Q50" s="462">
        <f>LOT!I62</f>
        <v>11871.660654628546</v>
      </c>
      <c r="R50" s="737">
        <f t="shared" si="7"/>
        <v>2.5933766026504383E-3</v>
      </c>
      <c r="S50" s="462">
        <f>'ENAJENAC DE INMUE'!I62</f>
        <v>46680.778847707872</v>
      </c>
      <c r="T50" s="737">
        <f t="shared" si="8"/>
        <v>2.5933766026504375E-3</v>
      </c>
      <c r="U50" s="462">
        <f>'IMP BEBIDAS AL'!I62</f>
        <v>18245.315193508679</v>
      </c>
      <c r="V50" s="737">
        <f t="shared" si="9"/>
        <v>2.5933766026504383E-3</v>
      </c>
      <c r="W50" s="462">
        <f>'FOND GASO Y D'!H63</f>
        <v>782810.51694927271</v>
      </c>
      <c r="X50" s="737">
        <f t="shared" si="10"/>
        <v>3.5017045724819004E-3</v>
      </c>
      <c r="Y50" s="462">
        <f>'FOND GASO Y D'!Q63</f>
        <v>0</v>
      </c>
      <c r="Z50" s="737" t="e">
        <f t="shared" si="11"/>
        <v>#DIV/0!</v>
      </c>
      <c r="AA50" s="462">
        <f t="shared" si="12"/>
        <v>24173116.651785459</v>
      </c>
      <c r="AB50" s="737">
        <f t="shared" si="13"/>
        <v>2.5662285865392727E-3</v>
      </c>
    </row>
    <row r="51" spans="1:28" x14ac:dyDescent="0.2">
      <c r="A51" s="221">
        <v>49</v>
      </c>
      <c r="B51" s="598" t="s">
        <v>115</v>
      </c>
      <c r="C51" s="462">
        <f>'FG1'!I64</f>
        <v>52648346.321972154</v>
      </c>
      <c r="D51" s="737">
        <f t="shared" si="0"/>
        <v>8.2569876092756737E-3</v>
      </c>
      <c r="E51" s="462">
        <f>FFM!J64</f>
        <v>14151659.401626967</v>
      </c>
      <c r="F51" s="740">
        <f t="shared" si="1"/>
        <v>8.2264367551213545E-3</v>
      </c>
      <c r="G51" s="462">
        <f>IEPS!I63</f>
        <v>1273247.6397028703</v>
      </c>
      <c r="H51" s="737">
        <f t="shared" si="2"/>
        <v>8.2569876092756754E-3</v>
      </c>
      <c r="I51" s="462">
        <f>ISR!C54</f>
        <v>4319104.1500000004</v>
      </c>
      <c r="J51" s="737">
        <f t="shared" si="3"/>
        <v>8.5674402252984404E-3</v>
      </c>
      <c r="K51" s="462">
        <f>FOFIR!I63</f>
        <v>2462454.6686800197</v>
      </c>
      <c r="L51" s="737">
        <f t="shared" si="4"/>
        <v>8.2569876092756754E-3</v>
      </c>
      <c r="M51" s="462">
        <f>FCISAN!I63</f>
        <v>156319.69747159592</v>
      </c>
      <c r="N51" s="737">
        <f t="shared" si="5"/>
        <v>8.2569876092756702E-3</v>
      </c>
      <c r="O51" s="462">
        <f>ISAN!I63</f>
        <v>780835.22133176331</v>
      </c>
      <c r="P51" s="737">
        <f t="shared" si="6"/>
        <v>8.2569876092756702E-3</v>
      </c>
      <c r="Q51" s="462">
        <f>LOT!I63</f>
        <v>37797.886672769586</v>
      </c>
      <c r="R51" s="737">
        <f t="shared" si="7"/>
        <v>8.2569876092756771E-3</v>
      </c>
      <c r="S51" s="462">
        <f>'ENAJENAC DE INMUE'!I63</f>
        <v>148625.77696696209</v>
      </c>
      <c r="T51" s="737">
        <f t="shared" si="8"/>
        <v>8.2569876092756719E-3</v>
      </c>
      <c r="U51" s="462">
        <f>'IMP BEBIDAS AL'!I63</f>
        <v>58090.807685302731</v>
      </c>
      <c r="V51" s="737">
        <f t="shared" si="9"/>
        <v>8.2569876092756737E-3</v>
      </c>
      <c r="W51" s="462">
        <f>'FOND GASO Y D'!H64</f>
        <v>1222428.537573298</v>
      </c>
      <c r="X51" s="737">
        <f t="shared" si="10"/>
        <v>5.4682244385714715E-3</v>
      </c>
      <c r="Y51" s="462">
        <f>'FOND GASO Y D'!Q64</f>
        <v>0</v>
      </c>
      <c r="Z51" s="737" t="e">
        <f t="shared" si="11"/>
        <v>#DIV/0!</v>
      </c>
      <c r="AA51" s="462">
        <f t="shared" si="12"/>
        <v>77258910.109683678</v>
      </c>
      <c r="AB51" s="737">
        <f t="shared" si="13"/>
        <v>8.2018395287764539E-3</v>
      </c>
    </row>
    <row r="52" spans="1:28" x14ac:dyDescent="0.2">
      <c r="A52" s="221">
        <v>50</v>
      </c>
      <c r="B52" s="598" t="s">
        <v>69</v>
      </c>
      <c r="C52" s="462">
        <f>'FG1'!I65</f>
        <v>97131745.234706387</v>
      </c>
      <c r="D52" s="737">
        <f t="shared" si="0"/>
        <v>1.5233443648268598E-2</v>
      </c>
      <c r="E52" s="462">
        <f>FFM!J65</f>
        <v>26108614.451837115</v>
      </c>
      <c r="F52" s="740">
        <f t="shared" si="1"/>
        <v>1.5177079906770001E-2</v>
      </c>
      <c r="G52" s="462">
        <f>IEPS!I64</f>
        <v>2349034.1862588963</v>
      </c>
      <c r="H52" s="737">
        <f t="shared" si="2"/>
        <v>1.5233443648268598E-2</v>
      </c>
      <c r="I52" s="462">
        <f>ISR!C55</f>
        <v>11970376.75</v>
      </c>
      <c r="J52" s="737">
        <f t="shared" si="3"/>
        <v>2.374462011524478E-2</v>
      </c>
      <c r="K52" s="462">
        <f>FOFIR!I64</f>
        <v>4543020.5550524769</v>
      </c>
      <c r="L52" s="737">
        <f t="shared" si="4"/>
        <v>1.5233443648268598E-2</v>
      </c>
      <c r="M52" s="462">
        <f>FCISAN!I64</f>
        <v>288396.61814108561</v>
      </c>
      <c r="N52" s="737">
        <f t="shared" si="5"/>
        <v>1.5233443648268593E-2</v>
      </c>
      <c r="O52" s="462">
        <f>ISAN!I64</f>
        <v>1440574.9294547145</v>
      </c>
      <c r="P52" s="737">
        <f t="shared" si="6"/>
        <v>1.5233443648268593E-2</v>
      </c>
      <c r="Q52" s="462">
        <f>LOT!I64</f>
        <v>69733.903440335678</v>
      </c>
      <c r="R52" s="737">
        <f t="shared" si="7"/>
        <v>1.5233443648268598E-2</v>
      </c>
      <c r="S52" s="462">
        <f>'ENAJENAC DE INMUE'!I64</f>
        <v>274201.98566883465</v>
      </c>
      <c r="T52" s="737">
        <f t="shared" si="8"/>
        <v>1.5233443648268591E-2</v>
      </c>
      <c r="U52" s="462">
        <f>'IMP BEBIDAS AL'!I64</f>
        <v>107172.62605097883</v>
      </c>
      <c r="V52" s="737">
        <f t="shared" si="9"/>
        <v>1.5233443648268598E-2</v>
      </c>
      <c r="W52" s="462">
        <f>'FOND GASO Y D'!H65</f>
        <v>3536511.1024726443</v>
      </c>
      <c r="X52" s="737">
        <f t="shared" si="10"/>
        <v>1.581968666750035E-2</v>
      </c>
      <c r="Y52" s="462">
        <f>'FOND GASO Y D'!Q65</f>
        <v>0</v>
      </c>
      <c r="Z52" s="737" t="e">
        <f t="shared" si="11"/>
        <v>#DIV/0!</v>
      </c>
      <c r="AA52" s="462">
        <f t="shared" si="12"/>
        <v>147819382.34308344</v>
      </c>
      <c r="AB52" s="737">
        <f t="shared" si="13"/>
        <v>1.5692569976713405E-2</v>
      </c>
    </row>
    <row r="53" spans="1:28" ht="25.5" x14ac:dyDescent="0.2">
      <c r="A53" s="221">
        <v>51</v>
      </c>
      <c r="B53" s="598" t="s">
        <v>126</v>
      </c>
      <c r="C53" s="462">
        <f>'FG1'!I66</f>
        <v>25506140.904938079</v>
      </c>
      <c r="D53" s="737">
        <f t="shared" si="0"/>
        <v>4.0001995148064157E-3</v>
      </c>
      <c r="E53" s="462">
        <f>FFM!J66</f>
        <v>6855945.9879169883</v>
      </c>
      <c r="F53" s="740">
        <f t="shared" si="1"/>
        <v>3.9853987766016322E-3</v>
      </c>
      <c r="G53" s="462">
        <f>IEPS!I65</f>
        <v>616840.52727004513</v>
      </c>
      <c r="H53" s="737">
        <f t="shared" si="2"/>
        <v>4.0001995148064165E-3</v>
      </c>
      <c r="I53" s="462">
        <f>ISR!C56</f>
        <v>1623013.23</v>
      </c>
      <c r="J53" s="737">
        <f t="shared" si="3"/>
        <v>3.2194335561214816E-3</v>
      </c>
      <c r="K53" s="462">
        <f>FOFIR!I65</f>
        <v>1192966.5438544489</v>
      </c>
      <c r="L53" s="737">
        <f t="shared" si="4"/>
        <v>4.0001995148064174E-3</v>
      </c>
      <c r="M53" s="462">
        <f>FCISAN!I65</f>
        <v>75731.005975848588</v>
      </c>
      <c r="N53" s="737">
        <f t="shared" si="5"/>
        <v>4.0001995148064148E-3</v>
      </c>
      <c r="O53" s="462">
        <f>ISAN!I65</f>
        <v>378285.25623633369</v>
      </c>
      <c r="P53" s="737">
        <f t="shared" si="6"/>
        <v>4.0001995148064148E-3</v>
      </c>
      <c r="Q53" s="462">
        <f>LOT!I65</f>
        <v>18311.652515896698</v>
      </c>
      <c r="R53" s="737">
        <f t="shared" si="7"/>
        <v>4.0001995148064165E-3</v>
      </c>
      <c r="S53" s="462">
        <f>'ENAJENAC DE INMUE'!I65</f>
        <v>72003.591266515461</v>
      </c>
      <c r="T53" s="737">
        <f t="shared" si="8"/>
        <v>4.0001995148064148E-3</v>
      </c>
      <c r="U53" s="462">
        <f>'IMP BEBIDAS AL'!I65</f>
        <v>28142.808456732731</v>
      </c>
      <c r="V53" s="737">
        <f t="shared" si="9"/>
        <v>4.0001995148064165E-3</v>
      </c>
      <c r="W53" s="462">
        <f>'FOND GASO Y D'!H66</f>
        <v>1054272.420397344</v>
      </c>
      <c r="X53" s="737">
        <f t="shared" si="10"/>
        <v>4.7160206400065153E-3</v>
      </c>
      <c r="Y53" s="462">
        <f>'FOND GASO Y D'!Q66</f>
        <v>0</v>
      </c>
      <c r="Z53" s="737" t="e">
        <f t="shared" si="11"/>
        <v>#DIV/0!</v>
      </c>
      <c r="AA53" s="462">
        <f t="shared" si="12"/>
        <v>37421653.928828232</v>
      </c>
      <c r="AB53" s="737">
        <f t="shared" si="13"/>
        <v>3.9726990710833975E-3</v>
      </c>
    </row>
    <row r="54" spans="1:28" ht="25.5" x14ac:dyDescent="0.2">
      <c r="A54" s="221">
        <v>52</v>
      </c>
      <c r="B54" s="598" t="s">
        <v>58</v>
      </c>
      <c r="C54" s="462">
        <f>'FG1'!I67</f>
        <v>214855374.9119662</v>
      </c>
      <c r="D54" s="737">
        <f t="shared" si="0"/>
        <v>3.3696370206674514E-2</v>
      </c>
      <c r="E54" s="462">
        <f>FFM!J67</f>
        <v>57752242.924562126</v>
      </c>
      <c r="F54" s="740">
        <f t="shared" si="1"/>
        <v>3.3571693636909816E-2</v>
      </c>
      <c r="G54" s="462">
        <f>IEPS!I66</f>
        <v>5196062.5184910614</v>
      </c>
      <c r="H54" s="737">
        <f t="shared" si="2"/>
        <v>3.3696370206674521E-2</v>
      </c>
      <c r="I54" s="462">
        <f>ISR!C57</f>
        <v>66950546.93</v>
      </c>
      <c r="J54" s="737">
        <f t="shared" si="3"/>
        <v>0.13280411607435144</v>
      </c>
      <c r="K54" s="462">
        <f>FOFIR!I66</f>
        <v>10049159.337454164</v>
      </c>
      <c r="L54" s="737">
        <f t="shared" si="4"/>
        <v>3.3696370206674521E-2</v>
      </c>
      <c r="M54" s="462">
        <f>FCISAN!I66</f>
        <v>637933.18409258581</v>
      </c>
      <c r="N54" s="737">
        <f t="shared" si="5"/>
        <v>3.36963702066745E-2</v>
      </c>
      <c r="O54" s="462">
        <f>ISAN!I66</f>
        <v>3186551.0684366687</v>
      </c>
      <c r="P54" s="737">
        <f t="shared" si="6"/>
        <v>3.3696370206674507E-2</v>
      </c>
      <c r="Q54" s="462">
        <f>LOT!I66</f>
        <v>154251.36171026673</v>
      </c>
      <c r="R54" s="737">
        <f t="shared" si="7"/>
        <v>3.3696370206674521E-2</v>
      </c>
      <c r="S54" s="462">
        <f>'ENAJENAC DE INMUE'!I66</f>
        <v>606534.66372014105</v>
      </c>
      <c r="T54" s="737">
        <f t="shared" si="8"/>
        <v>3.36963702066745E-2</v>
      </c>
      <c r="U54" s="462">
        <f>'IMP BEBIDAS AL'!I66</f>
        <v>237065.79856917175</v>
      </c>
      <c r="V54" s="737">
        <f t="shared" si="9"/>
        <v>3.3696370206674514E-2</v>
      </c>
      <c r="W54" s="462">
        <f>'FOND GASO Y D'!H67</f>
        <v>7052268.9809239218</v>
      </c>
      <c r="X54" s="737">
        <f t="shared" si="10"/>
        <v>3.1546539043846085E-2</v>
      </c>
      <c r="Y54" s="462">
        <f>'FOND GASO Y D'!Q67</f>
        <v>0</v>
      </c>
      <c r="Z54" s="737" t="e">
        <f t="shared" si="11"/>
        <v>#DIV/0!</v>
      </c>
      <c r="AA54" s="462">
        <f t="shared" si="12"/>
        <v>366677991.67992628</v>
      </c>
      <c r="AB54" s="737">
        <f t="shared" si="13"/>
        <v>3.8926695215130001E-2</v>
      </c>
    </row>
    <row r="55" spans="1:28" x14ac:dyDescent="0.2">
      <c r="A55" s="221">
        <v>53</v>
      </c>
      <c r="B55" s="598" t="s">
        <v>103</v>
      </c>
      <c r="C55" s="462">
        <f>'FG1'!I68</f>
        <v>735251290.07996619</v>
      </c>
      <c r="D55" s="737">
        <f t="shared" si="0"/>
        <v>0.11531151908869343</v>
      </c>
      <c r="E55" s="462">
        <f>FFM!J68</f>
        <v>197632529.01024348</v>
      </c>
      <c r="F55" s="740">
        <f t="shared" si="1"/>
        <v>0.11488486646806524</v>
      </c>
      <c r="G55" s="462">
        <f>IEPS!I67</f>
        <v>17781317.649707709</v>
      </c>
      <c r="H55" s="737">
        <f t="shared" si="2"/>
        <v>0.11531151908869346</v>
      </c>
      <c r="I55" s="462">
        <f>ISR!C58</f>
        <v>98795129.030000001</v>
      </c>
      <c r="J55" s="737">
        <f t="shared" si="3"/>
        <v>0.19597151009085337</v>
      </c>
      <c r="K55" s="462">
        <f>FOFIR!I67</f>
        <v>34388980.820748404</v>
      </c>
      <c r="L55" s="737">
        <f t="shared" si="4"/>
        <v>0.11531151908869346</v>
      </c>
      <c r="M55" s="462">
        <f>FCISAN!I67</f>
        <v>2183055.4473262629</v>
      </c>
      <c r="N55" s="737">
        <f t="shared" si="5"/>
        <v>0.11531151908869339</v>
      </c>
      <c r="O55" s="462">
        <f>ISAN!I67</f>
        <v>10904617.97818058</v>
      </c>
      <c r="P55" s="737">
        <f t="shared" si="6"/>
        <v>0.1153115190886934</v>
      </c>
      <c r="Q55" s="462">
        <f>LOT!I67</f>
        <v>527859.78819722158</v>
      </c>
      <c r="R55" s="737">
        <f t="shared" si="7"/>
        <v>0.11531151908869344</v>
      </c>
      <c r="S55" s="462">
        <f>'ENAJENAC DE INMUE'!I67</f>
        <v>2075607.3435964813</v>
      </c>
      <c r="T55" s="737">
        <f t="shared" si="8"/>
        <v>0.1153115190886934</v>
      </c>
      <c r="U55" s="462">
        <f>'IMP BEBIDAS AL'!I67</f>
        <v>811257.03419446212</v>
      </c>
      <c r="V55" s="737">
        <f t="shared" si="9"/>
        <v>0.11531151908869344</v>
      </c>
      <c r="W55" s="462">
        <f>'FOND GASO Y D'!H68</f>
        <v>28571836.357321475</v>
      </c>
      <c r="X55" s="737">
        <f t="shared" si="10"/>
        <v>0.1278088730930024</v>
      </c>
      <c r="Y55" s="462">
        <f>'FOND GASO Y D'!Q68</f>
        <v>0</v>
      </c>
      <c r="Z55" s="737" t="e">
        <f t="shared" si="11"/>
        <v>#DIV/0!</v>
      </c>
      <c r="AA55" s="462">
        <f t="shared" si="12"/>
        <v>1128923480.5394824</v>
      </c>
      <c r="AB55" s="737">
        <f t="shared" si="13"/>
        <v>0.11984700812511283</v>
      </c>
    </row>
    <row r="56" spans="1:28" x14ac:dyDescent="0.2">
      <c r="A56" s="221">
        <v>54</v>
      </c>
      <c r="B56" s="598" t="s">
        <v>94</v>
      </c>
      <c r="C56" s="462">
        <f>'FG1'!I69</f>
        <v>18388759.647968147</v>
      </c>
      <c r="D56" s="737">
        <f t="shared" si="0"/>
        <v>2.8839606781695753E-3</v>
      </c>
      <c r="E56" s="462">
        <f>FFM!J69</f>
        <v>4942823.1186023513</v>
      </c>
      <c r="F56" s="740">
        <f t="shared" si="1"/>
        <v>2.8732900236603486E-3</v>
      </c>
      <c r="G56" s="462">
        <f>IEPS!I68</f>
        <v>444713.77459138748</v>
      </c>
      <c r="H56" s="737">
        <f t="shared" si="2"/>
        <v>2.8839606781695761E-3</v>
      </c>
      <c r="I56" s="462">
        <f>ISR!C59</f>
        <v>1028491.05</v>
      </c>
      <c r="J56" s="737">
        <f t="shared" si="3"/>
        <v>2.0401303805395454E-3</v>
      </c>
      <c r="K56" s="462">
        <f>FOFIR!I68</f>
        <v>860074.25132508366</v>
      </c>
      <c r="L56" s="737">
        <f t="shared" si="4"/>
        <v>2.8839606781695761E-3</v>
      </c>
      <c r="M56" s="462">
        <f>FCISAN!I68</f>
        <v>54598.587531487647</v>
      </c>
      <c r="N56" s="737">
        <f t="shared" si="5"/>
        <v>2.8839606781695753E-3</v>
      </c>
      <c r="O56" s="462">
        <f>ISAN!I68</f>
        <v>272726.34779310104</v>
      </c>
      <c r="P56" s="737">
        <f t="shared" si="6"/>
        <v>2.8839606781695748E-3</v>
      </c>
      <c r="Q56" s="462">
        <f>LOT!I68</f>
        <v>13201.862960254555</v>
      </c>
      <c r="R56" s="737">
        <f t="shared" si="7"/>
        <v>2.8839606781695761E-3</v>
      </c>
      <c r="S56" s="462">
        <f>'ENAJENAC DE INMUE'!I68</f>
        <v>51911.292207052349</v>
      </c>
      <c r="T56" s="737">
        <f t="shared" si="8"/>
        <v>2.8839606781695748E-3</v>
      </c>
      <c r="U56" s="462">
        <f>'IMP BEBIDAS AL'!I68</f>
        <v>20289.676217913133</v>
      </c>
      <c r="V56" s="737">
        <f t="shared" si="9"/>
        <v>2.8839606781695757E-3</v>
      </c>
      <c r="W56" s="462">
        <f>'FOND GASO Y D'!H69</f>
        <v>856557.99691003794</v>
      </c>
      <c r="X56" s="737">
        <f t="shared" si="10"/>
        <v>3.8315952448684126E-3</v>
      </c>
      <c r="Y56" s="462">
        <f>'FOND GASO Y D'!Q69</f>
        <v>0</v>
      </c>
      <c r="Z56" s="737" t="e">
        <f t="shared" si="11"/>
        <v>#DIV/0!</v>
      </c>
      <c r="AA56" s="462">
        <f t="shared" si="12"/>
        <v>26934147.606106814</v>
      </c>
      <c r="AB56" s="737">
        <f t="shared" si="13"/>
        <v>2.8593408345528501E-3</v>
      </c>
    </row>
    <row r="57" spans="1:28" x14ac:dyDescent="0.2">
      <c r="A57" s="221">
        <v>55</v>
      </c>
      <c r="B57" s="598" t="s">
        <v>347</v>
      </c>
      <c r="C57" s="462">
        <f>'FG1'!I70</f>
        <v>57948458.774762012</v>
      </c>
      <c r="D57" s="737">
        <f t="shared" si="0"/>
        <v>9.0882190896116408E-3</v>
      </c>
      <c r="E57" s="462">
        <f>FFM!J70</f>
        <v>15576307.875170778</v>
      </c>
      <c r="F57" s="740">
        <f t="shared" si="1"/>
        <v>9.0545926789800755E-3</v>
      </c>
      <c r="G57" s="462">
        <f>IEPS!I69</f>
        <v>1401425.5625079807</v>
      </c>
      <c r="H57" s="737">
        <f t="shared" si="2"/>
        <v>9.0882190896116408E-3</v>
      </c>
      <c r="I57" s="462">
        <f>ISR!C60</f>
        <v>145192.92000000001</v>
      </c>
      <c r="J57" s="737">
        <f t="shared" si="3"/>
        <v>2.8800686902549885E-4</v>
      </c>
      <c r="K57" s="462">
        <f>FOFIR!I69</f>
        <v>2710350.1405356037</v>
      </c>
      <c r="L57" s="737">
        <f t="shared" si="4"/>
        <v>9.0882190896116408E-3</v>
      </c>
      <c r="M57" s="462">
        <f>FCISAN!I69</f>
        <v>172056.41159588704</v>
      </c>
      <c r="N57" s="737">
        <f t="shared" si="5"/>
        <v>9.0882190896116374E-3</v>
      </c>
      <c r="O57" s="462">
        <f>ISAN!I69</f>
        <v>859441.95391265454</v>
      </c>
      <c r="P57" s="737">
        <f t="shared" si="6"/>
        <v>9.0882190896116391E-3</v>
      </c>
      <c r="Q57" s="462">
        <f>LOT!I69</f>
        <v>41603.00238558503</v>
      </c>
      <c r="R57" s="737">
        <f t="shared" si="7"/>
        <v>9.0882190896116408E-3</v>
      </c>
      <c r="S57" s="462">
        <f>'ENAJENAC DE INMUE'!I69</f>
        <v>163587.94361300947</v>
      </c>
      <c r="T57" s="737">
        <f t="shared" si="8"/>
        <v>9.0882190896116374E-3</v>
      </c>
      <c r="U57" s="462">
        <f>'IMP BEBIDAS AL'!I69</f>
        <v>63938.813077962142</v>
      </c>
      <c r="V57" s="737">
        <f t="shared" si="9"/>
        <v>9.0882190896116391E-3</v>
      </c>
      <c r="W57" s="462">
        <f>'FOND GASO Y D'!H70</f>
        <v>2100478.2922804249</v>
      </c>
      <c r="X57" s="737">
        <f t="shared" si="10"/>
        <v>9.3959576183797848E-3</v>
      </c>
      <c r="Y57" s="462">
        <f>'FOND GASO Y D'!Q70</f>
        <v>0</v>
      </c>
      <c r="Z57" s="737" t="e">
        <f t="shared" si="11"/>
        <v>#DIV/0!</v>
      </c>
      <c r="AA57" s="462">
        <f t="shared" si="12"/>
        <v>81182841.689841896</v>
      </c>
      <c r="AB57" s="737">
        <f t="shared" si="13"/>
        <v>8.6184058134504849E-3</v>
      </c>
    </row>
    <row r="58" spans="1:28" x14ac:dyDescent="0.2">
      <c r="A58" s="221">
        <v>56</v>
      </c>
      <c r="B58" s="598" t="s">
        <v>348</v>
      </c>
      <c r="C58" s="462">
        <f>'FG1'!I71</f>
        <v>40993491.652098849</v>
      </c>
      <c r="D58" s="737">
        <f t="shared" si="0"/>
        <v>6.4291241089003449E-3</v>
      </c>
      <c r="E58" s="462">
        <f>FFM!J71</f>
        <v>15103024.235710718</v>
      </c>
      <c r="F58" s="740">
        <f t="shared" si="1"/>
        <v>8.7794703193503475E-3</v>
      </c>
      <c r="G58" s="462">
        <f>IEPS!I70</f>
        <v>991386.62722690834</v>
      </c>
      <c r="H58" s="737">
        <f t="shared" si="2"/>
        <v>6.4291241089003458E-3</v>
      </c>
      <c r="I58" s="462">
        <f>ISR!C61</f>
        <v>93046.080000000002</v>
      </c>
      <c r="J58" s="737">
        <f t="shared" si="3"/>
        <v>1.8456760960449095E-4</v>
      </c>
      <c r="K58" s="462">
        <f>FOFIR!I70</f>
        <v>1917336.8577785362</v>
      </c>
      <c r="L58" s="737">
        <f t="shared" si="4"/>
        <v>6.4291241089003467E-3</v>
      </c>
      <c r="M58" s="462">
        <f>FCISAN!I70</f>
        <v>121714.93809457312</v>
      </c>
      <c r="N58" s="737">
        <f t="shared" si="5"/>
        <v>6.4291241089003449E-3</v>
      </c>
      <c r="O58" s="462">
        <f>ISAN!I70</f>
        <v>607980.38995518768</v>
      </c>
      <c r="P58" s="737">
        <f t="shared" si="6"/>
        <v>6.4291241089003432E-3</v>
      </c>
      <c r="Q58" s="462">
        <f>LOT!I70</f>
        <v>29430.50371062665</v>
      </c>
      <c r="R58" s="737">
        <f t="shared" si="7"/>
        <v>6.4291241089003467E-3</v>
      </c>
      <c r="S58" s="462">
        <f>'ENAJENAC DE INMUE'!I70</f>
        <v>115724.23396020618</v>
      </c>
      <c r="T58" s="737">
        <f t="shared" si="8"/>
        <v>6.4291241089003432E-3</v>
      </c>
      <c r="U58" s="462">
        <f>'IMP BEBIDAS AL'!I70</f>
        <v>45231.14601450097</v>
      </c>
      <c r="V58" s="737">
        <f t="shared" si="9"/>
        <v>6.4291241089003458E-3</v>
      </c>
      <c r="W58" s="462">
        <f>'FOND GASO Y D'!H71</f>
        <v>1667681.4192667115</v>
      </c>
      <c r="X58" s="737">
        <f t="shared" si="10"/>
        <v>7.459950428422478E-3</v>
      </c>
      <c r="Y58" s="462">
        <f>'FOND GASO Y D'!Q71</f>
        <v>0</v>
      </c>
      <c r="Z58" s="737" t="e">
        <f t="shared" si="11"/>
        <v>#DIV/0!</v>
      </c>
      <c r="AA58" s="462">
        <f t="shared" si="12"/>
        <v>61686048.083816811</v>
      </c>
      <c r="AB58" s="737">
        <f t="shared" si="13"/>
        <v>6.5486177170966716E-3</v>
      </c>
    </row>
    <row r="59" spans="1:28" x14ac:dyDescent="0.2">
      <c r="A59" s="225">
        <v>57</v>
      </c>
      <c r="B59" s="598" t="s">
        <v>65</v>
      </c>
      <c r="C59" s="462">
        <f>'FG1'!I72</f>
        <v>28833840.676418196</v>
      </c>
      <c r="D59" s="737">
        <f t="shared" si="0"/>
        <v>4.522091990069854E-3</v>
      </c>
      <c r="E59" s="462">
        <f>FFM!J72</f>
        <v>7750418.0282896021</v>
      </c>
      <c r="F59" s="740">
        <f t="shared" si="1"/>
        <v>4.5053602497065956E-3</v>
      </c>
      <c r="G59" s="462">
        <f>IEPS!I71</f>
        <v>697317.62058206392</v>
      </c>
      <c r="H59" s="737">
        <f t="shared" si="2"/>
        <v>4.5220919900698549E-3</v>
      </c>
      <c r="I59" s="462">
        <f>ISR!C62</f>
        <v>2163452.17</v>
      </c>
      <c r="J59" s="737">
        <f t="shared" si="3"/>
        <v>4.2914563999960961E-3</v>
      </c>
      <c r="K59" s="462">
        <f>FOFIR!I71</f>
        <v>1348608.8462381582</v>
      </c>
      <c r="L59" s="737">
        <f t="shared" si="4"/>
        <v>4.5220919900698549E-3</v>
      </c>
      <c r="M59" s="462">
        <f>FCISAN!I71</f>
        <v>85611.373696666764</v>
      </c>
      <c r="N59" s="737">
        <f t="shared" si="5"/>
        <v>4.5220919900698531E-3</v>
      </c>
      <c r="O59" s="462">
        <f>ISAN!I71</f>
        <v>427638.85172628221</v>
      </c>
      <c r="P59" s="737">
        <f t="shared" si="6"/>
        <v>4.5220919900698531E-3</v>
      </c>
      <c r="Q59" s="462">
        <f>LOT!I71</f>
        <v>20700.711767144516</v>
      </c>
      <c r="R59" s="737">
        <f t="shared" si="7"/>
        <v>4.5220919900698549E-3</v>
      </c>
      <c r="S59" s="462">
        <f>'ENAJENAC DE INMUE'!I71</f>
        <v>81397.655821257344</v>
      </c>
      <c r="T59" s="737">
        <f t="shared" si="8"/>
        <v>4.5220919900698523E-3</v>
      </c>
      <c r="U59" s="462">
        <f>'IMP BEBIDAS AL'!I71</f>
        <v>31814.505308848326</v>
      </c>
      <c r="V59" s="737">
        <f t="shared" si="9"/>
        <v>4.522091990069854E-3</v>
      </c>
      <c r="W59" s="462">
        <f>'FOND GASO Y D'!H72</f>
        <v>863576.85894383735</v>
      </c>
      <c r="X59" s="737">
        <f t="shared" si="10"/>
        <v>3.8629923463958152E-3</v>
      </c>
      <c r="Y59" s="462">
        <f>'FOND GASO Y D'!Q72</f>
        <v>0</v>
      </c>
      <c r="Z59" s="737" t="e">
        <f t="shared" si="11"/>
        <v>#DIV/0!</v>
      </c>
      <c r="AA59" s="462">
        <f t="shared" si="12"/>
        <v>42304377.298792064</v>
      </c>
      <c r="AB59" s="737">
        <f t="shared" si="13"/>
        <v>4.4910511095343046E-3</v>
      </c>
    </row>
    <row r="60" spans="1:28" ht="38.25" x14ac:dyDescent="0.2">
      <c r="A60" s="221">
        <v>58</v>
      </c>
      <c r="B60" s="598" t="s">
        <v>134</v>
      </c>
      <c r="C60" s="462">
        <f>'FG1'!I73</f>
        <v>33393665.517118115</v>
      </c>
      <c r="D60" s="737">
        <f t="shared" si="0"/>
        <v>5.2372220908307532E-3</v>
      </c>
      <c r="E60" s="462">
        <f>FFM!J73</f>
        <v>8976080.2301379591</v>
      </c>
      <c r="F60" s="740">
        <f t="shared" si="1"/>
        <v>5.2178443690946794E-3</v>
      </c>
      <c r="G60" s="462">
        <f>IEPS!I72</f>
        <v>807592.42732289247</v>
      </c>
      <c r="H60" s="737">
        <f t="shared" si="2"/>
        <v>5.2372220908307541E-3</v>
      </c>
      <c r="I60" s="462">
        <f>ISR!C63</f>
        <v>2509832.9300000002</v>
      </c>
      <c r="J60" s="737">
        <f t="shared" si="3"/>
        <v>4.9785425070753729E-3</v>
      </c>
      <c r="K60" s="462">
        <f>FOFIR!I72</f>
        <v>1561879.7797386586</v>
      </c>
      <c r="L60" s="737">
        <f t="shared" si="4"/>
        <v>5.2372220908307541E-3</v>
      </c>
      <c r="M60" s="462">
        <f>FCISAN!I72</f>
        <v>99150.078887188691</v>
      </c>
      <c r="N60" s="737">
        <f t="shared" si="5"/>
        <v>5.2372220908307524E-3</v>
      </c>
      <c r="O60" s="462">
        <f>ISAN!I72</f>
        <v>495266.27191053354</v>
      </c>
      <c r="P60" s="737">
        <f t="shared" si="6"/>
        <v>5.2372220908307515E-3</v>
      </c>
      <c r="Q60" s="462">
        <f>LOT!I72</f>
        <v>23974.35195942015</v>
      </c>
      <c r="R60" s="737">
        <f t="shared" si="7"/>
        <v>5.2372220908307541E-3</v>
      </c>
      <c r="S60" s="462">
        <f>'ENAJENAC DE INMUE'!I72</f>
        <v>94269.997634953528</v>
      </c>
      <c r="T60" s="737">
        <f t="shared" si="8"/>
        <v>5.2372220908307515E-3</v>
      </c>
      <c r="U60" s="462">
        <f>'IMP BEBIDAS AL'!I72</f>
        <v>36845.69672139264</v>
      </c>
      <c r="V60" s="737">
        <f t="shared" si="9"/>
        <v>5.2372220908307532E-3</v>
      </c>
      <c r="W60" s="462">
        <f>'FOND GASO Y D'!H73</f>
        <v>1284873.3429913723</v>
      </c>
      <c r="X60" s="737">
        <f t="shared" si="10"/>
        <v>5.7475554592025897E-3</v>
      </c>
      <c r="Y60" s="462">
        <f>'FOND GASO Y D'!Q73</f>
        <v>0</v>
      </c>
      <c r="Z60" s="737" t="e">
        <f t="shared" si="11"/>
        <v>#DIV/0!</v>
      </c>
      <c r="AA60" s="462">
        <f t="shared" si="12"/>
        <v>49283430.624422483</v>
      </c>
      <c r="AB60" s="737">
        <f t="shared" si="13"/>
        <v>5.231950448630983E-3</v>
      </c>
    </row>
    <row r="61" spans="1:28" x14ac:dyDescent="0.2">
      <c r="A61" s="221">
        <v>59</v>
      </c>
      <c r="B61" s="598" t="s">
        <v>136</v>
      </c>
      <c r="C61" s="462">
        <f>'FG1'!I74</f>
        <v>20022919.205409467</v>
      </c>
      <c r="D61" s="737">
        <f t="shared" si="0"/>
        <v>3.1402504984585967E-3</v>
      </c>
      <c r="E61" s="462">
        <f>FFM!J74</f>
        <v>5382078.5004028538</v>
      </c>
      <c r="F61" s="740">
        <f t="shared" si="1"/>
        <v>3.1286315716142995E-3</v>
      </c>
      <c r="G61" s="462">
        <f>IEPS!I73</f>
        <v>484234.29032963188</v>
      </c>
      <c r="H61" s="737">
        <f t="shared" si="2"/>
        <v>3.1402504984585967E-3</v>
      </c>
      <c r="I61" s="462">
        <f>ISR!C64</f>
        <v>1745614.13</v>
      </c>
      <c r="J61" s="737">
        <f t="shared" si="3"/>
        <v>3.4626265530576148E-3</v>
      </c>
      <c r="K61" s="462">
        <f>FOFIR!I73</f>
        <v>936506.73425589246</v>
      </c>
      <c r="L61" s="737">
        <f t="shared" si="4"/>
        <v>3.1402504984585971E-3</v>
      </c>
      <c r="M61" s="462">
        <f>FCISAN!I73</f>
        <v>59450.616996522032</v>
      </c>
      <c r="N61" s="737">
        <f t="shared" si="5"/>
        <v>3.1402504984585958E-3</v>
      </c>
      <c r="O61" s="462">
        <f>ISAN!I73</f>
        <v>296962.80399483326</v>
      </c>
      <c r="P61" s="737">
        <f t="shared" si="6"/>
        <v>3.1402504984585958E-3</v>
      </c>
      <c r="Q61" s="462">
        <f>LOT!I73</f>
        <v>14375.076974986338</v>
      </c>
      <c r="R61" s="737">
        <f t="shared" si="7"/>
        <v>3.1402504984585971E-3</v>
      </c>
      <c r="S61" s="462">
        <f>'ENAJENAC DE INMUE'!I73</f>
        <v>56524.508972254727</v>
      </c>
      <c r="T61" s="737">
        <f t="shared" si="8"/>
        <v>3.1402504984585958E-3</v>
      </c>
      <c r="U61" s="462">
        <f>'IMP BEBIDAS AL'!I73</f>
        <v>22092.765112631281</v>
      </c>
      <c r="V61" s="737">
        <f t="shared" si="9"/>
        <v>3.1402504984585967E-3</v>
      </c>
      <c r="W61" s="462">
        <f>'FOND GASO Y D'!H74</f>
        <v>890960.30659682921</v>
      </c>
      <c r="X61" s="737">
        <f t="shared" si="10"/>
        <v>3.985485263622442E-3</v>
      </c>
      <c r="Y61" s="462">
        <f>'FOND GASO Y D'!Q74</f>
        <v>0</v>
      </c>
      <c r="Z61" s="737" t="e">
        <f t="shared" si="11"/>
        <v>#DIV/0!</v>
      </c>
      <c r="AA61" s="462">
        <f t="shared" si="12"/>
        <v>29911718.939045902</v>
      </c>
      <c r="AB61" s="737">
        <f t="shared" si="13"/>
        <v>3.1754411034225554E-3</v>
      </c>
    </row>
    <row r="62" spans="1:28" x14ac:dyDescent="0.2">
      <c r="A62" s="221">
        <v>60</v>
      </c>
      <c r="B62" s="598" t="s">
        <v>137</v>
      </c>
      <c r="C62" s="462">
        <f>'FG1'!I75</f>
        <v>21847175.910417181</v>
      </c>
      <c r="D62" s="737">
        <f t="shared" si="0"/>
        <v>3.4263537868177308E-3</v>
      </c>
      <c r="E62" s="462">
        <f>FFM!J75</f>
        <v>5872431.2152350266</v>
      </c>
      <c r="F62" s="740">
        <f t="shared" si="1"/>
        <v>3.4136762778065053E-3</v>
      </c>
      <c r="G62" s="462">
        <f>IEPS!I74</f>
        <v>528352.11560107546</v>
      </c>
      <c r="H62" s="737">
        <f t="shared" si="2"/>
        <v>3.4263537868177321E-3</v>
      </c>
      <c r="I62" s="462">
        <f>ISR!C65</f>
        <v>1525516.52</v>
      </c>
      <c r="J62" s="737">
        <f t="shared" si="3"/>
        <v>3.0260376096291389E-3</v>
      </c>
      <c r="K62" s="462">
        <f>FOFIR!I74</f>
        <v>1021830.3911974655</v>
      </c>
      <c r="L62" s="737">
        <f t="shared" si="4"/>
        <v>3.4263537868177317E-3</v>
      </c>
      <c r="M62" s="462">
        <f>FCISAN!I74</f>
        <v>64867.069291023174</v>
      </c>
      <c r="N62" s="737">
        <f t="shared" si="5"/>
        <v>3.4263537868177304E-3</v>
      </c>
      <c r="O62" s="462">
        <f>ISAN!I74</f>
        <v>324018.61842268694</v>
      </c>
      <c r="P62" s="737">
        <f t="shared" si="6"/>
        <v>3.4263537868177299E-3</v>
      </c>
      <c r="Q62" s="462">
        <f>LOT!I74</f>
        <v>15684.767649337964</v>
      </c>
      <c r="R62" s="737">
        <f t="shared" si="7"/>
        <v>3.4263537868177317E-3</v>
      </c>
      <c r="S62" s="462">
        <f>'ENAJENAC DE INMUE'!I74</f>
        <v>61674.36816271914</v>
      </c>
      <c r="T62" s="737">
        <f t="shared" si="8"/>
        <v>3.4263537868177299E-3</v>
      </c>
      <c r="U62" s="462">
        <f>'IMP BEBIDAS AL'!I74</f>
        <v>24105.602225712661</v>
      </c>
      <c r="V62" s="737">
        <f t="shared" si="9"/>
        <v>3.4263537868177308E-3</v>
      </c>
      <c r="W62" s="462">
        <f>'FOND GASO Y D'!H75</f>
        <v>904470.79220179515</v>
      </c>
      <c r="X62" s="737">
        <f t="shared" si="10"/>
        <v>4.0459209989568796E-3</v>
      </c>
      <c r="Y62" s="462">
        <f>'FOND GASO Y D'!Q75</f>
        <v>0</v>
      </c>
      <c r="Z62" s="737" t="e">
        <f t="shared" si="11"/>
        <v>#DIV/0!</v>
      </c>
      <c r="AA62" s="462">
        <f t="shared" si="12"/>
        <v>32190127.37040402</v>
      </c>
      <c r="AB62" s="737">
        <f t="shared" si="13"/>
        <v>3.417317934308218E-3</v>
      </c>
    </row>
    <row r="63" spans="1:28" x14ac:dyDescent="0.2">
      <c r="A63" s="221">
        <v>61</v>
      </c>
      <c r="B63" s="598" t="s">
        <v>135</v>
      </c>
      <c r="C63" s="462">
        <f>'FG1'!I76</f>
        <v>38312074.311603658</v>
      </c>
      <c r="D63" s="737">
        <f t="shared" si="0"/>
        <v>6.0085899173729328E-3</v>
      </c>
      <c r="E63" s="462">
        <f>FFM!J76</f>
        <v>10298128.326992955</v>
      </c>
      <c r="F63" s="740">
        <f t="shared" si="1"/>
        <v>5.9863581346786526E-3</v>
      </c>
      <c r="G63" s="462">
        <f>IEPS!I75</f>
        <v>926539.22862174036</v>
      </c>
      <c r="H63" s="737">
        <f t="shared" si="2"/>
        <v>6.0085899173729336E-3</v>
      </c>
      <c r="I63" s="462">
        <f>ISR!C66</f>
        <v>523952.76</v>
      </c>
      <c r="J63" s="737">
        <f t="shared" si="3"/>
        <v>1.0393206082284772E-3</v>
      </c>
      <c r="K63" s="462">
        <f>FOFIR!I75</f>
        <v>1791922.3080336689</v>
      </c>
      <c r="L63" s="737">
        <f t="shared" si="4"/>
        <v>6.0085899173729336E-3</v>
      </c>
      <c r="M63" s="462">
        <f>FCISAN!I75</f>
        <v>113753.46585956827</v>
      </c>
      <c r="N63" s="737">
        <f t="shared" si="5"/>
        <v>6.0085899173729319E-3</v>
      </c>
      <c r="O63" s="462">
        <f>ISAN!I75</f>
        <v>568211.90245618729</v>
      </c>
      <c r="P63" s="737">
        <f t="shared" si="6"/>
        <v>6.008589917372931E-3</v>
      </c>
      <c r="Q63" s="462">
        <f>LOT!I75</f>
        <v>27505.430734191323</v>
      </c>
      <c r="R63" s="737">
        <f t="shared" si="7"/>
        <v>6.0085899173729336E-3</v>
      </c>
      <c r="S63" s="462">
        <f>'ENAJENAC DE INMUE'!I75</f>
        <v>108154.61851271277</v>
      </c>
      <c r="T63" s="737">
        <f t="shared" si="8"/>
        <v>6.0085899173729319E-3</v>
      </c>
      <c r="U63" s="462">
        <f>'IMP BEBIDAS AL'!I75</f>
        <v>42272.540285497555</v>
      </c>
      <c r="V63" s="737">
        <f t="shared" si="9"/>
        <v>6.0085899173729328E-3</v>
      </c>
      <c r="W63" s="462">
        <f>'FOND GASO Y D'!H76</f>
        <v>1409861.8110392643</v>
      </c>
      <c r="X63" s="737">
        <f t="shared" si="10"/>
        <v>6.3066597131623929E-3</v>
      </c>
      <c r="Y63" s="462">
        <f>'FOND GASO Y D'!Q76</f>
        <v>0</v>
      </c>
      <c r="Z63" s="737" t="e">
        <f t="shared" si="11"/>
        <v>#DIV/0!</v>
      </c>
      <c r="AA63" s="462">
        <f t="shared" si="12"/>
        <v>54122376.704139441</v>
      </c>
      <c r="AB63" s="737">
        <f t="shared" si="13"/>
        <v>5.7456550708926144E-3</v>
      </c>
    </row>
    <row r="64" spans="1:28" x14ac:dyDescent="0.2">
      <c r="A64" s="221">
        <v>62</v>
      </c>
      <c r="B64" s="598" t="s">
        <v>113</v>
      </c>
      <c r="C64" s="462">
        <f>'FG1'!I77</f>
        <v>33030025.916038971</v>
      </c>
      <c r="D64" s="737">
        <f t="shared" si="0"/>
        <v>5.1801914737247537E-3</v>
      </c>
      <c r="E64" s="462">
        <f>FFM!J77</f>
        <v>8878335.3978892043</v>
      </c>
      <c r="F64" s="740">
        <f t="shared" si="1"/>
        <v>5.1610247652719727E-3</v>
      </c>
      <c r="G64" s="462">
        <f>IEPS!I76</f>
        <v>798798.16698762949</v>
      </c>
      <c r="H64" s="737">
        <f t="shared" si="2"/>
        <v>5.1801914737247554E-3</v>
      </c>
      <c r="I64" s="462">
        <f>ISR!C67</f>
        <v>1284855.99</v>
      </c>
      <c r="J64" s="737">
        <f t="shared" si="3"/>
        <v>2.5486597475177001E-3</v>
      </c>
      <c r="K64" s="462">
        <f>FOFIR!I76</f>
        <v>1544871.7235327116</v>
      </c>
      <c r="L64" s="737">
        <f t="shared" si="4"/>
        <v>5.1801914737247554E-3</v>
      </c>
      <c r="M64" s="462">
        <f>FCISAN!I76</f>
        <v>98070.386239640895</v>
      </c>
      <c r="N64" s="737">
        <f t="shared" si="5"/>
        <v>5.1801914737247537E-3</v>
      </c>
      <c r="O64" s="462">
        <f>ISAN!I76</f>
        <v>489873.08051460312</v>
      </c>
      <c r="P64" s="737">
        <f t="shared" si="6"/>
        <v>5.1801914737247528E-3</v>
      </c>
      <c r="Q64" s="462">
        <f>LOT!I76</f>
        <v>23713.283770359398</v>
      </c>
      <c r="R64" s="737">
        <f t="shared" si="7"/>
        <v>5.1801914737247545E-3</v>
      </c>
      <c r="S64" s="462">
        <f>'ENAJENAC DE INMUE'!I76</f>
        <v>93243.446527045555</v>
      </c>
      <c r="T64" s="737">
        <f t="shared" si="8"/>
        <v>5.1801914737247528E-3</v>
      </c>
      <c r="U64" s="462">
        <f>'IMP BEBIDAS AL'!I76</f>
        <v>36444.466300899207</v>
      </c>
      <c r="V64" s="737">
        <f t="shared" si="9"/>
        <v>5.1801914737247537E-3</v>
      </c>
      <c r="W64" s="462">
        <f>'FOND GASO Y D'!H77</f>
        <v>1286422.1059753562</v>
      </c>
      <c r="X64" s="737">
        <f t="shared" si="10"/>
        <v>5.7544834581311705E-3</v>
      </c>
      <c r="Y64" s="462">
        <f>'FOND GASO Y D'!Q77</f>
        <v>0</v>
      </c>
      <c r="Z64" s="737" t="e">
        <f t="shared" si="11"/>
        <v>#DIV/0!</v>
      </c>
      <c r="AA64" s="462">
        <f t="shared" si="12"/>
        <v>47564653.963776425</v>
      </c>
      <c r="AB64" s="737">
        <f t="shared" si="13"/>
        <v>5.0494843701371023E-3</v>
      </c>
    </row>
    <row r="65" spans="1:28" x14ac:dyDescent="0.2">
      <c r="A65" s="221">
        <v>63</v>
      </c>
      <c r="B65" s="598" t="s">
        <v>123</v>
      </c>
      <c r="C65" s="462">
        <f>'FG1'!I78</f>
        <v>26605702.163950983</v>
      </c>
      <c r="D65" s="737">
        <f t="shared" si="0"/>
        <v>4.1726467866691607E-3</v>
      </c>
      <c r="E65" s="462">
        <f>FFM!J78</f>
        <v>7151503.5413036309</v>
      </c>
      <c r="F65" s="740">
        <f t="shared" si="1"/>
        <v>4.1572079935584851E-3</v>
      </c>
      <c r="G65" s="462">
        <f>IEPS!I77</f>
        <v>643432.31743160263</v>
      </c>
      <c r="H65" s="737">
        <f t="shared" si="2"/>
        <v>4.1726467866691616E-3</v>
      </c>
      <c r="I65" s="462">
        <f>ISR!C68</f>
        <v>2335229.39</v>
      </c>
      <c r="J65" s="737">
        <f t="shared" si="3"/>
        <v>4.6321962880161481E-3</v>
      </c>
      <c r="K65" s="462">
        <f>FOFIR!I77</f>
        <v>1244394.9351508722</v>
      </c>
      <c r="L65" s="737">
        <f t="shared" si="4"/>
        <v>4.1726467866691616E-3</v>
      </c>
      <c r="M65" s="462">
        <f>FCISAN!I77</f>
        <v>78995.744478920067</v>
      </c>
      <c r="N65" s="737">
        <f t="shared" si="5"/>
        <v>4.1726467866691598E-3</v>
      </c>
      <c r="O65" s="462">
        <f>ISAN!I77</f>
        <v>394593.00793281675</v>
      </c>
      <c r="P65" s="737">
        <f t="shared" si="6"/>
        <v>4.1726467866691598E-3</v>
      </c>
      <c r="Q65" s="462">
        <f>LOT!I77</f>
        <v>19101.061771104254</v>
      </c>
      <c r="R65" s="737">
        <f t="shared" si="7"/>
        <v>4.1726467866691616E-3</v>
      </c>
      <c r="S65" s="462">
        <f>'ENAJENAC DE INMUE'!I77</f>
        <v>75107.642160044881</v>
      </c>
      <c r="T65" s="737">
        <f t="shared" si="8"/>
        <v>4.1726467866691598E-3</v>
      </c>
      <c r="U65" s="462">
        <f>'IMP BEBIDAS AL'!I77</f>
        <v>29356.035577769017</v>
      </c>
      <c r="V65" s="737">
        <f t="shared" si="9"/>
        <v>4.1726467866691607E-3</v>
      </c>
      <c r="W65" s="462">
        <f>'FOND GASO Y D'!H78</f>
        <v>1084127.2983439274</v>
      </c>
      <c r="X65" s="737">
        <f t="shared" si="10"/>
        <v>4.8495688746723687E-3</v>
      </c>
      <c r="Y65" s="462">
        <f>'FOND GASO Y D'!Q78</f>
        <v>0</v>
      </c>
      <c r="Z65" s="737" t="e">
        <f t="shared" si="11"/>
        <v>#DIV/0!</v>
      </c>
      <c r="AA65" s="462">
        <f t="shared" si="12"/>
        <v>39661543.13810166</v>
      </c>
      <c r="AB65" s="737">
        <f t="shared" si="13"/>
        <v>4.2104866845847685E-3</v>
      </c>
    </row>
    <row r="66" spans="1:28" x14ac:dyDescent="0.2">
      <c r="A66" s="221">
        <v>64</v>
      </c>
      <c r="B66" s="598" t="s">
        <v>74</v>
      </c>
      <c r="C66" s="462">
        <f>'FG1'!I79</f>
        <v>41794266.070405602</v>
      </c>
      <c r="D66" s="737">
        <f t="shared" si="0"/>
        <v>6.5547118037036734E-3</v>
      </c>
      <c r="E66" s="462">
        <f>FFM!J79</f>
        <v>11234127.179461215</v>
      </c>
      <c r="F66" s="740">
        <f t="shared" si="1"/>
        <v>6.5304593700299682E-3</v>
      </c>
      <c r="G66" s="462">
        <f>IEPS!I78</f>
        <v>1010752.5562497919</v>
      </c>
      <c r="H66" s="737">
        <f t="shared" si="2"/>
        <v>6.5547118037036734E-3</v>
      </c>
      <c r="I66" s="462">
        <f>ISR!C69</f>
        <v>2274080.35</v>
      </c>
      <c r="J66" s="737">
        <f t="shared" si="3"/>
        <v>4.5109001287108944E-3</v>
      </c>
      <c r="K66" s="462">
        <f>FOFIR!I78</f>
        <v>1954790.4691960714</v>
      </c>
      <c r="L66" s="737">
        <f t="shared" si="4"/>
        <v>6.5547118037036734E-3</v>
      </c>
      <c r="M66" s="462">
        <f>FCISAN!I78</f>
        <v>124092.54011928216</v>
      </c>
      <c r="N66" s="737">
        <f t="shared" si="5"/>
        <v>6.5547118037036717E-3</v>
      </c>
      <c r="O66" s="462">
        <f>ISAN!I78</f>
        <v>619856.79090293054</v>
      </c>
      <c r="P66" s="737">
        <f t="shared" si="6"/>
        <v>6.5547118037036708E-3</v>
      </c>
      <c r="Q66" s="462">
        <f>LOT!I78</f>
        <v>30005.404592194878</v>
      </c>
      <c r="R66" s="737">
        <f t="shared" si="7"/>
        <v>6.5547118037036734E-3</v>
      </c>
      <c r="S66" s="462">
        <f>'ENAJENAC DE INMUE'!I78</f>
        <v>117984.81246666607</v>
      </c>
      <c r="T66" s="737">
        <f t="shared" si="8"/>
        <v>6.5547118037036708E-3</v>
      </c>
      <c r="U66" s="462">
        <f>'IMP BEBIDAS AL'!I78</f>
        <v>46114.699553840786</v>
      </c>
      <c r="V66" s="737">
        <f t="shared" si="9"/>
        <v>6.5547118037036726E-3</v>
      </c>
      <c r="W66" s="462">
        <f>'FOND GASO Y D'!H79</f>
        <v>1477677.8582954104</v>
      </c>
      <c r="X66" s="737">
        <f t="shared" si="10"/>
        <v>6.6100176236947627E-3</v>
      </c>
      <c r="Y66" s="462">
        <f>'FOND GASO Y D'!Q79</f>
        <v>0</v>
      </c>
      <c r="Z66" s="737" t="e">
        <f t="shared" si="11"/>
        <v>#DIV/0!</v>
      </c>
      <c r="AA66" s="462">
        <f t="shared" si="12"/>
        <v>60683748.731242999</v>
      </c>
      <c r="AB66" s="737">
        <f t="shared" si="13"/>
        <v>6.4422131815170718E-3</v>
      </c>
    </row>
    <row r="67" spans="1:28" x14ac:dyDescent="0.2">
      <c r="A67" s="221">
        <v>65</v>
      </c>
      <c r="B67" s="598" t="s">
        <v>89</v>
      </c>
      <c r="C67" s="462">
        <f>'FG1'!I80</f>
        <v>49283855.518900476</v>
      </c>
      <c r="D67" s="737">
        <f t="shared" si="0"/>
        <v>7.7293250934847282E-3</v>
      </c>
      <c r="E67" s="462">
        <f>FFM!J80</f>
        <v>13247298.08296754</v>
      </c>
      <c r="F67" s="740">
        <f t="shared" si="1"/>
        <v>7.7007265906388336E-3</v>
      </c>
      <c r="G67" s="462">
        <f>IEPS!I79</f>
        <v>1191880.7920603028</v>
      </c>
      <c r="H67" s="737">
        <f t="shared" si="2"/>
        <v>7.7293250934847282E-3</v>
      </c>
      <c r="I67" s="462">
        <f>ISR!C70</f>
        <v>148069.71</v>
      </c>
      <c r="J67" s="737">
        <f t="shared" si="3"/>
        <v>2.9371331311894264E-4</v>
      </c>
      <c r="K67" s="462">
        <f>FOFIR!I79</f>
        <v>2305091.5858001071</v>
      </c>
      <c r="L67" s="737">
        <f t="shared" si="4"/>
        <v>7.7293250934847291E-3</v>
      </c>
      <c r="M67" s="462">
        <f>FCISAN!I79</f>
        <v>146330.09245597481</v>
      </c>
      <c r="N67" s="737">
        <f t="shared" si="5"/>
        <v>7.7293250934847265E-3</v>
      </c>
      <c r="O67" s="462">
        <f>ISAN!I79</f>
        <v>730935.97274342238</v>
      </c>
      <c r="P67" s="737">
        <f t="shared" si="6"/>
        <v>7.7293250934847256E-3</v>
      </c>
      <c r="Q67" s="462">
        <f>LOT!I79</f>
        <v>35382.413994703602</v>
      </c>
      <c r="R67" s="737">
        <f t="shared" si="7"/>
        <v>7.7293250934847282E-3</v>
      </c>
      <c r="S67" s="462">
        <f>'ENAJENAC DE INMUE'!I79</f>
        <v>139127.85168272507</v>
      </c>
      <c r="T67" s="737">
        <f t="shared" si="8"/>
        <v>7.7293250934847265E-3</v>
      </c>
      <c r="U67" s="462">
        <f>'IMP BEBIDAS AL'!I79</f>
        <v>54378.516571637876</v>
      </c>
      <c r="V67" s="737">
        <f t="shared" si="9"/>
        <v>7.7293250934847273E-3</v>
      </c>
      <c r="W67" s="462">
        <f>'FOND GASO Y D'!H80</f>
        <v>1900292.4384995271</v>
      </c>
      <c r="X67" s="737">
        <f t="shared" si="10"/>
        <v>8.5004769058024555E-3</v>
      </c>
      <c r="Y67" s="462">
        <f>'FOND GASO Y D'!Q80</f>
        <v>0</v>
      </c>
      <c r="Z67" s="737" t="e">
        <f t="shared" si="11"/>
        <v>#DIV/0!</v>
      </c>
      <c r="AA67" s="462">
        <f t="shared" si="12"/>
        <v>69182642.975676417</v>
      </c>
      <c r="AB67" s="737">
        <f t="shared" si="13"/>
        <v>7.3444594941549672E-3</v>
      </c>
    </row>
    <row r="68" spans="1:28" x14ac:dyDescent="0.2">
      <c r="A68" s="221">
        <v>66</v>
      </c>
      <c r="B68" s="598" t="s">
        <v>118</v>
      </c>
      <c r="C68" s="462">
        <f>'FG1'!I81</f>
        <v>105858167.40960367</v>
      </c>
      <c r="D68" s="737">
        <f t="shared" ref="D68:D115" si="14">C68/$C$116</f>
        <v>1.6602032878608099E-2</v>
      </c>
      <c r="E68" s="462">
        <f>FFM!J81</f>
        <v>28454240.915747773</v>
      </c>
      <c r="F68" s="740">
        <f t="shared" ref="F68:F115" si="15">E68/$E$116</f>
        <v>1.6540605356957245E-2</v>
      </c>
      <c r="G68" s="462">
        <f>IEPS!I80</f>
        <v>2560073.9854824054</v>
      </c>
      <c r="H68" s="737">
        <f t="shared" ref="H68:H115" si="16">G68/$G$116</f>
        <v>1.6602032878608102E-2</v>
      </c>
      <c r="I68" s="462">
        <f>ISR!C71</f>
        <v>9445744.7799999993</v>
      </c>
      <c r="J68" s="737">
        <f t="shared" ref="J68:J115" si="17">I68/$I$116</f>
        <v>1.8736722008908899E-2</v>
      </c>
      <c r="K68" s="462">
        <f>FOFIR!I80</f>
        <v>4951170.4880823921</v>
      </c>
      <c r="L68" s="737">
        <f t="shared" ref="L68:L115" si="18">K68/$K$116</f>
        <v>1.6602032878608102E-2</v>
      </c>
      <c r="M68" s="462">
        <f>FCISAN!I80</f>
        <v>314306.48558586946</v>
      </c>
      <c r="N68" s="737">
        <f t="shared" ref="N68:N115" si="19">M68/$M$116</f>
        <v>1.6602032878608095E-2</v>
      </c>
      <c r="O68" s="462">
        <f>ISAN!I80</f>
        <v>1569997.755932488</v>
      </c>
      <c r="P68" s="737">
        <f t="shared" ref="P68:P115" si="20">O68/$O$116</f>
        <v>1.6602032878608092E-2</v>
      </c>
      <c r="Q68" s="462">
        <f>LOT!I80</f>
        <v>75998.873557504514</v>
      </c>
      <c r="R68" s="737">
        <f t="shared" ref="R68:R114" si="21">Q68/$Q$116</f>
        <v>1.6602032878608102E-2</v>
      </c>
      <c r="S68" s="462">
        <f>'ENAJENAC DE INMUE'!I80</f>
        <v>298836.59181494563</v>
      </c>
      <c r="T68" s="737">
        <f t="shared" ref="T68:T115" si="22">S68/$S$116</f>
        <v>1.6602032878608092E-2</v>
      </c>
      <c r="U68" s="462">
        <f>'IMP BEBIDAS AL'!I80</f>
        <v>116801.1319349549</v>
      </c>
      <c r="V68" s="737">
        <f t="shared" ref="V68:V115" si="23">U68/$U$116</f>
        <v>1.6602032878608095E-2</v>
      </c>
      <c r="W68" s="462">
        <f>'FOND GASO Y D'!H81</f>
        <v>3835422.3583815363</v>
      </c>
      <c r="X68" s="737">
        <f t="shared" ref="X68:X115" si="24">W68/$W$116</f>
        <v>1.7156790460716633E-2</v>
      </c>
      <c r="Y68" s="462">
        <f>'FOND GASO Y D'!Q81</f>
        <v>0</v>
      </c>
      <c r="Z68" s="737" t="e">
        <f t="shared" ref="Z68:Z115" si="25">Y68/$Y$116</f>
        <v>#DIV/0!</v>
      </c>
      <c r="AA68" s="462">
        <f t="shared" ref="AA68:AA115" si="26">C68+E68+G68+I68+K68+M68+O68+Q68+S68+U68+W68+Y68</f>
        <v>157480760.77612349</v>
      </c>
      <c r="AB68" s="737">
        <f t="shared" ref="AB68:AB115" si="27">AA68/$AA$116</f>
        <v>1.6718226116854116E-2</v>
      </c>
    </row>
    <row r="69" spans="1:28" x14ac:dyDescent="0.2">
      <c r="A69" s="221">
        <v>67</v>
      </c>
      <c r="B69" s="598" t="s">
        <v>120</v>
      </c>
      <c r="C69" s="462">
        <f>'FG1'!I82</f>
        <v>29782166.109044351</v>
      </c>
      <c r="D69" s="737">
        <f t="shared" si="14"/>
        <v>4.6708205237044852E-3</v>
      </c>
      <c r="E69" s="462">
        <f>FFM!J82</f>
        <v>8005324.0122753726</v>
      </c>
      <c r="F69" s="740">
        <f t="shared" si="15"/>
        <v>4.6535384877667788E-3</v>
      </c>
      <c r="G69" s="462">
        <f>IEPS!I81</f>
        <v>720251.92342563765</v>
      </c>
      <c r="H69" s="737">
        <f t="shared" si="16"/>
        <v>4.6708205237044869E-3</v>
      </c>
      <c r="I69" s="462">
        <f>ISR!C72</f>
        <v>1897031.34</v>
      </c>
      <c r="J69" s="737">
        <f t="shared" si="17"/>
        <v>3.7629800177353453E-3</v>
      </c>
      <c r="K69" s="462">
        <f>FOFIR!I81</f>
        <v>1392963.6750625481</v>
      </c>
      <c r="L69" s="737">
        <f t="shared" si="18"/>
        <v>4.6708205237044869E-3</v>
      </c>
      <c r="M69" s="462">
        <f>FCISAN!I81</f>
        <v>88427.073620576339</v>
      </c>
      <c r="N69" s="737">
        <f t="shared" si="19"/>
        <v>4.6708205237044852E-3</v>
      </c>
      <c r="O69" s="462">
        <f>ISAN!I81</f>
        <v>441703.60305865505</v>
      </c>
      <c r="P69" s="737">
        <f t="shared" si="20"/>
        <v>4.6708205237044843E-3</v>
      </c>
      <c r="Q69" s="462">
        <f>LOT!I81</f>
        <v>21381.544114890057</v>
      </c>
      <c r="R69" s="737">
        <f t="shared" si="21"/>
        <v>4.670820523704486E-3</v>
      </c>
      <c r="S69" s="462">
        <f>'ENAJENAC DE INMUE'!I81</f>
        <v>84074.769426680723</v>
      </c>
      <c r="T69" s="737">
        <f t="shared" si="22"/>
        <v>4.6708205237044843E-3</v>
      </c>
      <c r="U69" s="462">
        <f>'IMP BEBIDAS AL'!I81</f>
        <v>32860.862776428978</v>
      </c>
      <c r="V69" s="737">
        <f t="shared" si="23"/>
        <v>4.670820523704486E-3</v>
      </c>
      <c r="W69" s="462">
        <f>'FOND GASO Y D'!H82</f>
        <v>1141200.8619239298</v>
      </c>
      <c r="X69" s="737">
        <f t="shared" si="24"/>
        <v>5.1048730054022344E-3</v>
      </c>
      <c r="Y69" s="462">
        <f>'FOND GASO Y D'!Q82</f>
        <v>0</v>
      </c>
      <c r="Z69" s="737" t="e">
        <f t="shared" si="25"/>
        <v>#DIV/0!</v>
      </c>
      <c r="AA69" s="462">
        <f t="shared" si="26"/>
        <v>43607385.774729073</v>
      </c>
      <c r="AB69" s="737">
        <f t="shared" si="27"/>
        <v>4.6293790565516595E-3</v>
      </c>
    </row>
    <row r="70" spans="1:28" x14ac:dyDescent="0.2">
      <c r="A70" s="221">
        <v>68</v>
      </c>
      <c r="B70" s="598" t="s">
        <v>144</v>
      </c>
      <c r="C70" s="462">
        <f>'FG1'!I83</f>
        <v>43509165.724360697</v>
      </c>
      <c r="D70" s="737">
        <f t="shared" si="14"/>
        <v>6.8236643194629172E-3</v>
      </c>
      <c r="E70" s="462">
        <f>FFM!J83</f>
        <v>11695085.167815205</v>
      </c>
      <c r="F70" s="740">
        <f t="shared" si="15"/>
        <v>6.7984167614809042E-3</v>
      </c>
      <c r="G70" s="462">
        <f>IEPS!I82</f>
        <v>1052225.6905315868</v>
      </c>
      <c r="H70" s="737">
        <f t="shared" si="16"/>
        <v>6.823664319462918E-3</v>
      </c>
      <c r="I70" s="462">
        <f>ISR!C73</f>
        <v>5459000</v>
      </c>
      <c r="J70" s="737">
        <f t="shared" si="17"/>
        <v>1.0828554849714423E-2</v>
      </c>
      <c r="K70" s="462">
        <f>FOFIR!I82</f>
        <v>2034999.3067799618</v>
      </c>
      <c r="L70" s="737">
        <f t="shared" si="18"/>
        <v>6.823664319462918E-3</v>
      </c>
      <c r="M70" s="462">
        <f>FCISAN!I82</f>
        <v>129184.29729359111</v>
      </c>
      <c r="N70" s="737">
        <f t="shared" si="19"/>
        <v>6.8236643194629146E-3</v>
      </c>
      <c r="O70" s="462">
        <f>ISAN!I82</f>
        <v>645290.71512666158</v>
      </c>
      <c r="P70" s="737">
        <f t="shared" si="20"/>
        <v>6.8236643194629146E-3</v>
      </c>
      <c r="Q70" s="462">
        <f>LOT!I82</f>
        <v>31236.584435507728</v>
      </c>
      <c r="R70" s="737">
        <f t="shared" si="21"/>
        <v>6.8236643194629172E-3</v>
      </c>
      <c r="S70" s="462">
        <f>'ENAJENAC DE INMUE'!I82</f>
        <v>122825.95775033247</v>
      </c>
      <c r="T70" s="737">
        <f t="shared" si="22"/>
        <v>6.8236643194629146E-3</v>
      </c>
      <c r="U70" s="462">
        <f>'IMP BEBIDAS AL'!I82</f>
        <v>48006.874958330605</v>
      </c>
      <c r="V70" s="737">
        <f t="shared" si="23"/>
        <v>6.8236643194629172E-3</v>
      </c>
      <c r="W70" s="462">
        <f>'FOND GASO Y D'!H83</f>
        <v>1561937.1551049175</v>
      </c>
      <c r="X70" s="737">
        <f t="shared" si="24"/>
        <v>6.9869302462561176E-3</v>
      </c>
      <c r="Y70" s="462">
        <f>'FOND GASO Y D'!Q83</f>
        <v>0</v>
      </c>
      <c r="Z70" s="737" t="e">
        <f t="shared" si="25"/>
        <v>#DIV/0!</v>
      </c>
      <c r="AA70" s="462">
        <f t="shared" si="26"/>
        <v>66288957.474156789</v>
      </c>
      <c r="AB70" s="737">
        <f t="shared" si="27"/>
        <v>7.0372645816650457E-3</v>
      </c>
    </row>
    <row r="71" spans="1:28" x14ac:dyDescent="0.2">
      <c r="A71" s="221">
        <v>69</v>
      </c>
      <c r="B71" s="598" t="s">
        <v>84</v>
      </c>
      <c r="C71" s="462">
        <f>'FG1'!I84</f>
        <v>127034247.16306368</v>
      </c>
      <c r="D71" s="737">
        <f t="shared" si="14"/>
        <v>1.9923136775548179E-2</v>
      </c>
      <c r="E71" s="462">
        <f>FFM!J84</f>
        <v>34146284.238437824</v>
      </c>
      <c r="F71" s="740">
        <f t="shared" si="15"/>
        <v>1.9849421169478652E-2</v>
      </c>
      <c r="G71" s="462">
        <f>IEPS!I83</f>
        <v>3072196.3112125159</v>
      </c>
      <c r="H71" s="737">
        <f t="shared" si="16"/>
        <v>1.9923136775548182E-2</v>
      </c>
      <c r="I71" s="462">
        <f>ISR!C74</f>
        <v>9637895.4000000004</v>
      </c>
      <c r="J71" s="737">
        <f t="shared" si="17"/>
        <v>1.911787488087751E-2</v>
      </c>
      <c r="K71" s="462">
        <f>FOFIR!I83</f>
        <v>5941612.5455470895</v>
      </c>
      <c r="L71" s="737">
        <f t="shared" si="18"/>
        <v>1.9923136775548186E-2</v>
      </c>
      <c r="M71" s="462">
        <f>FCISAN!I83</f>
        <v>377180.98425390769</v>
      </c>
      <c r="N71" s="737">
        <f t="shared" si="19"/>
        <v>1.9923136775548175E-2</v>
      </c>
      <c r="O71" s="462">
        <f>ISAN!I83</f>
        <v>1884063.2504137713</v>
      </c>
      <c r="P71" s="737">
        <f t="shared" si="20"/>
        <v>1.9923136775548175E-2</v>
      </c>
      <c r="Q71" s="462">
        <f>LOT!I83</f>
        <v>91201.840385747884</v>
      </c>
      <c r="R71" s="737">
        <f t="shared" si="21"/>
        <v>1.9923136775548182E-2</v>
      </c>
      <c r="S71" s="462">
        <f>'ENAJENAC DE INMUE'!I83</f>
        <v>358616.4619598671</v>
      </c>
      <c r="T71" s="737">
        <f t="shared" si="22"/>
        <v>1.9923136775548172E-2</v>
      </c>
      <c r="U71" s="462">
        <f>'IMP BEBIDAS AL'!I83</f>
        <v>140166.26422161696</v>
      </c>
      <c r="V71" s="737">
        <f t="shared" si="23"/>
        <v>1.9923136775548175E-2</v>
      </c>
      <c r="W71" s="462">
        <f>'FOND GASO Y D'!H84</f>
        <v>4102600.4493207163</v>
      </c>
      <c r="X71" s="737">
        <f t="shared" si="24"/>
        <v>1.835194397801326E-2</v>
      </c>
      <c r="Y71" s="462">
        <f>'FOND GASO Y D'!Q84</f>
        <v>0</v>
      </c>
      <c r="Z71" s="737" t="e">
        <f t="shared" si="25"/>
        <v>#DIV/0!</v>
      </c>
      <c r="AA71" s="462">
        <f t="shared" si="26"/>
        <v>186786064.90881673</v>
      </c>
      <c r="AB71" s="737">
        <f t="shared" si="27"/>
        <v>1.9829289960456183E-2</v>
      </c>
    </row>
    <row r="72" spans="1:28" x14ac:dyDescent="0.2">
      <c r="A72" s="221">
        <v>70</v>
      </c>
      <c r="B72" s="598" t="s">
        <v>53</v>
      </c>
      <c r="C72" s="462">
        <f>'FG1'!I85</f>
        <v>27927717.71869345</v>
      </c>
      <c r="D72" s="737">
        <f t="shared" si="14"/>
        <v>4.3799821887731899E-3</v>
      </c>
      <c r="E72" s="462">
        <f>FFM!J85</f>
        <v>7506855.8963416172</v>
      </c>
      <c r="F72" s="740">
        <f t="shared" si="15"/>
        <v>4.363776254674729E-3</v>
      </c>
      <c r="G72" s="462">
        <f>IEPS!I84</f>
        <v>675403.94241735921</v>
      </c>
      <c r="H72" s="737">
        <f t="shared" si="16"/>
        <v>4.3799821887731908E-3</v>
      </c>
      <c r="I72" s="462">
        <f>ISR!C75</f>
        <v>3834294.48</v>
      </c>
      <c r="J72" s="737">
        <f t="shared" si="17"/>
        <v>7.6057644415895289E-3</v>
      </c>
      <c r="K72" s="462">
        <f>FOFIR!I84</f>
        <v>1306227.9005195224</v>
      </c>
      <c r="L72" s="737">
        <f t="shared" si="18"/>
        <v>4.3799821887731908E-3</v>
      </c>
      <c r="M72" s="462">
        <f>FCISAN!I84</f>
        <v>82920.978337288005</v>
      </c>
      <c r="N72" s="737">
        <f t="shared" si="19"/>
        <v>4.3799821887731882E-3</v>
      </c>
      <c r="O72" s="462">
        <f>ISAN!I84</f>
        <v>414200.01138888852</v>
      </c>
      <c r="P72" s="737">
        <f t="shared" si="20"/>
        <v>4.3799821887731891E-3</v>
      </c>
      <c r="Q72" s="462">
        <f>LOT!I84</f>
        <v>20050.177889817754</v>
      </c>
      <c r="R72" s="737">
        <f t="shared" si="21"/>
        <v>4.3799821887731899E-3</v>
      </c>
      <c r="S72" s="462">
        <f>'ENAJENAC DE INMUE'!I84</f>
        <v>78839.679397917396</v>
      </c>
      <c r="T72" s="737">
        <f t="shared" si="22"/>
        <v>4.3799821887731891E-3</v>
      </c>
      <c r="U72" s="462">
        <f>'IMP BEBIDAS AL'!I84</f>
        <v>30814.712947764077</v>
      </c>
      <c r="V72" s="737">
        <f t="shared" si="23"/>
        <v>4.3799821887731891E-3</v>
      </c>
      <c r="W72" s="462">
        <f>'FOND GASO Y D'!H85</f>
        <v>1104360.0743474618</v>
      </c>
      <c r="X72" s="737">
        <f t="shared" si="24"/>
        <v>4.9400750734415015E-3</v>
      </c>
      <c r="Y72" s="462">
        <f>'FOND GASO Y D'!Q85</f>
        <v>0</v>
      </c>
      <c r="Z72" s="737" t="e">
        <f t="shared" si="25"/>
        <v>#DIV/0!</v>
      </c>
      <c r="AA72" s="462">
        <f t="shared" si="26"/>
        <v>42981685.572281078</v>
      </c>
      <c r="AB72" s="737">
        <f t="shared" si="27"/>
        <v>4.5629544506865793E-3</v>
      </c>
    </row>
    <row r="73" spans="1:28" x14ac:dyDescent="0.2">
      <c r="A73" s="221">
        <v>71</v>
      </c>
      <c r="B73" s="598" t="s">
        <v>143</v>
      </c>
      <c r="C73" s="462">
        <f>'FG1'!I86</f>
        <v>79229816.524838239</v>
      </c>
      <c r="D73" s="737">
        <f t="shared" si="14"/>
        <v>1.2425834029619881E-2</v>
      </c>
      <c r="E73" s="462">
        <f>FFM!J86</f>
        <v>21296649.491248567</v>
      </c>
      <c r="F73" s="740">
        <f t="shared" si="15"/>
        <v>1.2379858443710288E-2</v>
      </c>
      <c r="G73" s="462">
        <f>IEPS!I85</f>
        <v>1916093.9313727512</v>
      </c>
      <c r="H73" s="737">
        <f t="shared" si="16"/>
        <v>1.2425834029619883E-2</v>
      </c>
      <c r="I73" s="462">
        <f>ISR!C76</f>
        <v>4653438.03</v>
      </c>
      <c r="J73" s="737">
        <f t="shared" si="17"/>
        <v>9.230629959260309E-3</v>
      </c>
      <c r="K73" s="462">
        <f>FOFIR!I85</f>
        <v>3705716.232891948</v>
      </c>
      <c r="L73" s="737">
        <f t="shared" si="18"/>
        <v>1.2425834029619885E-2</v>
      </c>
      <c r="M73" s="462">
        <f>FCISAN!I85</f>
        <v>235243.49414796263</v>
      </c>
      <c r="N73" s="737">
        <f t="shared" si="19"/>
        <v>1.242583402961988E-2</v>
      </c>
      <c r="O73" s="462">
        <f>ISAN!I85</f>
        <v>1175068.841553116</v>
      </c>
      <c r="P73" s="737">
        <f t="shared" si="20"/>
        <v>1.242583402961988E-2</v>
      </c>
      <c r="Q73" s="462">
        <f>LOT!I85</f>
        <v>56881.551564713664</v>
      </c>
      <c r="R73" s="737">
        <f t="shared" si="21"/>
        <v>1.2425834029619883E-2</v>
      </c>
      <c r="S73" s="462">
        <f>'ENAJENAC DE INMUE'!I85</f>
        <v>223665.01253315783</v>
      </c>
      <c r="T73" s="737">
        <f t="shared" si="22"/>
        <v>1.242583402961988E-2</v>
      </c>
      <c r="U73" s="462">
        <f>'IMP BEBIDAS AL'!I85</f>
        <v>87420.106351287046</v>
      </c>
      <c r="V73" s="737">
        <f t="shared" si="23"/>
        <v>1.2425834029619881E-2</v>
      </c>
      <c r="W73" s="462">
        <f>'FOND GASO Y D'!H86</f>
        <v>2875782.4515819815</v>
      </c>
      <c r="X73" s="737">
        <f t="shared" si="24"/>
        <v>1.2864084401181333E-2</v>
      </c>
      <c r="Y73" s="462">
        <f>'FOND GASO Y D'!Q86</f>
        <v>0</v>
      </c>
      <c r="Z73" s="737" t="e">
        <f t="shared" si="25"/>
        <v>#DIV/0!</v>
      </c>
      <c r="AA73" s="462">
        <f t="shared" si="26"/>
        <v>115455775.66808371</v>
      </c>
      <c r="AB73" s="737">
        <f t="shared" si="27"/>
        <v>1.2256835403912128E-2</v>
      </c>
    </row>
    <row r="74" spans="1:28" x14ac:dyDescent="0.2">
      <c r="A74" s="221">
        <v>72</v>
      </c>
      <c r="B74" s="598" t="s">
        <v>132</v>
      </c>
      <c r="C74" s="462">
        <f>'FG1'!I87</f>
        <v>25143326.760582831</v>
      </c>
      <c r="D74" s="737">
        <f t="shared" si="14"/>
        <v>3.9432983563903344E-3</v>
      </c>
      <c r="E74" s="462">
        <f>FFM!J87</f>
        <v>6758423.0350476131</v>
      </c>
      <c r="F74" s="740">
        <f t="shared" si="15"/>
        <v>3.9287081524716902E-3</v>
      </c>
      <c r="G74" s="462">
        <f>IEPS!I86</f>
        <v>608066.22978069843</v>
      </c>
      <c r="H74" s="737">
        <f t="shared" si="16"/>
        <v>3.9432983563903352E-3</v>
      </c>
      <c r="I74" s="462">
        <f>ISR!C77</f>
        <v>1794234.25</v>
      </c>
      <c r="J74" s="737">
        <f t="shared" si="17"/>
        <v>3.5590701574209965E-3</v>
      </c>
      <c r="K74" s="462">
        <f>FOFIR!I86</f>
        <v>1175997.0956942532</v>
      </c>
      <c r="L74" s="737">
        <f t="shared" si="18"/>
        <v>3.9432983563903352E-3</v>
      </c>
      <c r="M74" s="462">
        <f>FCISAN!I86</f>
        <v>74653.764215258678</v>
      </c>
      <c r="N74" s="737">
        <f t="shared" si="19"/>
        <v>3.9432983563903335E-3</v>
      </c>
      <c r="O74" s="462">
        <f>ISAN!I86</f>
        <v>372904.30730818678</v>
      </c>
      <c r="P74" s="737">
        <f t="shared" si="20"/>
        <v>3.9432983563903344E-3</v>
      </c>
      <c r="Q74" s="462">
        <f>LOT!I86</f>
        <v>18051.176947913013</v>
      </c>
      <c r="R74" s="737">
        <f t="shared" si="21"/>
        <v>3.9432983563903352E-3</v>
      </c>
      <c r="S74" s="462">
        <f>'ENAJENAC DE INMUE'!I86</f>
        <v>70979.370415026002</v>
      </c>
      <c r="T74" s="737">
        <f t="shared" si="22"/>
        <v>3.9432983563903335E-3</v>
      </c>
      <c r="U74" s="462">
        <f>'IMP BEBIDAS AL'!I86</f>
        <v>27742.488823588763</v>
      </c>
      <c r="V74" s="737">
        <f t="shared" si="23"/>
        <v>3.9432983563903344E-3</v>
      </c>
      <c r="W74" s="462">
        <f>'FOND GASO Y D'!H87</f>
        <v>1053547.4675112241</v>
      </c>
      <c r="X74" s="737">
        <f t="shared" si="24"/>
        <v>4.7127777468910096E-3</v>
      </c>
      <c r="Y74" s="462">
        <f>'FOND GASO Y D'!Q87</f>
        <v>0</v>
      </c>
      <c r="Z74" s="737" t="e">
        <f t="shared" si="25"/>
        <v>#DIV/0!</v>
      </c>
      <c r="AA74" s="462">
        <f t="shared" si="26"/>
        <v>37097925.946326591</v>
      </c>
      <c r="AB74" s="737">
        <f t="shared" si="27"/>
        <v>3.9383319675391788E-3</v>
      </c>
    </row>
    <row r="75" spans="1:28" x14ac:dyDescent="0.2">
      <c r="A75" s="221">
        <v>73</v>
      </c>
      <c r="B75" s="598" t="s">
        <v>85</v>
      </c>
      <c r="C75" s="462">
        <f>'FG1'!I88</f>
        <v>38875305.979613848</v>
      </c>
      <c r="D75" s="737">
        <f t="shared" si="14"/>
        <v>6.0969231173460337E-3</v>
      </c>
      <c r="E75" s="462">
        <f>FFM!J88</f>
        <v>10449522.687627681</v>
      </c>
      <c r="F75" s="740">
        <f t="shared" si="15"/>
        <v>6.0743645018118539E-3</v>
      </c>
      <c r="G75" s="462">
        <f>IEPS!I87</f>
        <v>940160.4236259337</v>
      </c>
      <c r="H75" s="737">
        <f t="shared" si="16"/>
        <v>6.0969231173460337E-3</v>
      </c>
      <c r="I75" s="462">
        <f>ISR!C78</f>
        <v>2565605.37</v>
      </c>
      <c r="J75" s="737">
        <f t="shared" si="17"/>
        <v>5.0891735614154356E-3</v>
      </c>
      <c r="K75" s="462">
        <f>FOFIR!I87</f>
        <v>1818265.6321327456</v>
      </c>
      <c r="L75" s="737">
        <f t="shared" si="18"/>
        <v>6.0969231173460346E-3</v>
      </c>
      <c r="M75" s="462">
        <f>FCISAN!I87</f>
        <v>115425.77297081806</v>
      </c>
      <c r="N75" s="737">
        <f t="shared" si="19"/>
        <v>6.0969231173460319E-3</v>
      </c>
      <c r="O75" s="462">
        <f>ISAN!I87</f>
        <v>576565.27259743051</v>
      </c>
      <c r="P75" s="737">
        <f t="shared" si="20"/>
        <v>6.0969231173460311E-3</v>
      </c>
      <c r="Q75" s="462">
        <f>LOT!I87</f>
        <v>27909.792281043545</v>
      </c>
      <c r="R75" s="737">
        <f t="shared" si="21"/>
        <v>6.0969231173460346E-3</v>
      </c>
      <c r="S75" s="462">
        <f>'ENAJENAC DE INMUE'!I87</f>
        <v>109744.61611222857</v>
      </c>
      <c r="T75" s="737">
        <f t="shared" si="22"/>
        <v>6.0969231173460319E-3</v>
      </c>
      <c r="U75" s="462">
        <f>'IMP BEBIDAS AL'!I87</f>
        <v>42893.995369928147</v>
      </c>
      <c r="V75" s="737">
        <f t="shared" si="23"/>
        <v>6.0969231173460337E-3</v>
      </c>
      <c r="W75" s="462">
        <f>'FOND GASO Y D'!H88</f>
        <v>1489013.4852420159</v>
      </c>
      <c r="X75" s="737">
        <f t="shared" si="24"/>
        <v>6.6607246796826797E-3</v>
      </c>
      <c r="Y75" s="462">
        <f>'FOND GASO Y D'!Q88</f>
        <v>0</v>
      </c>
      <c r="Z75" s="737" t="e">
        <f t="shared" si="25"/>
        <v>#DIV/0!</v>
      </c>
      <c r="AA75" s="462">
        <f t="shared" si="26"/>
        <v>57010413.027573675</v>
      </c>
      <c r="AB75" s="737">
        <f t="shared" si="27"/>
        <v>6.0522502641778501E-3</v>
      </c>
    </row>
    <row r="76" spans="1:28" ht="25.5" x14ac:dyDescent="0.2">
      <c r="A76" s="221">
        <v>74</v>
      </c>
      <c r="B76" s="599" t="s">
        <v>133</v>
      </c>
      <c r="C76" s="462">
        <f>'FG1'!I89</f>
        <v>20706034.274442691</v>
      </c>
      <c r="D76" s="737">
        <f t="shared" si="14"/>
        <v>3.247385347979271E-3</v>
      </c>
      <c r="E76" s="462">
        <f>FFM!J89</f>
        <v>5565697.0271834871</v>
      </c>
      <c r="F76" s="740">
        <f t="shared" si="15"/>
        <v>3.2353700221917476E-3</v>
      </c>
      <c r="G76" s="462">
        <f>IEPS!I88</f>
        <v>500754.74557760678</v>
      </c>
      <c r="H76" s="737">
        <f t="shared" si="16"/>
        <v>3.2473853479792719E-3</v>
      </c>
      <c r="I76" s="462">
        <f>ISR!C79</f>
        <v>1480906.19</v>
      </c>
      <c r="J76" s="737">
        <f t="shared" si="17"/>
        <v>2.9375478852714061E-3</v>
      </c>
      <c r="K76" s="462">
        <f>FOFIR!I88</f>
        <v>968457.21339723875</v>
      </c>
      <c r="L76" s="737">
        <f t="shared" si="18"/>
        <v>3.2473853479792719E-3</v>
      </c>
      <c r="M76" s="462">
        <f>FCISAN!I88</f>
        <v>61478.873312048454</v>
      </c>
      <c r="N76" s="737">
        <f t="shared" si="19"/>
        <v>3.2473853479792702E-3</v>
      </c>
      <c r="O76" s="462">
        <f>ISAN!I88</f>
        <v>307094.18215553748</v>
      </c>
      <c r="P76" s="737">
        <f t="shared" si="20"/>
        <v>3.2473853479792702E-3</v>
      </c>
      <c r="Q76" s="462">
        <f>LOT!I88</f>
        <v>14865.506547187417</v>
      </c>
      <c r="R76" s="737">
        <f t="shared" si="21"/>
        <v>3.2473853479792719E-3</v>
      </c>
      <c r="S76" s="462">
        <f>'ENAJENAC DE INMUE'!I88</f>
        <v>58452.936263626863</v>
      </c>
      <c r="T76" s="737">
        <f t="shared" si="22"/>
        <v>3.2473853479792702E-3</v>
      </c>
      <c r="U76" s="462">
        <f>'IMP BEBIDAS AL'!I88</f>
        <v>22846.496404768379</v>
      </c>
      <c r="V76" s="737">
        <f t="shared" si="23"/>
        <v>3.2473853479792715E-3</v>
      </c>
      <c r="W76" s="462">
        <f>'FOND GASO Y D'!H89</f>
        <v>941245.67497043405</v>
      </c>
      <c r="X76" s="737">
        <f t="shared" si="24"/>
        <v>4.2104241224525663E-3</v>
      </c>
      <c r="Y76" s="462">
        <f>'FOND GASO Y D'!Q89</f>
        <v>0</v>
      </c>
      <c r="Z76" s="737" t="e">
        <f t="shared" si="25"/>
        <v>#DIV/0!</v>
      </c>
      <c r="AA76" s="462">
        <f t="shared" si="26"/>
        <v>30627833.120254628</v>
      </c>
      <c r="AB76" s="737">
        <f t="shared" si="27"/>
        <v>3.2514640966309328E-3</v>
      </c>
    </row>
    <row r="77" spans="1:28" x14ac:dyDescent="0.2">
      <c r="A77" s="221">
        <v>75</v>
      </c>
      <c r="B77" s="598" t="s">
        <v>146</v>
      </c>
      <c r="C77" s="462">
        <f>'FG1'!I90</f>
        <v>85385878.031554997</v>
      </c>
      <c r="D77" s="737">
        <f t="shared" si="14"/>
        <v>1.3391306397394626E-2</v>
      </c>
      <c r="E77" s="462">
        <f>FFM!J90</f>
        <v>22951373.55733313</v>
      </c>
      <c r="F77" s="740">
        <f t="shared" si="15"/>
        <v>1.3341758563724266E-2</v>
      </c>
      <c r="G77" s="462">
        <f>IEPS!I89</f>
        <v>2064972.126622383</v>
      </c>
      <c r="H77" s="737">
        <f t="shared" si="16"/>
        <v>1.3391306397394628E-2</v>
      </c>
      <c r="I77" s="462">
        <f>ISR!C80</f>
        <v>3322243.37</v>
      </c>
      <c r="J77" s="737">
        <f t="shared" si="17"/>
        <v>6.5900521260569859E-3</v>
      </c>
      <c r="K77" s="462">
        <f>FOFIR!I89</f>
        <v>3993645.9297753163</v>
      </c>
      <c r="L77" s="737">
        <f t="shared" si="18"/>
        <v>1.3391306397394628E-2</v>
      </c>
      <c r="M77" s="462">
        <f>FCISAN!I89</f>
        <v>253521.63087160158</v>
      </c>
      <c r="N77" s="737">
        <f t="shared" si="19"/>
        <v>1.3391306397394623E-2</v>
      </c>
      <c r="O77" s="462">
        <f>ISAN!I89</f>
        <v>1266370.2780642004</v>
      </c>
      <c r="P77" s="737">
        <f t="shared" si="20"/>
        <v>1.3391306397394623E-2</v>
      </c>
      <c r="Q77" s="462">
        <f>LOT!I89</f>
        <v>61301.17974749612</v>
      </c>
      <c r="R77" s="737">
        <f t="shared" si="21"/>
        <v>1.3391306397394628E-2</v>
      </c>
      <c r="S77" s="462">
        <f>'ENAJENAC DE INMUE'!I89</f>
        <v>241043.51515310319</v>
      </c>
      <c r="T77" s="737">
        <f t="shared" si="22"/>
        <v>1.3391306397394621E-2</v>
      </c>
      <c r="U77" s="462">
        <f>'IMP BEBIDAS AL'!I89</f>
        <v>94212.543532477925</v>
      </c>
      <c r="V77" s="737">
        <f t="shared" si="23"/>
        <v>1.3391306397394625E-2</v>
      </c>
      <c r="W77" s="462">
        <f>'FOND GASO Y D'!H90</f>
        <v>3194596.9594552629</v>
      </c>
      <c r="X77" s="737">
        <f t="shared" si="24"/>
        <v>1.4290220350841524E-2</v>
      </c>
      <c r="Y77" s="462">
        <f>'FOND GASO Y D'!Q90</f>
        <v>0</v>
      </c>
      <c r="Z77" s="737" t="e">
        <f t="shared" si="25"/>
        <v>#DIV/0!</v>
      </c>
      <c r="AA77" s="462">
        <f t="shared" si="26"/>
        <v>122829159.12210998</v>
      </c>
      <c r="AB77" s="737">
        <f t="shared" si="27"/>
        <v>1.3039597001094935E-2</v>
      </c>
    </row>
    <row r="78" spans="1:28" x14ac:dyDescent="0.2">
      <c r="A78" s="221">
        <v>76</v>
      </c>
      <c r="B78" s="598" t="s">
        <v>148</v>
      </c>
      <c r="C78" s="462">
        <f>'FG1'!I91</f>
        <v>106800265.61614913</v>
      </c>
      <c r="D78" s="737">
        <f t="shared" si="14"/>
        <v>1.6749784778935503E-2</v>
      </c>
      <c r="E78" s="462">
        <f>FFM!J91</f>
        <v>28707473.046922069</v>
      </c>
      <c r="F78" s="740">
        <f t="shared" si="15"/>
        <v>1.6687810575253443E-2</v>
      </c>
      <c r="G78" s="462">
        <f>IEPS!I90</f>
        <v>2582857.6890866286</v>
      </c>
      <c r="H78" s="737">
        <f t="shared" si="16"/>
        <v>1.6749784778935507E-2</v>
      </c>
      <c r="I78" s="462">
        <f>ISR!C81</f>
        <v>8154419.3600000003</v>
      </c>
      <c r="J78" s="737">
        <f t="shared" si="17"/>
        <v>1.617522940233251E-2</v>
      </c>
      <c r="K78" s="462">
        <f>FOFIR!I90</f>
        <v>4995234.058719079</v>
      </c>
      <c r="L78" s="737">
        <f t="shared" si="18"/>
        <v>1.674978477893551E-2</v>
      </c>
      <c r="M78" s="462">
        <f>FCISAN!I90</f>
        <v>317103.69607630151</v>
      </c>
      <c r="N78" s="737">
        <f t="shared" si="19"/>
        <v>1.67497847789355E-2</v>
      </c>
      <c r="O78" s="462">
        <f>ISAN!I90</f>
        <v>1583970.1503762847</v>
      </c>
      <c r="P78" s="737">
        <f t="shared" si="20"/>
        <v>1.6749784778935503E-2</v>
      </c>
      <c r="Q78" s="462">
        <f>LOT!I90</f>
        <v>76675.235185804398</v>
      </c>
      <c r="R78" s="737">
        <f t="shared" si="21"/>
        <v>1.6749784778935507E-2</v>
      </c>
      <c r="S78" s="462">
        <f>'ENAJENAC DE INMUE'!I90</f>
        <v>301496.12602083897</v>
      </c>
      <c r="T78" s="737">
        <f t="shared" si="22"/>
        <v>1.67497847789355E-2</v>
      </c>
      <c r="U78" s="462">
        <f>'IMP BEBIDAS AL'!I90</f>
        <v>117840.61844422559</v>
      </c>
      <c r="V78" s="737">
        <f t="shared" si="23"/>
        <v>1.6749784778935503E-2</v>
      </c>
      <c r="W78" s="462">
        <f>'FOND GASO Y D'!H91</f>
        <v>3179504.7584623978</v>
      </c>
      <c r="X78" s="737">
        <f t="shared" si="24"/>
        <v>1.4222709212345978E-2</v>
      </c>
      <c r="Y78" s="462">
        <f>'FOND GASO Y D'!Q91</f>
        <v>0</v>
      </c>
      <c r="Z78" s="737" t="e">
        <f t="shared" si="25"/>
        <v>#DIV/0!</v>
      </c>
      <c r="AA78" s="462">
        <f t="shared" si="26"/>
        <v>156816840.35544276</v>
      </c>
      <c r="AB78" s="737">
        <f t="shared" si="27"/>
        <v>1.6647744035983826E-2</v>
      </c>
    </row>
    <row r="79" spans="1:28" x14ac:dyDescent="0.2">
      <c r="A79" s="221">
        <v>77</v>
      </c>
      <c r="B79" s="598" t="s">
        <v>45</v>
      </c>
      <c r="C79" s="462">
        <f>'FG1'!I92</f>
        <v>33632643.077038147</v>
      </c>
      <c r="D79" s="737">
        <f t="shared" si="14"/>
        <v>5.2747016108727939E-3</v>
      </c>
      <c r="E79" s="462">
        <f>FFM!J92</f>
        <v>9040316.417385662</v>
      </c>
      <c r="F79" s="740">
        <f t="shared" si="15"/>
        <v>5.2551852149125633E-3</v>
      </c>
      <c r="G79" s="462">
        <f>IEPS!I91</f>
        <v>813371.86077839579</v>
      </c>
      <c r="H79" s="737">
        <f t="shared" si="16"/>
        <v>5.2747016108727948E-3</v>
      </c>
      <c r="I79" s="462">
        <f>ISR!C82</f>
        <v>84789.6</v>
      </c>
      <c r="J79" s="737">
        <f t="shared" si="17"/>
        <v>1.6818993117518705E-4</v>
      </c>
      <c r="K79" s="462">
        <f>FOFIR!I91</f>
        <v>1573057.175597135</v>
      </c>
      <c r="L79" s="737">
        <f t="shared" si="18"/>
        <v>5.2747016108727948E-3</v>
      </c>
      <c r="M79" s="462">
        <f>FCISAN!I91</f>
        <v>99859.633934573125</v>
      </c>
      <c r="N79" s="737">
        <f t="shared" si="19"/>
        <v>5.2747016108727921E-3</v>
      </c>
      <c r="O79" s="462">
        <f>ISAN!I91</f>
        <v>498810.58258559846</v>
      </c>
      <c r="P79" s="737">
        <f t="shared" si="20"/>
        <v>5.2747016108727921E-3</v>
      </c>
      <c r="Q79" s="462">
        <f>LOT!I91</f>
        <v>24145.921388627892</v>
      </c>
      <c r="R79" s="737">
        <f t="shared" si="21"/>
        <v>5.2747016108727939E-3</v>
      </c>
      <c r="S79" s="462">
        <f>'ENAJENAC DE INMUE'!I91</f>
        <v>94944.628995710256</v>
      </c>
      <c r="T79" s="737">
        <f t="shared" si="22"/>
        <v>5.2747016108727921E-3</v>
      </c>
      <c r="U79" s="462">
        <f>'IMP BEBIDAS AL'!I91</f>
        <v>37109.378307695828</v>
      </c>
      <c r="V79" s="737">
        <f t="shared" si="23"/>
        <v>5.274701610872793E-3</v>
      </c>
      <c r="W79" s="462">
        <f>'FOND GASO Y D'!H92</f>
        <v>1175998.6004576958</v>
      </c>
      <c r="X79" s="737">
        <f t="shared" si="24"/>
        <v>5.2605318749465411E-3</v>
      </c>
      <c r="Y79" s="462">
        <f>'FOND GASO Y D'!Q92</f>
        <v>0</v>
      </c>
      <c r="Z79" s="737" t="e">
        <f t="shared" si="25"/>
        <v>#DIV/0!</v>
      </c>
      <c r="AA79" s="462">
        <f t="shared" si="26"/>
        <v>47075046.876469232</v>
      </c>
      <c r="AB79" s="737">
        <f t="shared" si="27"/>
        <v>4.9975074686179864E-3</v>
      </c>
    </row>
    <row r="80" spans="1:28" ht="25.5" x14ac:dyDescent="0.2">
      <c r="A80" s="221">
        <v>78</v>
      </c>
      <c r="B80" s="598" t="s">
        <v>349</v>
      </c>
      <c r="C80" s="462">
        <f>'FG1'!I93</f>
        <v>24792092.269427471</v>
      </c>
      <c r="D80" s="737">
        <f t="shared" si="14"/>
        <v>3.888213267417469E-3</v>
      </c>
      <c r="E80" s="462">
        <f>FFM!J93</f>
        <v>6664012.6454308741</v>
      </c>
      <c r="F80" s="740">
        <f t="shared" si="15"/>
        <v>3.8738268783280244E-3</v>
      </c>
      <c r="G80" s="462">
        <f>IEPS!I92</f>
        <v>599571.9746314314</v>
      </c>
      <c r="H80" s="737">
        <f t="shared" si="16"/>
        <v>3.8882132674174694E-3</v>
      </c>
      <c r="I80" s="462">
        <f>ISR!C83</f>
        <v>2409576.85</v>
      </c>
      <c r="J80" s="737">
        <f t="shared" si="17"/>
        <v>4.779673032575032E-3</v>
      </c>
      <c r="K80" s="462">
        <f>FOFIR!I92</f>
        <v>1159569.2480414957</v>
      </c>
      <c r="L80" s="737">
        <f t="shared" si="18"/>
        <v>3.8882132674174694E-3</v>
      </c>
      <c r="M80" s="462">
        <f>FCISAN!I92</f>
        <v>73610.903931229535</v>
      </c>
      <c r="N80" s="737">
        <f t="shared" si="19"/>
        <v>3.8882132674174677E-3</v>
      </c>
      <c r="O80" s="462">
        <f>ISAN!I92</f>
        <v>367695.09788756358</v>
      </c>
      <c r="P80" s="737">
        <f t="shared" si="20"/>
        <v>3.8882132674174677E-3</v>
      </c>
      <c r="Q80" s="462">
        <f>LOT!I92</f>
        <v>17799.014773415278</v>
      </c>
      <c r="R80" s="737">
        <f t="shared" si="21"/>
        <v>3.8882132674174694E-3</v>
      </c>
      <c r="S80" s="462">
        <f>'ENAJENAC DE INMUE'!I92</f>
        <v>69987.83881351442</v>
      </c>
      <c r="T80" s="737">
        <f t="shared" si="22"/>
        <v>3.8882132674174677E-3</v>
      </c>
      <c r="U80" s="462">
        <f>'IMP BEBIDAS AL'!I92</f>
        <v>27354.945876781399</v>
      </c>
      <c r="V80" s="737">
        <f t="shared" si="23"/>
        <v>3.8882132674174681E-3</v>
      </c>
      <c r="W80" s="462">
        <f>'FOND GASO Y D'!H93</f>
        <v>1015685.1554134049</v>
      </c>
      <c r="X80" s="737">
        <f t="shared" si="24"/>
        <v>4.5434102837220627E-3</v>
      </c>
      <c r="Y80" s="462">
        <f>'FOND GASO Y D'!Q93</f>
        <v>0</v>
      </c>
      <c r="Z80" s="737" t="e">
        <f t="shared" si="25"/>
        <v>#DIV/0!</v>
      </c>
      <c r="AA80" s="462">
        <f t="shared" si="26"/>
        <v>37196955.944227181</v>
      </c>
      <c r="AB80" s="737">
        <f t="shared" si="27"/>
        <v>3.9488450352249977E-3</v>
      </c>
    </row>
    <row r="81" spans="1:28" ht="25.5" x14ac:dyDescent="0.2">
      <c r="A81" s="221">
        <v>79</v>
      </c>
      <c r="B81" s="598" t="s">
        <v>138</v>
      </c>
      <c r="C81" s="462">
        <f>'FG1'!I94</f>
        <v>61736778.385493293</v>
      </c>
      <c r="D81" s="737">
        <f t="shared" si="14"/>
        <v>9.6823518643523697E-3</v>
      </c>
      <c r="E81" s="462">
        <f>FFM!J94</f>
        <v>16594592.63776738</v>
      </c>
      <c r="F81" s="740">
        <f t="shared" si="15"/>
        <v>9.6465271624542638E-3</v>
      </c>
      <c r="G81" s="462">
        <f>IEPS!I93</f>
        <v>1493042.2862946249</v>
      </c>
      <c r="H81" s="737">
        <f t="shared" si="16"/>
        <v>9.6823518643523714E-3</v>
      </c>
      <c r="I81" s="462">
        <f>ISR!C84</f>
        <v>3039931.7</v>
      </c>
      <c r="J81" s="737">
        <f t="shared" si="17"/>
        <v>6.0300544335657831E-3</v>
      </c>
      <c r="K81" s="462">
        <f>FOFIR!I93</f>
        <v>2887536.4334316473</v>
      </c>
      <c r="L81" s="737">
        <f t="shared" si="18"/>
        <v>9.6823518643523697E-3</v>
      </c>
      <c r="M81" s="462">
        <f>FCISAN!I93</f>
        <v>183304.41873847958</v>
      </c>
      <c r="N81" s="737">
        <f t="shared" si="19"/>
        <v>9.682351864352368E-3</v>
      </c>
      <c r="O81" s="462">
        <f>ISAN!I93</f>
        <v>915627.06870487926</v>
      </c>
      <c r="P81" s="737">
        <f t="shared" si="20"/>
        <v>9.6823518643523662E-3</v>
      </c>
      <c r="Q81" s="462">
        <f>LOT!I93</f>
        <v>44322.754957697485</v>
      </c>
      <c r="R81" s="737">
        <f t="shared" si="21"/>
        <v>9.6823518643523697E-3</v>
      </c>
      <c r="S81" s="462">
        <f>'ENAJENAC DE INMUE'!I93</f>
        <v>174282.33355834259</v>
      </c>
      <c r="T81" s="737">
        <f t="shared" si="22"/>
        <v>9.6823518643523662E-3</v>
      </c>
      <c r="U81" s="462">
        <f>'IMP BEBIDAS AL'!I93</f>
        <v>68118.74580769366</v>
      </c>
      <c r="V81" s="737">
        <f t="shared" si="23"/>
        <v>9.6823518643523697E-3</v>
      </c>
      <c r="W81" s="462">
        <f>'FOND GASO Y D'!H94</f>
        <v>2237692.1021806155</v>
      </c>
      <c r="X81" s="737">
        <f t="shared" si="24"/>
        <v>1.000974884260563E-2</v>
      </c>
      <c r="Y81" s="462">
        <f>'FOND GASO Y D'!Q94</f>
        <v>0</v>
      </c>
      <c r="Z81" s="737" t="e">
        <f t="shared" si="25"/>
        <v>#DIV/0!</v>
      </c>
      <c r="AA81" s="462">
        <f t="shared" si="26"/>
        <v>89375228.866934627</v>
      </c>
      <c r="AB81" s="737">
        <f t="shared" si="27"/>
        <v>9.4881132023940749E-3</v>
      </c>
    </row>
    <row r="82" spans="1:28" x14ac:dyDescent="0.2">
      <c r="A82" s="221">
        <v>80</v>
      </c>
      <c r="B82" s="598" t="s">
        <v>93</v>
      </c>
      <c r="C82" s="462">
        <f>'FG1'!I95</f>
        <v>31593989.888759762</v>
      </c>
      <c r="D82" s="737">
        <f t="shared" si="14"/>
        <v>4.9549739215683369E-3</v>
      </c>
      <c r="E82" s="462">
        <f>FFM!J95</f>
        <v>8492334.8078186363</v>
      </c>
      <c r="F82" s="740">
        <f t="shared" si="15"/>
        <v>4.9366405180585335E-3</v>
      </c>
      <c r="G82" s="462">
        <f>IEPS!I94</f>
        <v>764069.07082419551</v>
      </c>
      <c r="H82" s="737">
        <f t="shared" si="16"/>
        <v>4.9549739215683369E-3</v>
      </c>
      <c r="I82" s="462">
        <f>ISR!C85</f>
        <v>1723887.31</v>
      </c>
      <c r="J82" s="737">
        <f t="shared" si="17"/>
        <v>3.4195289047557519E-3</v>
      </c>
      <c r="K82" s="462">
        <f>FOFIR!I94</f>
        <v>1477705.8224777982</v>
      </c>
      <c r="L82" s="737">
        <f t="shared" si="18"/>
        <v>4.9549739215683378E-3</v>
      </c>
      <c r="M82" s="462">
        <f>FCISAN!I94</f>
        <v>93806.610964159641</v>
      </c>
      <c r="N82" s="737">
        <f t="shared" si="19"/>
        <v>4.9549739215683352E-3</v>
      </c>
      <c r="O82" s="462">
        <f>ISAN!I94</f>
        <v>468575.02297745721</v>
      </c>
      <c r="P82" s="737">
        <f t="shared" si="20"/>
        <v>4.9549739215683361E-3</v>
      </c>
      <c r="Q82" s="462">
        <f>LOT!I94</f>
        <v>22682.308805159759</v>
      </c>
      <c r="R82" s="737">
        <f t="shared" si="21"/>
        <v>4.9549739215683369E-3</v>
      </c>
      <c r="S82" s="462">
        <f>'ENAJENAC DE INMUE'!I94</f>
        <v>89189.530588230031</v>
      </c>
      <c r="T82" s="737">
        <f t="shared" si="22"/>
        <v>4.9549739215683352E-3</v>
      </c>
      <c r="U82" s="462">
        <f>'IMP BEBIDAS AL'!I94</f>
        <v>34859.981725074496</v>
      </c>
      <c r="V82" s="737">
        <f t="shared" si="23"/>
        <v>4.9549739215683369E-3</v>
      </c>
      <c r="W82" s="462">
        <f>'FOND GASO Y D'!H95</f>
        <v>1247043.9832974677</v>
      </c>
      <c r="X82" s="737">
        <f t="shared" si="24"/>
        <v>5.5783354002661651E-3</v>
      </c>
      <c r="Y82" s="462">
        <f>'FOND GASO Y D'!Q95</f>
        <v>0</v>
      </c>
      <c r="Z82" s="737" t="e">
        <f t="shared" si="25"/>
        <v>#DIV/0!</v>
      </c>
      <c r="AA82" s="462">
        <f t="shared" si="26"/>
        <v>46008144.338237941</v>
      </c>
      <c r="AB82" s="737">
        <f t="shared" si="27"/>
        <v>4.8842446307266127E-3</v>
      </c>
    </row>
    <row r="83" spans="1:28" x14ac:dyDescent="0.2">
      <c r="A83" s="221">
        <v>81</v>
      </c>
      <c r="B83" s="598" t="s">
        <v>116</v>
      </c>
      <c r="C83" s="462">
        <f>'FG1'!I96</f>
        <v>21970575.256628536</v>
      </c>
      <c r="D83" s="737">
        <f t="shared" si="14"/>
        <v>3.4457068518965223E-3</v>
      </c>
      <c r="E83" s="462">
        <f>FFM!J96</f>
        <v>5905600.4530167216</v>
      </c>
      <c r="F83" s="740">
        <f t="shared" si="15"/>
        <v>3.432957736544505E-3</v>
      </c>
      <c r="G83" s="462">
        <f>IEPS!I95</f>
        <v>531336.40546544502</v>
      </c>
      <c r="H83" s="737">
        <f t="shared" si="16"/>
        <v>3.4457068518965227E-3</v>
      </c>
      <c r="I83" s="462">
        <f>ISR!C86</f>
        <v>1768499.7</v>
      </c>
      <c r="J83" s="737">
        <f t="shared" si="17"/>
        <v>3.5080227153605971E-3</v>
      </c>
      <c r="K83" s="462">
        <f>FOFIR!I95</f>
        <v>1027601.993107465</v>
      </c>
      <c r="L83" s="737">
        <f t="shared" si="18"/>
        <v>3.4457068518965227E-3</v>
      </c>
      <c r="M83" s="462">
        <f>FCISAN!I95</f>
        <v>65233.457787823907</v>
      </c>
      <c r="N83" s="737">
        <f t="shared" si="19"/>
        <v>3.4457068518965218E-3</v>
      </c>
      <c r="O83" s="462">
        <f>ISAN!I95</f>
        <v>325848.77193257841</v>
      </c>
      <c r="P83" s="737">
        <f t="shared" si="20"/>
        <v>3.4457068518965214E-3</v>
      </c>
      <c r="Q83" s="462">
        <f>LOT!I95</f>
        <v>15773.359881182558</v>
      </c>
      <c r="R83" s="737">
        <f t="shared" si="21"/>
        <v>3.4457068518965231E-3</v>
      </c>
      <c r="S83" s="462">
        <f>'ENAJENAC DE INMUE'!I95</f>
        <v>62022.723334137379</v>
      </c>
      <c r="T83" s="737">
        <f t="shared" si="22"/>
        <v>3.445706851896521E-3</v>
      </c>
      <c r="U83" s="462">
        <f>'IMP BEBIDAS AL'!I95</f>
        <v>24241.757835338416</v>
      </c>
      <c r="V83" s="737">
        <f t="shared" si="23"/>
        <v>3.4457068518965227E-3</v>
      </c>
      <c r="W83" s="462">
        <f>'FOND GASO Y D'!H96</f>
        <v>892574.97438864224</v>
      </c>
      <c r="X83" s="737">
        <f t="shared" si="24"/>
        <v>3.9927080710160708E-3</v>
      </c>
      <c r="Y83" s="462">
        <f>'FOND GASO Y D'!Q96</f>
        <v>0</v>
      </c>
      <c r="Z83" s="737" t="e">
        <f t="shared" si="25"/>
        <v>#DIV/0!</v>
      </c>
      <c r="AA83" s="462">
        <f t="shared" si="26"/>
        <v>32589308.853377871</v>
      </c>
      <c r="AB83" s="737">
        <f t="shared" si="27"/>
        <v>3.4596952143081871E-3</v>
      </c>
    </row>
    <row r="84" spans="1:28" x14ac:dyDescent="0.2">
      <c r="A84" s="221">
        <v>82</v>
      </c>
      <c r="B84" s="598" t="s">
        <v>152</v>
      </c>
      <c r="C84" s="462">
        <f>'FG1'!I97</f>
        <v>93180091.366163403</v>
      </c>
      <c r="D84" s="737">
        <f t="shared" si="14"/>
        <v>1.4613694704414525E-2</v>
      </c>
      <c r="E84" s="462">
        <f>FFM!J97</f>
        <v>25046426.111129384</v>
      </c>
      <c r="F84" s="740">
        <f t="shared" si="15"/>
        <v>1.4559624034008192E-2</v>
      </c>
      <c r="G84" s="462">
        <f>IEPS!I96</f>
        <v>2253467.3866812759</v>
      </c>
      <c r="H84" s="737">
        <f t="shared" si="16"/>
        <v>1.4613694704414527E-2</v>
      </c>
      <c r="I84" s="462">
        <f>ISR!C87</f>
        <v>6981927.0999999996</v>
      </c>
      <c r="J84" s="737">
        <f t="shared" si="17"/>
        <v>1.3849456046722393E-2</v>
      </c>
      <c r="K84" s="462">
        <f>FOFIR!I96</f>
        <v>4358194.8350176569</v>
      </c>
      <c r="L84" s="737">
        <f t="shared" si="18"/>
        <v>1.4613694704414528E-2</v>
      </c>
      <c r="M84" s="462">
        <f>FCISAN!I96</f>
        <v>276663.65062363667</v>
      </c>
      <c r="N84" s="737">
        <f t="shared" si="19"/>
        <v>1.461369470441452E-2</v>
      </c>
      <c r="O84" s="462">
        <f>ISAN!I96</f>
        <v>1381967.3807161411</v>
      </c>
      <c r="P84" s="737">
        <f t="shared" si="20"/>
        <v>1.4613694704414521E-2</v>
      </c>
      <c r="Q84" s="462">
        <f>LOT!I96</f>
        <v>66896.888120238844</v>
      </c>
      <c r="R84" s="737">
        <f t="shared" si="21"/>
        <v>1.4613694704414527E-2</v>
      </c>
      <c r="S84" s="462">
        <f>'ENAJENAC DE INMUE'!I96</f>
        <v>263046.50467946136</v>
      </c>
      <c r="T84" s="737">
        <f t="shared" si="22"/>
        <v>1.461369470441452E-2</v>
      </c>
      <c r="U84" s="462">
        <f>'IMP BEBIDAS AL'!I96</f>
        <v>102812.47457513635</v>
      </c>
      <c r="V84" s="737">
        <f t="shared" si="23"/>
        <v>1.4613694704414525E-2</v>
      </c>
      <c r="W84" s="462">
        <f>'FOND GASO Y D'!H97</f>
        <v>3214533.1638235659</v>
      </c>
      <c r="X84" s="737">
        <f t="shared" si="24"/>
        <v>1.4379399911517947E-2</v>
      </c>
      <c r="Y84" s="462">
        <f>'FOND GASO Y D'!Q97</f>
        <v>0</v>
      </c>
      <c r="Z84" s="737" t="e">
        <f t="shared" si="25"/>
        <v>#DIV/0!</v>
      </c>
      <c r="AA84" s="462">
        <f t="shared" si="26"/>
        <v>137126026.86152989</v>
      </c>
      <c r="AB84" s="737">
        <f t="shared" si="27"/>
        <v>1.4557358703873157E-2</v>
      </c>
    </row>
    <row r="85" spans="1:28" x14ac:dyDescent="0.2">
      <c r="A85" s="221">
        <v>83</v>
      </c>
      <c r="B85" s="598" t="s">
        <v>153</v>
      </c>
      <c r="C85" s="462">
        <f>'FG1'!I98</f>
        <v>50605456.957417324</v>
      </c>
      <c r="D85" s="737">
        <f t="shared" si="14"/>
        <v>7.936595548581251E-3</v>
      </c>
      <c r="E85" s="462">
        <f>FFM!J98</f>
        <v>13602539.125263775</v>
      </c>
      <c r="F85" s="740">
        <f t="shared" si="15"/>
        <v>7.9072301450514981E-3</v>
      </c>
      <c r="G85" s="462">
        <f>IEPS!I97</f>
        <v>1223842.4020590053</v>
      </c>
      <c r="H85" s="737">
        <f t="shared" si="16"/>
        <v>7.936595548581251E-3</v>
      </c>
      <c r="I85" s="462">
        <f>ISR!C88</f>
        <v>4020148.71</v>
      </c>
      <c r="J85" s="737">
        <f t="shared" si="17"/>
        <v>7.9744276992569484E-3</v>
      </c>
      <c r="K85" s="462">
        <f>FOFIR!I97</f>
        <v>2366905.1822330849</v>
      </c>
      <c r="L85" s="737">
        <f t="shared" si="18"/>
        <v>7.936595548581251E-3</v>
      </c>
      <c r="M85" s="462">
        <f>FCISAN!I97</f>
        <v>150254.09675011842</v>
      </c>
      <c r="N85" s="737">
        <f t="shared" si="19"/>
        <v>7.9365955485812476E-3</v>
      </c>
      <c r="O85" s="462">
        <f>ISAN!I97</f>
        <v>750536.83438199596</v>
      </c>
      <c r="P85" s="737">
        <f t="shared" si="20"/>
        <v>7.9365955485812476E-3</v>
      </c>
      <c r="Q85" s="462">
        <f>LOT!I97</f>
        <v>36331.232806488042</v>
      </c>
      <c r="R85" s="737">
        <f t="shared" si="21"/>
        <v>7.9365955485812528E-3</v>
      </c>
      <c r="S85" s="462">
        <f>'ENAJENAC DE INMUE'!I97</f>
        <v>142858.71987446246</v>
      </c>
      <c r="T85" s="737">
        <f t="shared" si="22"/>
        <v>7.9365955485812476E-3</v>
      </c>
      <c r="U85" s="462">
        <f>'IMP BEBIDAS AL'!I97</f>
        <v>55836.737016625739</v>
      </c>
      <c r="V85" s="737">
        <f t="shared" si="23"/>
        <v>7.9365955485812493E-3</v>
      </c>
      <c r="W85" s="462">
        <f>'FOND GASO Y D'!H98</f>
        <v>1695855.724613653</v>
      </c>
      <c r="X85" s="737">
        <f t="shared" si="24"/>
        <v>7.5859810472296597E-3</v>
      </c>
      <c r="Y85" s="462">
        <f>'FOND GASO Y D'!Q98</f>
        <v>0</v>
      </c>
      <c r="Z85" s="737" t="e">
        <f t="shared" si="25"/>
        <v>#DIV/0!</v>
      </c>
      <c r="AA85" s="462">
        <f t="shared" si="26"/>
        <v>74650565.722416535</v>
      </c>
      <c r="AB85" s="737">
        <f t="shared" si="27"/>
        <v>7.9249365531872552E-3</v>
      </c>
    </row>
    <row r="86" spans="1:28" ht="25.5" x14ac:dyDescent="0.2">
      <c r="A86" s="221">
        <v>84</v>
      </c>
      <c r="B86" s="598" t="s">
        <v>107</v>
      </c>
      <c r="C86" s="462">
        <f>'FG1'!I99</f>
        <v>41282590.946684144</v>
      </c>
      <c r="D86" s="737">
        <f t="shared" si="14"/>
        <v>6.4744643609690958E-3</v>
      </c>
      <c r="E86" s="462">
        <f>FFM!J99</f>
        <v>11096591.006322771</v>
      </c>
      <c r="F86" s="740">
        <f t="shared" si="15"/>
        <v>6.4505088428335076E-3</v>
      </c>
      <c r="G86" s="462">
        <f>IEPS!I98</f>
        <v>998378.20474426076</v>
      </c>
      <c r="H86" s="737">
        <f t="shared" si="16"/>
        <v>6.4744643609690958E-3</v>
      </c>
      <c r="I86" s="462">
        <f>ISR!C89</f>
        <v>1334740.95</v>
      </c>
      <c r="J86" s="737">
        <f t="shared" si="17"/>
        <v>2.6476123076085243E-3</v>
      </c>
      <c r="K86" s="462">
        <f>FOFIR!I98</f>
        <v>1930858.5342868548</v>
      </c>
      <c r="L86" s="737">
        <f t="shared" si="18"/>
        <v>6.4744643609690958E-3</v>
      </c>
      <c r="M86" s="462">
        <f>FCISAN!I98</f>
        <v>122573.31100513809</v>
      </c>
      <c r="N86" s="737">
        <f t="shared" si="19"/>
        <v>6.4744643609690941E-3</v>
      </c>
      <c r="O86" s="462">
        <f>ISAN!I98</f>
        <v>612268.06330951967</v>
      </c>
      <c r="P86" s="737">
        <f t="shared" si="20"/>
        <v>6.4744643609690932E-3</v>
      </c>
      <c r="Q86" s="462">
        <f>LOT!I98</f>
        <v>29638.057093349929</v>
      </c>
      <c r="R86" s="737">
        <f t="shared" si="21"/>
        <v>6.4744643609690958E-3</v>
      </c>
      <c r="S86" s="462">
        <f>'ENAJENAC DE INMUE'!I98</f>
        <v>116540.35849744367</v>
      </c>
      <c r="T86" s="737">
        <f t="shared" si="22"/>
        <v>6.4744643609690924E-3</v>
      </c>
      <c r="U86" s="462">
        <f>'IMP BEBIDAS AL'!I98</f>
        <v>45550.130611301145</v>
      </c>
      <c r="V86" s="737">
        <f t="shared" si="23"/>
        <v>6.474464360969095E-3</v>
      </c>
      <c r="W86" s="462">
        <f>'FOND GASO Y D'!H99</f>
        <v>1638617.3990140776</v>
      </c>
      <c r="X86" s="737">
        <f t="shared" si="24"/>
        <v>7.3299398953371774E-3</v>
      </c>
      <c r="Y86" s="462">
        <f>'FOND GASO Y D'!Q99</f>
        <v>0</v>
      </c>
      <c r="Z86" s="737" t="e">
        <f t="shared" si="25"/>
        <v>#DIV/0!</v>
      </c>
      <c r="AA86" s="462">
        <f t="shared" si="26"/>
        <v>59208346.961568862</v>
      </c>
      <c r="AB86" s="737">
        <f t="shared" si="27"/>
        <v>6.2855838873921563E-3</v>
      </c>
    </row>
    <row r="87" spans="1:28" x14ac:dyDescent="0.2">
      <c r="A87" s="221">
        <v>85</v>
      </c>
      <c r="B87" s="598" t="s">
        <v>124</v>
      </c>
      <c r="C87" s="462">
        <f>'FG1'!I100</f>
        <v>47404007.331638739</v>
      </c>
      <c r="D87" s="737">
        <f t="shared" si="14"/>
        <v>7.4345032372650647E-3</v>
      </c>
      <c r="E87" s="462">
        <f>FFM!J100</f>
        <v>12742002.605875004</v>
      </c>
      <c r="F87" s="740">
        <f t="shared" si="15"/>
        <v>7.4069955752871829E-3</v>
      </c>
      <c r="G87" s="462">
        <f>IEPS!I99</f>
        <v>1146418.542347973</v>
      </c>
      <c r="H87" s="737">
        <f t="shared" si="16"/>
        <v>7.4345032372650655E-3</v>
      </c>
      <c r="I87" s="462">
        <f>ISR!C90</f>
        <v>1898971.86</v>
      </c>
      <c r="J87" s="737">
        <f t="shared" si="17"/>
        <v>3.7668292625158851E-3</v>
      </c>
      <c r="K87" s="462">
        <f>FOFIR!I99</f>
        <v>2217167.8186066737</v>
      </c>
      <c r="L87" s="737">
        <f t="shared" si="18"/>
        <v>7.4345032372650664E-3</v>
      </c>
      <c r="M87" s="462">
        <f>FCISAN!I99</f>
        <v>140748.58191567802</v>
      </c>
      <c r="N87" s="737">
        <f t="shared" si="19"/>
        <v>7.4345032372650629E-3</v>
      </c>
      <c r="O87" s="462">
        <f>ISAN!I99</f>
        <v>703055.67302054132</v>
      </c>
      <c r="P87" s="737">
        <f t="shared" si="20"/>
        <v>7.4345032372650638E-3</v>
      </c>
      <c r="Q87" s="462">
        <f>LOT!I99</f>
        <v>34032.812464779068</v>
      </c>
      <c r="R87" s="737">
        <f t="shared" si="21"/>
        <v>7.4345032372650655E-3</v>
      </c>
      <c r="S87" s="462">
        <f>'ENAJENAC DE INMUE'!I99</f>
        <v>133821.05827077111</v>
      </c>
      <c r="T87" s="737">
        <f t="shared" si="22"/>
        <v>7.4345032372650621E-3</v>
      </c>
      <c r="U87" s="462">
        <f>'IMP BEBIDAS AL'!I99</f>
        <v>52304.341271696656</v>
      </c>
      <c r="V87" s="737">
        <f t="shared" si="23"/>
        <v>7.4345032372650664E-3</v>
      </c>
      <c r="W87" s="462">
        <f>'FOND GASO Y D'!H100</f>
        <v>1755268.9088715883</v>
      </c>
      <c r="X87" s="737">
        <f t="shared" si="24"/>
        <v>7.8517508784686583E-3</v>
      </c>
      <c r="Y87" s="462">
        <f>'FOND GASO Y D'!Q100</f>
        <v>0</v>
      </c>
      <c r="Z87" s="737" t="e">
        <f t="shared" si="25"/>
        <v>#DIV/0!</v>
      </c>
      <c r="AA87" s="462">
        <f t="shared" si="26"/>
        <v>68227799.534283444</v>
      </c>
      <c r="AB87" s="737">
        <f t="shared" si="27"/>
        <v>7.2430928987643308E-3</v>
      </c>
    </row>
    <row r="88" spans="1:28" x14ac:dyDescent="0.2">
      <c r="A88" s="221">
        <v>86</v>
      </c>
      <c r="B88" s="598" t="s">
        <v>129</v>
      </c>
      <c r="C88" s="462">
        <f>'FG1'!I101</f>
        <v>26685113.7920231</v>
      </c>
      <c r="D88" s="737">
        <f t="shared" si="14"/>
        <v>4.1851011347129518E-3</v>
      </c>
      <c r="E88" s="462">
        <f>FFM!J101</f>
        <v>7172849.0609925613</v>
      </c>
      <c r="F88" s="740">
        <f t="shared" si="15"/>
        <v>4.1696162605145137E-3</v>
      </c>
      <c r="G88" s="462">
        <f>IEPS!I100</f>
        <v>645352.8082935462</v>
      </c>
      <c r="H88" s="737">
        <f t="shared" si="16"/>
        <v>4.1851011347129527E-3</v>
      </c>
      <c r="I88" s="462">
        <f>ISR!C91</f>
        <v>1461178.6</v>
      </c>
      <c r="J88" s="737">
        <f t="shared" si="17"/>
        <v>2.8984159397928066E-3</v>
      </c>
      <c r="K88" s="462">
        <f>FOFIR!I100</f>
        <v>1248109.1550258477</v>
      </c>
      <c r="L88" s="737">
        <f t="shared" si="18"/>
        <v>4.1851011347129518E-3</v>
      </c>
      <c r="M88" s="462">
        <f>FCISAN!I100</f>
        <v>79231.527794886817</v>
      </c>
      <c r="N88" s="737">
        <f t="shared" si="19"/>
        <v>4.185101134712951E-3</v>
      </c>
      <c r="O88" s="462">
        <f>ISAN!I100</f>
        <v>395770.77324766258</v>
      </c>
      <c r="P88" s="737">
        <f t="shared" si="20"/>
        <v>4.185101134712951E-3</v>
      </c>
      <c r="Q88" s="462">
        <f>LOT!I100</f>
        <v>19158.073850838227</v>
      </c>
      <c r="R88" s="737">
        <f t="shared" si="21"/>
        <v>4.1851011347129527E-3</v>
      </c>
      <c r="S88" s="462">
        <f>'ENAJENAC DE INMUE'!I100</f>
        <v>75331.820424833117</v>
      </c>
      <c r="T88" s="737">
        <f t="shared" si="22"/>
        <v>4.185101134712951E-3</v>
      </c>
      <c r="U88" s="462">
        <f>'IMP BEBIDAS AL'!I100</f>
        <v>29443.65629022412</v>
      </c>
      <c r="V88" s="737">
        <f t="shared" si="23"/>
        <v>4.1851011347129518E-3</v>
      </c>
      <c r="W88" s="462">
        <f>'FOND GASO Y D'!H101</f>
        <v>1105381.5988688129</v>
      </c>
      <c r="X88" s="737">
        <f t="shared" si="24"/>
        <v>4.9446446046497155E-3</v>
      </c>
      <c r="Y88" s="462">
        <f>'FOND GASO Y D'!Q101</f>
        <v>0</v>
      </c>
      <c r="Z88" s="737" t="e">
        <f t="shared" si="25"/>
        <v>#DIV/0!</v>
      </c>
      <c r="AA88" s="462">
        <f t="shared" si="26"/>
        <v>38916920.866812311</v>
      </c>
      <c r="AB88" s="737">
        <f t="shared" si="27"/>
        <v>4.1314372601235919E-3</v>
      </c>
    </row>
    <row r="89" spans="1:28" x14ac:dyDescent="0.2">
      <c r="A89" s="221">
        <v>87</v>
      </c>
      <c r="B89" s="598" t="s">
        <v>350</v>
      </c>
      <c r="C89" s="462">
        <f>'FG1'!I102</f>
        <v>26178721.673911169</v>
      </c>
      <c r="D89" s="737">
        <f t="shared" si="14"/>
        <v>4.1056822405445689E-3</v>
      </c>
      <c r="E89" s="462">
        <f>FFM!J102</f>
        <v>7036732.9380784072</v>
      </c>
      <c r="F89" s="740">
        <f t="shared" si="15"/>
        <v>4.0904912162545541E-3</v>
      </c>
      <c r="G89" s="462">
        <f>IEPS!I101</f>
        <v>633106.22099891223</v>
      </c>
      <c r="H89" s="737">
        <f t="shared" si="16"/>
        <v>4.1056822405445698E-3</v>
      </c>
      <c r="I89" s="462">
        <f>ISR!C92</f>
        <v>1639267.66</v>
      </c>
      <c r="J89" s="737">
        <f t="shared" si="17"/>
        <v>3.2516760889673953E-3</v>
      </c>
      <c r="K89" s="462">
        <f>FOFIR!I101</f>
        <v>1224424.3154716932</v>
      </c>
      <c r="L89" s="737">
        <f t="shared" si="18"/>
        <v>4.1056822405445706E-3</v>
      </c>
      <c r="M89" s="462">
        <f>FCISAN!I101</f>
        <v>77727.984602453784</v>
      </c>
      <c r="N89" s="737">
        <f t="shared" si="19"/>
        <v>4.105682240544568E-3</v>
      </c>
      <c r="O89" s="462">
        <f>ISAN!I101</f>
        <v>388260.39867277164</v>
      </c>
      <c r="P89" s="737">
        <f t="shared" si="20"/>
        <v>4.1056822405445672E-3</v>
      </c>
      <c r="Q89" s="462">
        <f>LOT!I101</f>
        <v>18794.519186170812</v>
      </c>
      <c r="R89" s="737">
        <f t="shared" si="21"/>
        <v>4.1056822405445698E-3</v>
      </c>
      <c r="S89" s="462">
        <f>'ENAJENAC DE INMUE'!I101</f>
        <v>73902.280329802219</v>
      </c>
      <c r="T89" s="737">
        <f t="shared" si="22"/>
        <v>4.105682240544568E-3</v>
      </c>
      <c r="U89" s="462">
        <f>'IMP BEBIDAS AL'!I101</f>
        <v>28884.916477833918</v>
      </c>
      <c r="V89" s="737">
        <f t="shared" si="23"/>
        <v>4.1056822405445698E-3</v>
      </c>
      <c r="W89" s="462">
        <f>'FOND GASO Y D'!H102</f>
        <v>1107193.981084113</v>
      </c>
      <c r="X89" s="737">
        <f t="shared" si="24"/>
        <v>4.9527518374384806E-3</v>
      </c>
      <c r="Y89" s="462">
        <f>'FOND GASO Y D'!Q102</f>
        <v>0</v>
      </c>
      <c r="Z89" s="737" t="e">
        <f t="shared" si="25"/>
        <v>#DIV/0!</v>
      </c>
      <c r="AA89" s="462">
        <f t="shared" si="26"/>
        <v>38407016.888813324</v>
      </c>
      <c r="AB89" s="737">
        <f t="shared" si="27"/>
        <v>4.0773056318532076E-3</v>
      </c>
    </row>
    <row r="90" spans="1:28" x14ac:dyDescent="0.2">
      <c r="A90" s="221">
        <v>88</v>
      </c>
      <c r="B90" s="598" t="s">
        <v>99</v>
      </c>
      <c r="C90" s="462">
        <f>'FG1'!I103</f>
        <v>120640726.50259304</v>
      </c>
      <c r="D90" s="737">
        <f t="shared" si="14"/>
        <v>1.892042302362313E-2</v>
      </c>
      <c r="E90" s="462">
        <f>FFM!J103</f>
        <v>32427732.12645087</v>
      </c>
      <c r="F90" s="740">
        <f t="shared" si="15"/>
        <v>1.8850417458435721E-2</v>
      </c>
      <c r="G90" s="462">
        <f>IEPS!I102</f>
        <v>2917575.4036430325</v>
      </c>
      <c r="H90" s="737">
        <f t="shared" si="16"/>
        <v>1.892042302362313E-2</v>
      </c>
      <c r="I90" s="462">
        <f>ISR!C93</f>
        <v>6522271.0599999996</v>
      </c>
      <c r="J90" s="737">
        <f t="shared" si="17"/>
        <v>1.2937675383387987E-2</v>
      </c>
      <c r="K90" s="462">
        <f>FOFIR!I102</f>
        <v>5642576.4713008665</v>
      </c>
      <c r="L90" s="737">
        <f t="shared" si="18"/>
        <v>1.8920423023623133E-2</v>
      </c>
      <c r="M90" s="462">
        <f>FCISAN!I102</f>
        <v>358197.80082567409</v>
      </c>
      <c r="N90" s="737">
        <f t="shared" si="19"/>
        <v>1.8920423023623126E-2</v>
      </c>
      <c r="O90" s="462">
        <f>ISAN!I102</f>
        <v>1789240.0229285741</v>
      </c>
      <c r="P90" s="737">
        <f t="shared" si="20"/>
        <v>1.8920423023623123E-2</v>
      </c>
      <c r="Q90" s="462">
        <f>LOT!I102</f>
        <v>86611.732884809608</v>
      </c>
      <c r="R90" s="737">
        <f t="shared" si="21"/>
        <v>1.892042302362313E-2</v>
      </c>
      <c r="S90" s="462">
        <f>'ENAJENAC DE INMUE'!I102</f>
        <v>340567.61442521622</v>
      </c>
      <c r="T90" s="737">
        <f t="shared" si="22"/>
        <v>1.8920423023623123E-2</v>
      </c>
      <c r="U90" s="462">
        <f>'IMP BEBIDAS AL'!I102</f>
        <v>133111.82082375459</v>
      </c>
      <c r="V90" s="737">
        <f t="shared" si="23"/>
        <v>1.892042302362313E-2</v>
      </c>
      <c r="W90" s="462">
        <f>'FOND GASO Y D'!H103</f>
        <v>4366977.5859271595</v>
      </c>
      <c r="X90" s="737">
        <f t="shared" si="24"/>
        <v>1.9534568135545424E-2</v>
      </c>
      <c r="Y90" s="462">
        <f>'FOND GASO Y D'!Q103</f>
        <v>0</v>
      </c>
      <c r="Z90" s="737" t="e">
        <f t="shared" si="25"/>
        <v>#DIV/0!</v>
      </c>
      <c r="AA90" s="462">
        <f t="shared" si="26"/>
        <v>175225588.14180303</v>
      </c>
      <c r="AB90" s="737">
        <f t="shared" si="27"/>
        <v>1.860202471448541E-2</v>
      </c>
    </row>
    <row r="91" spans="1:28" x14ac:dyDescent="0.2">
      <c r="A91" s="221">
        <v>89</v>
      </c>
      <c r="B91" s="598" t="s">
        <v>55</v>
      </c>
      <c r="C91" s="462">
        <f>'FG1'!I104</f>
        <v>43361123.638570853</v>
      </c>
      <c r="D91" s="737">
        <f t="shared" si="14"/>
        <v>6.8004464645175303E-3</v>
      </c>
      <c r="E91" s="462">
        <f>FFM!J104</f>
        <v>11655292.062778398</v>
      </c>
      <c r="F91" s="740">
        <f t="shared" si="15"/>
        <v>6.7752848125988132E-3</v>
      </c>
      <c r="G91" s="462">
        <f>IEPS!I103</f>
        <v>1048645.4406381547</v>
      </c>
      <c r="H91" s="737">
        <f t="shared" si="16"/>
        <v>6.8004464645175303E-3</v>
      </c>
      <c r="I91" s="462">
        <f>ISR!C94</f>
        <v>2892015.46</v>
      </c>
      <c r="J91" s="737">
        <f t="shared" si="17"/>
        <v>5.7366455458567655E-3</v>
      </c>
      <c r="K91" s="462">
        <f>FOFIR!I103</f>
        <v>2028075.1211068744</v>
      </c>
      <c r="L91" s="737">
        <f t="shared" si="18"/>
        <v>6.8004464645175303E-3</v>
      </c>
      <c r="M91" s="462">
        <f>FCISAN!I103</f>
        <v>128744.74134016746</v>
      </c>
      <c r="N91" s="737">
        <f t="shared" si="19"/>
        <v>6.8004464645175268E-3</v>
      </c>
      <c r="O91" s="462">
        <f>ISAN!I103</f>
        <v>643095.08159019297</v>
      </c>
      <c r="P91" s="737">
        <f t="shared" si="20"/>
        <v>6.8004464645175259E-3</v>
      </c>
      <c r="Q91" s="462">
        <f>LOT!I103</f>
        <v>31130.300413835619</v>
      </c>
      <c r="R91" s="737">
        <f t="shared" si="21"/>
        <v>6.8004464645175294E-3</v>
      </c>
      <c r="S91" s="462">
        <f>'ENAJENAC DE INMUE'!I103</f>
        <v>122408.03636131548</v>
      </c>
      <c r="T91" s="737">
        <f t="shared" si="22"/>
        <v>6.8004464645175268E-3</v>
      </c>
      <c r="U91" s="462">
        <f>'IMP BEBIDAS AL'!I103</f>
        <v>47843.529194679148</v>
      </c>
      <c r="V91" s="737">
        <f t="shared" si="23"/>
        <v>6.8004464645175294E-3</v>
      </c>
      <c r="W91" s="462">
        <f>'FOND GASO Y D'!H104</f>
        <v>1386795.1282990784</v>
      </c>
      <c r="X91" s="737">
        <f t="shared" si="24"/>
        <v>6.2034767503962801E-3</v>
      </c>
      <c r="Y91" s="462">
        <f>'FOND GASO Y D'!Q104</f>
        <v>0</v>
      </c>
      <c r="Z91" s="737" t="e">
        <f t="shared" si="25"/>
        <v>#DIV/0!</v>
      </c>
      <c r="AA91" s="462">
        <f t="shared" si="26"/>
        <v>63345168.540293552</v>
      </c>
      <c r="AB91" s="737">
        <f t="shared" si="27"/>
        <v>6.7247506669870297E-3</v>
      </c>
    </row>
    <row r="92" spans="1:28" x14ac:dyDescent="0.2">
      <c r="A92" s="221">
        <v>90</v>
      </c>
      <c r="B92" s="598" t="s">
        <v>147</v>
      </c>
      <c r="C92" s="462">
        <f>'FG1'!I105</f>
        <v>26526443.340763055</v>
      </c>
      <c r="D92" s="737">
        <f t="shared" si="14"/>
        <v>4.1602164034433278E-3</v>
      </c>
      <c r="E92" s="462">
        <f>FFM!J105</f>
        <v>7130199.0949403979</v>
      </c>
      <c r="F92" s="740">
        <f t="shared" si="15"/>
        <v>4.144823602750587E-3</v>
      </c>
      <c r="G92" s="462">
        <f>IEPS!I104</f>
        <v>641515.52200307208</v>
      </c>
      <c r="H92" s="737">
        <f t="shared" si="16"/>
        <v>4.1602164034433287E-3</v>
      </c>
      <c r="I92" s="462">
        <f>ISR!C95</f>
        <v>1264959.48</v>
      </c>
      <c r="J92" s="737">
        <f t="shared" si="17"/>
        <v>2.5091927297758256E-3</v>
      </c>
      <c r="K92" s="462">
        <f>FOFIR!I104</f>
        <v>1240687.8622259295</v>
      </c>
      <c r="L92" s="737">
        <f t="shared" si="18"/>
        <v>4.1602164034433287E-3</v>
      </c>
      <c r="M92" s="462">
        <f>FCISAN!I104</f>
        <v>78760.414860266479</v>
      </c>
      <c r="N92" s="737">
        <f t="shared" si="19"/>
        <v>4.1602164034433269E-3</v>
      </c>
      <c r="O92" s="462">
        <f>ISAN!I104</f>
        <v>393417.50888925785</v>
      </c>
      <c r="P92" s="737">
        <f t="shared" si="20"/>
        <v>4.1602164034433278E-3</v>
      </c>
      <c r="Q92" s="462">
        <f>LOT!I104</f>
        <v>19044.159394753184</v>
      </c>
      <c r="R92" s="737">
        <f t="shared" si="21"/>
        <v>4.1602164034433287E-3</v>
      </c>
      <c r="S92" s="462">
        <f>'ENAJENAC DE INMUE'!I104</f>
        <v>74883.89526197988</v>
      </c>
      <c r="T92" s="737">
        <f t="shared" si="22"/>
        <v>4.1602164034433269E-3</v>
      </c>
      <c r="U92" s="462">
        <f>'IMP BEBIDAS AL'!I104</f>
        <v>29268.5834662247</v>
      </c>
      <c r="V92" s="737">
        <f t="shared" si="23"/>
        <v>4.1602164034433287E-3</v>
      </c>
      <c r="W92" s="462">
        <f>'FOND GASO Y D'!H105</f>
        <v>1131446.9503652228</v>
      </c>
      <c r="X92" s="737">
        <f t="shared" si="24"/>
        <v>5.0612413525754222E-3</v>
      </c>
      <c r="Y92" s="462">
        <f>'FOND GASO Y D'!Q105</f>
        <v>0</v>
      </c>
      <c r="Z92" s="737" t="e">
        <f t="shared" si="25"/>
        <v>#DIV/0!</v>
      </c>
      <c r="AA92" s="462">
        <f t="shared" si="26"/>
        <v>38530626.812170155</v>
      </c>
      <c r="AB92" s="737">
        <f t="shared" si="27"/>
        <v>4.0904281151253339E-3</v>
      </c>
    </row>
    <row r="93" spans="1:28" x14ac:dyDescent="0.2">
      <c r="A93" s="221">
        <v>91</v>
      </c>
      <c r="B93" s="598" t="s">
        <v>351</v>
      </c>
      <c r="C93" s="462">
        <f>'FG1'!I106</f>
        <v>26193014.545403659</v>
      </c>
      <c r="D93" s="737">
        <f t="shared" si="14"/>
        <v>4.1079238316116982E-3</v>
      </c>
      <c r="E93" s="462">
        <f>FFM!J106</f>
        <v>7040574.8032719679</v>
      </c>
      <c r="F93" s="740">
        <f t="shared" si="15"/>
        <v>4.0927245134347347E-3</v>
      </c>
      <c r="G93" s="462">
        <f>IEPS!I105</f>
        <v>633451.87981184234</v>
      </c>
      <c r="H93" s="737">
        <f t="shared" si="16"/>
        <v>4.1079238316116982E-3</v>
      </c>
      <c r="I93" s="462">
        <f>ISR!C96</f>
        <v>2435693.5299999998</v>
      </c>
      <c r="J93" s="737">
        <f t="shared" si="17"/>
        <v>4.8314784734749105E-3</v>
      </c>
      <c r="K93" s="462">
        <f>FOFIR!I105</f>
        <v>1225092.817914681</v>
      </c>
      <c r="L93" s="737">
        <f t="shared" si="18"/>
        <v>4.1079238316116982E-3</v>
      </c>
      <c r="M93" s="462">
        <f>FCISAN!I105</f>
        <v>77770.421972357915</v>
      </c>
      <c r="N93" s="737">
        <f t="shared" si="19"/>
        <v>4.1079238316116973E-3</v>
      </c>
      <c r="O93" s="462">
        <f>ISAN!I105</f>
        <v>388472.37831230403</v>
      </c>
      <c r="P93" s="737">
        <f t="shared" si="20"/>
        <v>4.1079238316116973E-3</v>
      </c>
      <c r="Q93" s="462">
        <f>LOT!I105</f>
        <v>18804.780483526622</v>
      </c>
      <c r="R93" s="737">
        <f t="shared" si="21"/>
        <v>4.1079238316116982E-3</v>
      </c>
      <c r="S93" s="462">
        <f>'ENAJENAC DE INMUE'!I105</f>
        <v>73942.628969010548</v>
      </c>
      <c r="T93" s="737">
        <f t="shared" si="22"/>
        <v>4.1079238316116973E-3</v>
      </c>
      <c r="U93" s="462">
        <f>'IMP BEBIDAS AL'!I105</f>
        <v>28900.686858237954</v>
      </c>
      <c r="V93" s="737">
        <f t="shared" si="23"/>
        <v>4.1079238316116982E-3</v>
      </c>
      <c r="W93" s="462">
        <f>'FOND GASO Y D'!H106</f>
        <v>1085610.1565200821</v>
      </c>
      <c r="X93" s="737">
        <f t="shared" si="24"/>
        <v>4.8562020651359041E-3</v>
      </c>
      <c r="Y93" s="462">
        <f>'FOND GASO Y D'!Q106</f>
        <v>0</v>
      </c>
      <c r="Z93" s="737" t="e">
        <f t="shared" si="25"/>
        <v>#DIV/0!</v>
      </c>
      <c r="AA93" s="462">
        <f t="shared" si="26"/>
        <v>39201328.629517674</v>
      </c>
      <c r="AB93" s="737">
        <f t="shared" si="27"/>
        <v>4.1616301120177756E-3</v>
      </c>
    </row>
    <row r="94" spans="1:28" ht="25.5" x14ac:dyDescent="0.2">
      <c r="A94" s="221">
        <v>92</v>
      </c>
      <c r="B94" s="598" t="s">
        <v>352</v>
      </c>
      <c r="C94" s="462">
        <f>'FG1'!I107</f>
        <v>49714759.010848589</v>
      </c>
      <c r="D94" s="737">
        <f t="shared" si="14"/>
        <v>7.7969048949860014E-3</v>
      </c>
      <c r="E94" s="462">
        <f>FFM!J107</f>
        <v>13363123.173004158</v>
      </c>
      <c r="F94" s="740">
        <f t="shared" si="15"/>
        <v>7.7680563468745531E-3</v>
      </c>
      <c r="G94" s="462">
        <f>IEPS!I106</f>
        <v>1202301.7623735471</v>
      </c>
      <c r="H94" s="737">
        <f t="shared" si="16"/>
        <v>7.796904894986004E-3</v>
      </c>
      <c r="I94" s="462">
        <f>ISR!C97</f>
        <v>3034034.95</v>
      </c>
      <c r="J94" s="737">
        <f t="shared" si="17"/>
        <v>6.0183575512045345E-3</v>
      </c>
      <c r="K94" s="462">
        <f>FOFIR!I106</f>
        <v>2325245.6910973391</v>
      </c>
      <c r="L94" s="737">
        <f t="shared" si="18"/>
        <v>7.7969048949860032E-3</v>
      </c>
      <c r="M94" s="462">
        <f>FCISAN!I106</f>
        <v>147609.5002286112</v>
      </c>
      <c r="N94" s="737">
        <f t="shared" si="19"/>
        <v>7.7969048949860006E-3</v>
      </c>
      <c r="O94" s="462">
        <f>ISAN!I106</f>
        <v>737326.76461084932</v>
      </c>
      <c r="P94" s="737">
        <f t="shared" si="20"/>
        <v>7.7969048949859997E-3</v>
      </c>
      <c r="Q94" s="462">
        <f>LOT!I106</f>
        <v>35691.773024823</v>
      </c>
      <c r="R94" s="737">
        <f t="shared" si="21"/>
        <v>7.7969048949860014E-3</v>
      </c>
      <c r="S94" s="462">
        <f>'ENAJENAC DE INMUE'!I106</f>
        <v>140344.28810974798</v>
      </c>
      <c r="T94" s="737">
        <f t="shared" si="22"/>
        <v>7.7969048949859988E-3</v>
      </c>
      <c r="U94" s="462">
        <f>'IMP BEBIDAS AL'!I106</f>
        <v>54853.964209225625</v>
      </c>
      <c r="V94" s="737">
        <f t="shared" si="23"/>
        <v>7.7969048949860014E-3</v>
      </c>
      <c r="W94" s="462">
        <f>'FOND GASO Y D'!H107</f>
        <v>1016476.0131073542</v>
      </c>
      <c r="X94" s="737">
        <f t="shared" si="24"/>
        <v>4.5469479853026146E-3</v>
      </c>
      <c r="Y94" s="462">
        <f>'FOND GASO Y D'!Q107</f>
        <v>0</v>
      </c>
      <c r="Z94" s="737" t="e">
        <f t="shared" si="25"/>
        <v>#DIV/0!</v>
      </c>
      <c r="AA94" s="462">
        <f t="shared" si="26"/>
        <v>71771766.890614241</v>
      </c>
      <c r="AB94" s="737">
        <f t="shared" si="27"/>
        <v>7.6193220160348327E-3</v>
      </c>
    </row>
    <row r="95" spans="1:28" x14ac:dyDescent="0.2">
      <c r="A95" s="221">
        <v>93</v>
      </c>
      <c r="B95" s="598" t="s">
        <v>353</v>
      </c>
      <c r="C95" s="462">
        <f>'FG1'!I108</f>
        <v>42444933.053326622</v>
      </c>
      <c r="D95" s="737">
        <f t="shared" si="14"/>
        <v>6.6567577289999343E-3</v>
      </c>
      <c r="E95" s="462">
        <f>FFM!J108</f>
        <v>11409023.793874716</v>
      </c>
      <c r="F95" s="740">
        <f t="shared" si="15"/>
        <v>6.6321277254026327E-3</v>
      </c>
      <c r="G95" s="462">
        <f>IEPS!I107</f>
        <v>1026488.2869633515</v>
      </c>
      <c r="H95" s="737">
        <f t="shared" si="16"/>
        <v>6.6567577289999352E-3</v>
      </c>
      <c r="I95" s="462">
        <f>ISR!C98</f>
        <v>2574598.2999999998</v>
      </c>
      <c r="J95" s="737">
        <f t="shared" si="17"/>
        <v>5.1070120731876723E-3</v>
      </c>
      <c r="K95" s="462">
        <f>FOFIR!I107</f>
        <v>1985223.2949500142</v>
      </c>
      <c r="L95" s="737">
        <f t="shared" si="18"/>
        <v>6.6567577289999352E-3</v>
      </c>
      <c r="M95" s="462">
        <f>FCISAN!I107</f>
        <v>126024.45390253657</v>
      </c>
      <c r="N95" s="737">
        <f t="shared" si="19"/>
        <v>6.6567577289999326E-3</v>
      </c>
      <c r="O95" s="462">
        <f>ISAN!I107</f>
        <v>629506.92681632342</v>
      </c>
      <c r="P95" s="737">
        <f t="shared" si="20"/>
        <v>6.6567577289999326E-3</v>
      </c>
      <c r="Q95" s="462">
        <f>LOT!I107</f>
        <v>30472.538673325507</v>
      </c>
      <c r="R95" s="737">
        <f t="shared" si="21"/>
        <v>6.6567577289999352E-3</v>
      </c>
      <c r="S95" s="462">
        <f>'ENAJENAC DE INMUE'!I107</f>
        <v>119821.63912199877</v>
      </c>
      <c r="T95" s="737">
        <f t="shared" si="22"/>
        <v>6.6567577289999317E-3</v>
      </c>
      <c r="U95" s="462">
        <f>'IMP BEBIDAS AL'!I107</f>
        <v>46832.628476828948</v>
      </c>
      <c r="V95" s="737">
        <f t="shared" si="23"/>
        <v>6.6567577289999335E-3</v>
      </c>
      <c r="W95" s="462">
        <f>'FOND GASO Y D'!H108</f>
        <v>1534487.8026440963</v>
      </c>
      <c r="X95" s="737">
        <f t="shared" si="24"/>
        <v>6.8641425205644433E-3</v>
      </c>
      <c r="Y95" s="462">
        <f>'FOND GASO Y D'!Q108</f>
        <v>0</v>
      </c>
      <c r="Z95" s="737" t="e">
        <f t="shared" si="25"/>
        <v>#DIV/0!</v>
      </c>
      <c r="AA95" s="462">
        <f t="shared" si="26"/>
        <v>61927412.718749814</v>
      </c>
      <c r="AB95" s="737">
        <f t="shared" si="27"/>
        <v>6.5742410918094617E-3</v>
      </c>
    </row>
    <row r="96" spans="1:28" x14ac:dyDescent="0.2">
      <c r="A96" s="221">
        <v>94</v>
      </c>
      <c r="B96" s="598" t="s">
        <v>354</v>
      </c>
      <c r="C96" s="462">
        <f>'FG1'!I109</f>
        <v>16338564.861878745</v>
      </c>
      <c r="D96" s="737">
        <f t="shared" si="14"/>
        <v>2.5624228877551233E-3</v>
      </c>
      <c r="E96" s="462">
        <f>FFM!J109</f>
        <v>4391739.1749150222</v>
      </c>
      <c r="F96" s="740">
        <f t="shared" si="15"/>
        <v>2.5529419230704291E-3</v>
      </c>
      <c r="G96" s="462">
        <f>IEPS!I108</f>
        <v>395131.86262865522</v>
      </c>
      <c r="H96" s="737">
        <f t="shared" si="16"/>
        <v>2.5624228877551237E-3</v>
      </c>
      <c r="I96" s="462">
        <f>ISR!C99</f>
        <v>1328336.4099999999</v>
      </c>
      <c r="J96" s="737">
        <f t="shared" si="17"/>
        <v>2.6349081653338972E-3</v>
      </c>
      <c r="K96" s="462">
        <f>FOFIR!I108</f>
        <v>764183.07761499216</v>
      </c>
      <c r="L96" s="737">
        <f t="shared" si="18"/>
        <v>2.5624228877551233E-3</v>
      </c>
      <c r="M96" s="462">
        <f>FCISAN!I108</f>
        <v>48511.296075847225</v>
      </c>
      <c r="N96" s="737">
        <f t="shared" si="19"/>
        <v>2.5624228877551228E-3</v>
      </c>
      <c r="O96" s="462">
        <f>ISAN!I108</f>
        <v>242319.6130823995</v>
      </c>
      <c r="P96" s="737">
        <f t="shared" si="20"/>
        <v>2.5624228877551228E-3</v>
      </c>
      <c r="Q96" s="462">
        <f>LOT!I108</f>
        <v>11729.964304448729</v>
      </c>
      <c r="R96" s="737">
        <f t="shared" si="21"/>
        <v>2.5624228877551233E-3</v>
      </c>
      <c r="S96" s="462">
        <f>'ENAJENAC DE INMUE'!I108</f>
        <v>46123.611979592199</v>
      </c>
      <c r="T96" s="737">
        <f t="shared" si="22"/>
        <v>2.562422887755122E-3</v>
      </c>
      <c r="U96" s="462">
        <f>'IMP BEBIDAS AL'!I108</f>
        <v>18027.544938275467</v>
      </c>
      <c r="V96" s="737">
        <f t="shared" si="23"/>
        <v>2.5624228877551233E-3</v>
      </c>
      <c r="W96" s="462">
        <f>'FOND GASO Y D'!H109</f>
        <v>805053.38959159469</v>
      </c>
      <c r="X96" s="737">
        <f t="shared" si="24"/>
        <v>3.6012024294349368E-3</v>
      </c>
      <c r="Y96" s="462">
        <f>'FOND GASO Y D'!Q109</f>
        <v>0</v>
      </c>
      <c r="Z96" s="737" t="e">
        <f t="shared" si="25"/>
        <v>#DIV/0!</v>
      </c>
      <c r="AA96" s="462">
        <f t="shared" si="26"/>
        <v>24389720.807009567</v>
      </c>
      <c r="AB96" s="737">
        <f t="shared" si="27"/>
        <v>2.5892233779476964E-3</v>
      </c>
    </row>
    <row r="97" spans="1:28" x14ac:dyDescent="0.2">
      <c r="A97" s="221">
        <v>95</v>
      </c>
      <c r="B97" s="598" t="s">
        <v>100</v>
      </c>
      <c r="C97" s="462">
        <f>'FG1'!I110</f>
        <v>26384216.763513844</v>
      </c>
      <c r="D97" s="737">
        <f t="shared" si="14"/>
        <v>4.1379106109902357E-3</v>
      </c>
      <c r="E97" s="462">
        <f>FFM!J110</f>
        <v>7091969.1747301584</v>
      </c>
      <c r="F97" s="740">
        <f t="shared" si="15"/>
        <v>4.1226003417295714E-3</v>
      </c>
      <c r="G97" s="462">
        <f>IEPS!I109</f>
        <v>638075.91437174927</v>
      </c>
      <c r="H97" s="737">
        <f t="shared" si="16"/>
        <v>4.1379106109902366E-3</v>
      </c>
      <c r="I97" s="462">
        <f>ISR!C100</f>
        <v>60465.120000000003</v>
      </c>
      <c r="J97" s="737">
        <f t="shared" si="17"/>
        <v>1.1993952526370481E-4</v>
      </c>
      <c r="K97" s="462">
        <f>FOFIR!I109</f>
        <v>1234035.6779955667</v>
      </c>
      <c r="L97" s="737">
        <f t="shared" si="18"/>
        <v>4.1379106109902366E-3</v>
      </c>
      <c r="M97" s="462">
        <f>FCISAN!I109</f>
        <v>78338.125898101323</v>
      </c>
      <c r="N97" s="737">
        <f t="shared" si="19"/>
        <v>4.1379106109902348E-3</v>
      </c>
      <c r="O97" s="462">
        <f>ISAN!I109</f>
        <v>391308.12599911937</v>
      </c>
      <c r="P97" s="737">
        <f t="shared" si="20"/>
        <v>4.137910610990234E-3</v>
      </c>
      <c r="Q97" s="462">
        <f>LOT!I109</f>
        <v>18942.050507688709</v>
      </c>
      <c r="R97" s="737">
        <f t="shared" si="21"/>
        <v>4.1379106109902366E-3</v>
      </c>
      <c r="S97" s="462">
        <f>'ENAJENAC DE INMUE'!I109</f>
        <v>74482.39099782423</v>
      </c>
      <c r="T97" s="737">
        <f t="shared" si="22"/>
        <v>4.1379106109902348E-3</v>
      </c>
      <c r="U97" s="462">
        <f>'IMP BEBIDAS AL'!I109</f>
        <v>29111.65438252288</v>
      </c>
      <c r="V97" s="737">
        <f t="shared" si="23"/>
        <v>4.1379106109902357E-3</v>
      </c>
      <c r="W97" s="462">
        <f>'FOND GASO Y D'!H110</f>
        <v>999637.33470701857</v>
      </c>
      <c r="X97" s="737">
        <f t="shared" si="24"/>
        <v>4.4716244224833534E-3</v>
      </c>
      <c r="Y97" s="462">
        <f>'FOND GASO Y D'!Q110</f>
        <v>0</v>
      </c>
      <c r="Z97" s="737" t="e">
        <f t="shared" si="25"/>
        <v>#DIV/0!</v>
      </c>
      <c r="AA97" s="462">
        <f t="shared" si="26"/>
        <v>37000582.333103597</v>
      </c>
      <c r="AB97" s="737">
        <f t="shared" si="27"/>
        <v>3.9279979271848323E-3</v>
      </c>
    </row>
    <row r="98" spans="1:28" x14ac:dyDescent="0.2">
      <c r="A98" s="221">
        <v>96</v>
      </c>
      <c r="B98" s="598" t="s">
        <v>78</v>
      </c>
      <c r="C98" s="462">
        <f>'FG1'!I111</f>
        <v>42121723.971983418</v>
      </c>
      <c r="D98" s="737">
        <f t="shared" si="14"/>
        <v>6.6060679435404725E-3</v>
      </c>
      <c r="E98" s="462">
        <f>FFM!J111</f>
        <v>11876162.156757168</v>
      </c>
      <c r="F98" s="740">
        <f t="shared" si="15"/>
        <v>6.9036778022580451E-3</v>
      </c>
      <c r="G98" s="462">
        <f>IEPS!I110</f>
        <v>1018671.7983421503</v>
      </c>
      <c r="H98" s="737">
        <f t="shared" si="16"/>
        <v>6.6060679435404751E-3</v>
      </c>
      <c r="I98" s="462">
        <f>ISR!C101</f>
        <v>1007312.19</v>
      </c>
      <c r="J98" s="737">
        <f t="shared" si="17"/>
        <v>1.9981196739697663E-3</v>
      </c>
      <c r="K98" s="462">
        <f>FOFIR!I110</f>
        <v>1970106.2444267923</v>
      </c>
      <c r="L98" s="737">
        <f t="shared" si="18"/>
        <v>6.6060679435404742E-3</v>
      </c>
      <c r="M98" s="462">
        <f>FCISAN!I110</f>
        <v>125064.8046572087</v>
      </c>
      <c r="N98" s="737">
        <f t="shared" si="19"/>
        <v>6.6060679435404725E-3</v>
      </c>
      <c r="O98" s="462">
        <f>ISAN!I110</f>
        <v>624713.36629262415</v>
      </c>
      <c r="P98" s="737">
        <f t="shared" si="20"/>
        <v>6.6060679435404716E-3</v>
      </c>
      <c r="Q98" s="462">
        <f>LOT!I110</f>
        <v>30240.496812912475</v>
      </c>
      <c r="R98" s="737">
        <f t="shared" si="21"/>
        <v>6.6060679435404742E-3</v>
      </c>
      <c r="S98" s="462">
        <f>'ENAJENAC DE INMUE'!I110</f>
        <v>118909.22298372848</v>
      </c>
      <c r="T98" s="737">
        <f t="shared" si="22"/>
        <v>6.6060679435404716E-3</v>
      </c>
      <c r="U98" s="462">
        <f>'IMP BEBIDAS AL'!I110</f>
        <v>46476.008033868995</v>
      </c>
      <c r="V98" s="737">
        <f t="shared" si="23"/>
        <v>6.6060679435404742E-3</v>
      </c>
      <c r="W98" s="462">
        <f>'FOND GASO Y D'!H111</f>
        <v>790257.76023396128</v>
      </c>
      <c r="X98" s="737">
        <f t="shared" si="24"/>
        <v>3.5350179290321022E-3</v>
      </c>
      <c r="Y98" s="462">
        <f>'FOND GASO Y D'!Q111</f>
        <v>0</v>
      </c>
      <c r="Z98" s="737" t="e">
        <f t="shared" si="25"/>
        <v>#DIV/0!</v>
      </c>
      <c r="AA98" s="462">
        <f t="shared" si="26"/>
        <v>59729638.020523831</v>
      </c>
      <c r="AB98" s="737">
        <f t="shared" si="27"/>
        <v>6.3409243731337318E-3</v>
      </c>
    </row>
    <row r="99" spans="1:28" x14ac:dyDescent="0.2">
      <c r="A99" s="221">
        <v>97</v>
      </c>
      <c r="B99" s="598" t="s">
        <v>130</v>
      </c>
      <c r="C99" s="462">
        <f>'FG1'!I112</f>
        <v>68218254.01845482</v>
      </c>
      <c r="D99" s="737">
        <f t="shared" si="14"/>
        <v>1.0698859840954299E-2</v>
      </c>
      <c r="E99" s="462">
        <f>FFM!J112</f>
        <v>18336786.685357746</v>
      </c>
      <c r="F99" s="740">
        <f t="shared" si="15"/>
        <v>1.0659274059542766E-2</v>
      </c>
      <c r="G99" s="462">
        <f>IEPS!I111</f>
        <v>1649790.2969727085</v>
      </c>
      <c r="H99" s="737">
        <f t="shared" si="16"/>
        <v>1.0698859840954301E-2</v>
      </c>
      <c r="I99" s="462">
        <f>ISR!C102</f>
        <v>2442101.16</v>
      </c>
      <c r="J99" s="737">
        <f t="shared" si="17"/>
        <v>4.8441887451202087E-3</v>
      </c>
      <c r="K99" s="462">
        <f>FOFIR!I111</f>
        <v>3190686.3146210033</v>
      </c>
      <c r="L99" s="737">
        <f t="shared" si="18"/>
        <v>1.0698859840954301E-2</v>
      </c>
      <c r="M99" s="462">
        <f>FCISAN!I111</f>
        <v>202548.75176876941</v>
      </c>
      <c r="N99" s="737">
        <f t="shared" si="19"/>
        <v>1.0698859840954297E-2</v>
      </c>
      <c r="O99" s="462">
        <f>ISAN!I111</f>
        <v>1011754.7690787811</v>
      </c>
      <c r="P99" s="737">
        <f t="shared" si="20"/>
        <v>1.0698859840954297E-2</v>
      </c>
      <c r="Q99" s="462">
        <f>LOT!I111</f>
        <v>48976.008071266901</v>
      </c>
      <c r="R99" s="737">
        <f t="shared" si="21"/>
        <v>1.0698859840954301E-2</v>
      </c>
      <c r="S99" s="462">
        <f>'ENAJENAC DE INMUE'!I111</f>
        <v>192579.47713717731</v>
      </c>
      <c r="T99" s="737">
        <f t="shared" si="22"/>
        <v>1.0698859840954296E-2</v>
      </c>
      <c r="U99" s="462">
        <f>'IMP BEBIDAS AL'!I111</f>
        <v>75270.236420689616</v>
      </c>
      <c r="V99" s="737">
        <f t="shared" si="23"/>
        <v>1.0698859840954299E-2</v>
      </c>
      <c r="W99" s="462">
        <f>'FOND GASO Y D'!H112</f>
        <v>1550964.0046013719</v>
      </c>
      <c r="X99" s="737">
        <f t="shared" si="24"/>
        <v>6.9378446368259525E-3</v>
      </c>
      <c r="Y99" s="462">
        <f>'FOND GASO Y D'!Q112</f>
        <v>0</v>
      </c>
      <c r="Z99" s="737" t="e">
        <f t="shared" si="25"/>
        <v>#DIV/0!</v>
      </c>
      <c r="AA99" s="462">
        <f t="shared" si="26"/>
        <v>96919711.722484335</v>
      </c>
      <c r="AB99" s="737">
        <f t="shared" si="27"/>
        <v>1.0289038786523794E-2</v>
      </c>
    </row>
    <row r="100" spans="1:28" x14ac:dyDescent="0.2">
      <c r="A100" s="221">
        <v>98</v>
      </c>
      <c r="B100" s="598" t="s">
        <v>355</v>
      </c>
      <c r="C100" s="462">
        <f>'FG1'!I113</f>
        <v>40437229.328767359</v>
      </c>
      <c r="D100" s="737">
        <f t="shared" si="14"/>
        <v>6.3418839307726954E-3</v>
      </c>
      <c r="E100" s="462">
        <f>FFM!J113</f>
        <v>10869361.2731265</v>
      </c>
      <c r="F100" s="740">
        <f t="shared" si="15"/>
        <v>6.3184189602288349E-3</v>
      </c>
      <c r="G100" s="462">
        <f>IEPS!I112</f>
        <v>977933.97885869397</v>
      </c>
      <c r="H100" s="737">
        <f t="shared" si="16"/>
        <v>6.3418839307726954E-3</v>
      </c>
      <c r="I100" s="462">
        <f>ISR!C103</f>
        <v>1414787.4</v>
      </c>
      <c r="J100" s="737">
        <f t="shared" si="17"/>
        <v>2.8063936548057989E-3</v>
      </c>
      <c r="K100" s="462">
        <f>FOFIR!I112</f>
        <v>1891319.5020439117</v>
      </c>
      <c r="L100" s="737">
        <f t="shared" si="18"/>
        <v>6.3418839307726954E-3</v>
      </c>
      <c r="M100" s="462">
        <f>FCISAN!I112</f>
        <v>120063.32386216678</v>
      </c>
      <c r="N100" s="737">
        <f t="shared" si="19"/>
        <v>6.3418839307726937E-3</v>
      </c>
      <c r="O100" s="462">
        <f>ISAN!I112</f>
        <v>599730.38317053393</v>
      </c>
      <c r="P100" s="737">
        <f t="shared" si="20"/>
        <v>6.3418839307726928E-3</v>
      </c>
      <c r="Q100" s="462">
        <f>LOT!I112</f>
        <v>29031.145673262406</v>
      </c>
      <c r="R100" s="737">
        <f t="shared" si="21"/>
        <v>6.3418839307726954E-3</v>
      </c>
      <c r="S100" s="462">
        <f>'ENAJENAC DE INMUE'!I112</f>
        <v>114153.91075390847</v>
      </c>
      <c r="T100" s="737">
        <f t="shared" si="22"/>
        <v>6.3418839307726928E-3</v>
      </c>
      <c r="U100" s="462">
        <f>'IMP BEBIDAS AL'!I112</f>
        <v>44617.380722622387</v>
      </c>
      <c r="V100" s="737">
        <f t="shared" si="23"/>
        <v>6.3418839307726954E-3</v>
      </c>
      <c r="W100" s="462">
        <f>'FOND GASO Y D'!H113</f>
        <v>1442254.0240872679</v>
      </c>
      <c r="X100" s="737">
        <f t="shared" si="24"/>
        <v>6.4515580737325188E-3</v>
      </c>
      <c r="Y100" s="462">
        <f>'FOND GASO Y D'!Q113</f>
        <v>0</v>
      </c>
      <c r="Z100" s="737" t="e">
        <f t="shared" si="25"/>
        <v>#DIV/0!</v>
      </c>
      <c r="AA100" s="462">
        <f t="shared" si="26"/>
        <v>57940481.651066206</v>
      </c>
      <c r="AB100" s="737">
        <f t="shared" si="27"/>
        <v>6.1509867541154634E-3</v>
      </c>
    </row>
    <row r="101" spans="1:28" x14ac:dyDescent="0.2">
      <c r="A101" s="221">
        <v>99</v>
      </c>
      <c r="B101" s="598" t="s">
        <v>139</v>
      </c>
      <c r="C101" s="462">
        <f>'FG1'!I114</f>
        <v>40840054.303138584</v>
      </c>
      <c r="D101" s="737">
        <f t="shared" si="14"/>
        <v>6.4050600997210801E-3</v>
      </c>
      <c r="E101" s="462">
        <f>FFM!J114</f>
        <v>10977638.972883837</v>
      </c>
      <c r="F101" s="740">
        <f t="shared" si="15"/>
        <v>6.3813613773521126E-3</v>
      </c>
      <c r="G101" s="462">
        <f>IEPS!I113</f>
        <v>987675.89828565787</v>
      </c>
      <c r="H101" s="737">
        <f t="shared" si="16"/>
        <v>6.4050600997210818E-3</v>
      </c>
      <c r="I101" s="462">
        <f>ISR!C104</f>
        <v>1982067.11</v>
      </c>
      <c r="J101" s="737">
        <f t="shared" si="17"/>
        <v>3.9316582554405474E-3</v>
      </c>
      <c r="K101" s="462">
        <f>FOFIR!I113</f>
        <v>1910160.3262691426</v>
      </c>
      <c r="L101" s="737">
        <f t="shared" si="18"/>
        <v>6.4050600997210818E-3</v>
      </c>
      <c r="M101" s="462">
        <f>FCISAN!I113</f>
        <v>121259.36291233225</v>
      </c>
      <c r="N101" s="737">
        <f t="shared" si="19"/>
        <v>6.4050600997210792E-3</v>
      </c>
      <c r="O101" s="462">
        <f>ISAN!I113</f>
        <v>605704.73849211517</v>
      </c>
      <c r="P101" s="737">
        <f t="shared" si="20"/>
        <v>6.4050600997210792E-3</v>
      </c>
      <c r="Q101" s="462">
        <f>LOT!I113</f>
        <v>29320.346261579667</v>
      </c>
      <c r="R101" s="737">
        <f t="shared" si="21"/>
        <v>6.4050600997210818E-3</v>
      </c>
      <c r="S101" s="462">
        <f>'ENAJENAC DE INMUE'!I113</f>
        <v>115291.08179497943</v>
      </c>
      <c r="T101" s="737">
        <f t="shared" si="22"/>
        <v>6.4050600997210792E-3</v>
      </c>
      <c r="U101" s="462">
        <f>'IMP BEBIDAS AL'!I113</f>
        <v>45061.847258644819</v>
      </c>
      <c r="V101" s="737">
        <f t="shared" si="23"/>
        <v>6.405060099721081E-3</v>
      </c>
      <c r="W101" s="462">
        <f>'FOND GASO Y D'!H114</f>
        <v>1065673.9521517789</v>
      </c>
      <c r="X101" s="737">
        <f t="shared" si="24"/>
        <v>4.7670225044594795E-3</v>
      </c>
      <c r="Y101" s="462">
        <f>'FOND GASO Y D'!Q114</f>
        <v>0</v>
      </c>
      <c r="Z101" s="737" t="e">
        <f t="shared" si="25"/>
        <v>#DIV/0!</v>
      </c>
      <c r="AA101" s="462">
        <f t="shared" si="26"/>
        <v>58679907.939448647</v>
      </c>
      <c r="AB101" s="737">
        <f t="shared" si="27"/>
        <v>6.2294845707693827E-3</v>
      </c>
    </row>
    <row r="102" spans="1:28" x14ac:dyDescent="0.2">
      <c r="A102" s="221">
        <v>100</v>
      </c>
      <c r="B102" s="598" t="s">
        <v>125</v>
      </c>
      <c r="C102" s="462">
        <f>'FG1'!I115</f>
        <v>26556765.506454218</v>
      </c>
      <c r="D102" s="737">
        <f t="shared" si="14"/>
        <v>4.1649719136139076E-3</v>
      </c>
      <c r="E102" s="462">
        <f>FFM!J115</f>
        <v>7138349.5686239749</v>
      </c>
      <c r="F102" s="740">
        <f t="shared" si="15"/>
        <v>4.1495615175335364E-3</v>
      </c>
      <c r="G102" s="462">
        <f>IEPS!I114</f>
        <v>642248.83327672235</v>
      </c>
      <c r="H102" s="737">
        <f t="shared" si="16"/>
        <v>4.1649719136139076E-3</v>
      </c>
      <c r="I102" s="462">
        <f>ISR!C105</f>
        <v>1542557.87</v>
      </c>
      <c r="J102" s="737">
        <f t="shared" si="17"/>
        <v>3.059841088872257E-3</v>
      </c>
      <c r="K102" s="462">
        <f>FOFIR!I114</f>
        <v>1242106.0826200526</v>
      </c>
      <c r="L102" s="737">
        <f t="shared" si="18"/>
        <v>4.1649719136139076E-3</v>
      </c>
      <c r="M102" s="462">
        <f>FCISAN!I114</f>
        <v>78850.445261953515</v>
      </c>
      <c r="N102" s="737">
        <f t="shared" si="19"/>
        <v>4.1649719136139058E-3</v>
      </c>
      <c r="O102" s="462">
        <f>ISAN!I114</f>
        <v>393867.22130403947</v>
      </c>
      <c r="P102" s="737">
        <f t="shared" si="20"/>
        <v>4.1649719136139058E-3</v>
      </c>
      <c r="Q102" s="462">
        <f>LOT!I114</f>
        <v>19065.928621377294</v>
      </c>
      <c r="R102" s="737">
        <f t="shared" si="21"/>
        <v>4.1649719136139084E-3</v>
      </c>
      <c r="S102" s="462">
        <f>'ENAJENAC DE INMUE'!I114</f>
        <v>74969.49444505031</v>
      </c>
      <c r="T102" s="737">
        <f t="shared" si="22"/>
        <v>4.1649719136139058E-3</v>
      </c>
      <c r="U102" s="462">
        <f>'IMP BEBIDAS AL'!I114</f>
        <v>29302.040150409892</v>
      </c>
      <c r="V102" s="737">
        <f t="shared" si="23"/>
        <v>4.1649719136139076E-3</v>
      </c>
      <c r="W102" s="462">
        <f>'FOND GASO Y D'!H115</f>
        <v>1084852.2512300476</v>
      </c>
      <c r="X102" s="737">
        <f t="shared" si="24"/>
        <v>4.8528117677878752E-3</v>
      </c>
      <c r="Y102" s="462">
        <f>'FOND GASO Y D'!Q115</f>
        <v>0</v>
      </c>
      <c r="Z102" s="737" t="e">
        <f t="shared" si="25"/>
        <v>#DIV/0!</v>
      </c>
      <c r="AA102" s="462">
        <f t="shared" si="26"/>
        <v>38802935.241987832</v>
      </c>
      <c r="AB102" s="737">
        <f t="shared" si="27"/>
        <v>4.1193364965732074E-3</v>
      </c>
    </row>
    <row r="103" spans="1:28" x14ac:dyDescent="0.2">
      <c r="A103" s="221">
        <v>101</v>
      </c>
      <c r="B103" s="598" t="s">
        <v>66</v>
      </c>
      <c r="C103" s="462">
        <f>'FG1'!I116</f>
        <v>41499726.559774511</v>
      </c>
      <c r="D103" s="737">
        <f t="shared" si="14"/>
        <v>6.5085183473156984E-3</v>
      </c>
      <c r="E103" s="462">
        <f>FFM!J116</f>
        <v>11154956.167910689</v>
      </c>
      <c r="F103" s="740">
        <f t="shared" si="15"/>
        <v>6.4844368294306306E-3</v>
      </c>
      <c r="G103" s="462">
        <f>IEPS!I115</f>
        <v>1003629.4125442553</v>
      </c>
      <c r="H103" s="737">
        <f t="shared" si="16"/>
        <v>6.5085183473156992E-3</v>
      </c>
      <c r="I103" s="462">
        <f>ISR!C106</f>
        <v>2465428.6</v>
      </c>
      <c r="J103" s="737">
        <f t="shared" si="17"/>
        <v>4.8904614074289504E-3</v>
      </c>
      <c r="K103" s="462">
        <f>FOFIR!I115</f>
        <v>1941014.3443273297</v>
      </c>
      <c r="L103" s="737">
        <f t="shared" si="18"/>
        <v>6.5085183473156992E-3</v>
      </c>
      <c r="M103" s="462">
        <f>FCISAN!I115</f>
        <v>123218.01450904342</v>
      </c>
      <c r="N103" s="737">
        <f t="shared" si="19"/>
        <v>6.5085183473156975E-3</v>
      </c>
      <c r="O103" s="462">
        <f>ISAN!I115</f>
        <v>615488.4329194132</v>
      </c>
      <c r="P103" s="737">
        <f t="shared" si="20"/>
        <v>6.5085183473156966E-3</v>
      </c>
      <c r="Q103" s="462">
        <f>LOT!I115</f>
        <v>29793.945509028184</v>
      </c>
      <c r="R103" s="737">
        <f t="shared" si="21"/>
        <v>6.5085183473156992E-3</v>
      </c>
      <c r="S103" s="462">
        <f>'ENAJENAC DE INMUE'!I115</f>
        <v>117153.33025168255</v>
      </c>
      <c r="T103" s="737">
        <f t="shared" si="22"/>
        <v>6.5085183473156975E-3</v>
      </c>
      <c r="U103" s="462">
        <f>'IMP BEBIDAS AL'!I115</f>
        <v>45789.712365009502</v>
      </c>
      <c r="V103" s="737">
        <f t="shared" si="23"/>
        <v>6.5085183473156984E-3</v>
      </c>
      <c r="W103" s="462">
        <f>'FOND GASO Y D'!H116</f>
        <v>885292.49312352645</v>
      </c>
      <c r="X103" s="737">
        <f t="shared" si="24"/>
        <v>3.9601317356284839E-3</v>
      </c>
      <c r="Y103" s="462">
        <f>'FOND GASO Y D'!Q116</f>
        <v>0</v>
      </c>
      <c r="Z103" s="737" t="e">
        <f t="shared" si="25"/>
        <v>#DIV/0!</v>
      </c>
      <c r="AA103" s="462">
        <f t="shared" si="26"/>
        <v>59881491.013234496</v>
      </c>
      <c r="AB103" s="737">
        <f t="shared" si="27"/>
        <v>6.3570451529429365E-3</v>
      </c>
    </row>
    <row r="104" spans="1:28" x14ac:dyDescent="0.2">
      <c r="A104" s="221">
        <v>102</v>
      </c>
      <c r="B104" s="598" t="s">
        <v>117</v>
      </c>
      <c r="C104" s="462">
        <f>'FG1'!I117</f>
        <v>316870099.58566058</v>
      </c>
      <c r="D104" s="737">
        <f t="shared" si="14"/>
        <v>4.9695625196433342E-2</v>
      </c>
      <c r="E104" s="462">
        <f>FFM!J117</f>
        <v>85173382.207912669</v>
      </c>
      <c r="F104" s="740">
        <f t="shared" si="15"/>
        <v>4.951175138320655E-2</v>
      </c>
      <c r="G104" s="462">
        <f>IEPS!I116</f>
        <v>7663186.6824937509</v>
      </c>
      <c r="H104" s="737">
        <f t="shared" si="16"/>
        <v>4.9695625196433363E-2</v>
      </c>
      <c r="I104" s="462">
        <f>ISR!C107</f>
        <v>13581100.02</v>
      </c>
      <c r="J104" s="737">
        <f t="shared" si="17"/>
        <v>2.693967512108951E-2</v>
      </c>
      <c r="K104" s="462">
        <f>FOFIR!I116</f>
        <v>14820565.32826318</v>
      </c>
      <c r="L104" s="737">
        <f t="shared" si="18"/>
        <v>4.9695625196433363E-2</v>
      </c>
      <c r="M104" s="462">
        <f>FCISAN!I116</f>
        <v>940827.99490233802</v>
      </c>
      <c r="N104" s="737">
        <f t="shared" si="19"/>
        <v>4.9695625196433335E-2</v>
      </c>
      <c r="O104" s="462">
        <f>ISAN!I116</f>
        <v>4699546.1705532819</v>
      </c>
      <c r="P104" s="737">
        <f t="shared" si="20"/>
        <v>4.9695625196433335E-2</v>
      </c>
      <c r="Q104" s="462">
        <f>LOT!I116</f>
        <v>227490.90808820986</v>
      </c>
      <c r="R104" s="737">
        <f t="shared" si="21"/>
        <v>4.9695625196433349E-2</v>
      </c>
      <c r="S104" s="462">
        <f>'ENAJENAC DE INMUE'!I116</f>
        <v>894521.25353580003</v>
      </c>
      <c r="T104" s="737">
        <f t="shared" si="22"/>
        <v>4.9695625196433335E-2</v>
      </c>
      <c r="U104" s="462">
        <f>'IMP BEBIDAS AL'!I116</f>
        <v>349626.17636047746</v>
      </c>
      <c r="V104" s="737">
        <f t="shared" si="23"/>
        <v>4.9695625196433342E-2</v>
      </c>
      <c r="W104" s="462">
        <f>'FOND GASO Y D'!H117</f>
        <v>12350455.339517182</v>
      </c>
      <c r="X104" s="737">
        <f t="shared" si="24"/>
        <v>5.5246633761594346E-2</v>
      </c>
      <c r="Y104" s="462">
        <f>'FOND GASO Y D'!Q117</f>
        <v>0</v>
      </c>
      <c r="Z104" s="737" t="e">
        <f t="shared" si="25"/>
        <v>#DIV/0!</v>
      </c>
      <c r="AA104" s="462">
        <f t="shared" si="26"/>
        <v>457570801.66728741</v>
      </c>
      <c r="AB104" s="737">
        <f t="shared" si="27"/>
        <v>4.8575915489885935E-2</v>
      </c>
    </row>
    <row r="105" spans="1:28" ht="25.5" x14ac:dyDescent="0.2">
      <c r="A105" s="221">
        <v>103</v>
      </c>
      <c r="B105" s="598" t="s">
        <v>356</v>
      </c>
      <c r="C105" s="462">
        <f>'FG1'!I118</f>
        <v>36597341.446104348</v>
      </c>
      <c r="D105" s="737">
        <f t="shared" si="14"/>
        <v>5.7396635595143445E-3</v>
      </c>
      <c r="E105" s="462">
        <f>FFM!J118</f>
        <v>9837215.1706913132</v>
      </c>
      <c r="F105" s="740">
        <f t="shared" si="15"/>
        <v>5.7184268043441403E-3</v>
      </c>
      <c r="G105" s="462">
        <f>IEPS!I117</f>
        <v>885070.12795206229</v>
      </c>
      <c r="H105" s="737">
        <f t="shared" si="16"/>
        <v>5.7396635595143445E-3</v>
      </c>
      <c r="I105" s="462">
        <f>ISR!C108</f>
        <v>1303732.8</v>
      </c>
      <c r="J105" s="737">
        <f t="shared" si="17"/>
        <v>2.5861040729385902E-3</v>
      </c>
      <c r="K105" s="462">
        <f>FOFIR!I117</f>
        <v>1711721.2714357604</v>
      </c>
      <c r="L105" s="737">
        <f t="shared" si="18"/>
        <v>5.7396635595143445E-3</v>
      </c>
      <c r="M105" s="462">
        <f>FCISAN!I117</f>
        <v>108662.20390159126</v>
      </c>
      <c r="N105" s="737">
        <f t="shared" si="19"/>
        <v>5.7396635595143427E-3</v>
      </c>
      <c r="O105" s="462">
        <f>ISAN!I117</f>
        <v>542780.45189611102</v>
      </c>
      <c r="P105" s="737">
        <f t="shared" si="20"/>
        <v>5.7396635595143419E-3</v>
      </c>
      <c r="Q105" s="462">
        <f>LOT!I117</f>
        <v>26274.370633502698</v>
      </c>
      <c r="R105" s="737">
        <f t="shared" si="21"/>
        <v>5.7396635595143445E-3</v>
      </c>
      <c r="S105" s="462">
        <f>'ENAJENAC DE INMUE'!I117</f>
        <v>103313.94407125816</v>
      </c>
      <c r="T105" s="737">
        <f t="shared" si="22"/>
        <v>5.7396635595143419E-3</v>
      </c>
      <c r="U105" s="462">
        <f>'IMP BEBIDAS AL'!I117</f>
        <v>40380.5489110255</v>
      </c>
      <c r="V105" s="737">
        <f t="shared" si="23"/>
        <v>5.7396635595143436E-3</v>
      </c>
      <c r="W105" s="462">
        <f>'FOND GASO Y D'!H118</f>
        <v>1366858.9239307754</v>
      </c>
      <c r="X105" s="737">
        <f t="shared" si="24"/>
        <v>6.1142971897198565E-3</v>
      </c>
      <c r="Y105" s="462">
        <f>'FOND GASO Y D'!Q118</f>
        <v>0</v>
      </c>
      <c r="Z105" s="737" t="e">
        <f t="shared" si="25"/>
        <v>#DIV/0!</v>
      </c>
      <c r="AA105" s="462">
        <f t="shared" si="26"/>
        <v>52523351.259527743</v>
      </c>
      <c r="AB105" s="737">
        <f t="shared" si="27"/>
        <v>5.5759018336217752E-3</v>
      </c>
    </row>
    <row r="106" spans="1:28" x14ac:dyDescent="0.2">
      <c r="A106" s="221">
        <v>104</v>
      </c>
      <c r="B106" s="598" t="s">
        <v>109</v>
      </c>
      <c r="C106" s="462">
        <f>'FG1'!I119</f>
        <v>28624131.769992739</v>
      </c>
      <c r="D106" s="737">
        <f t="shared" si="14"/>
        <v>4.4892027549299635E-3</v>
      </c>
      <c r="E106" s="462">
        <f>FFM!J119</f>
        <v>7694049.1349710645</v>
      </c>
      <c r="F106" s="740">
        <f t="shared" si="15"/>
        <v>4.472592704736723E-3</v>
      </c>
      <c r="G106" s="462">
        <f>IEPS!I118</f>
        <v>692246.0202606034</v>
      </c>
      <c r="H106" s="737">
        <f t="shared" si="16"/>
        <v>4.4892027549299643E-3</v>
      </c>
      <c r="I106" s="462">
        <f>ISR!C109</f>
        <v>2586111.64</v>
      </c>
      <c r="J106" s="737">
        <f t="shared" si="17"/>
        <v>5.1298501083027878E-3</v>
      </c>
      <c r="K106" s="462">
        <f>FOFIR!I118</f>
        <v>1338800.3961771992</v>
      </c>
      <c r="L106" s="737">
        <f t="shared" si="18"/>
        <v>4.4892027549299652E-3</v>
      </c>
      <c r="M106" s="462">
        <f>FCISAN!I118</f>
        <v>84988.721038042902</v>
      </c>
      <c r="N106" s="737">
        <f t="shared" si="19"/>
        <v>4.4892027549299626E-3</v>
      </c>
      <c r="O106" s="462">
        <f>ISAN!I118</f>
        <v>424528.62867459212</v>
      </c>
      <c r="P106" s="737">
        <f t="shared" si="20"/>
        <v>4.4892027549299626E-3</v>
      </c>
      <c r="Q106" s="462">
        <f>LOT!I118</f>
        <v>20550.15521536101</v>
      </c>
      <c r="R106" s="737">
        <f t="shared" si="21"/>
        <v>4.4892027549299635E-3</v>
      </c>
      <c r="S106" s="462">
        <f>'ENAJENAC DE INMUE'!I118</f>
        <v>80805.649588739325</v>
      </c>
      <c r="T106" s="737">
        <f t="shared" si="22"/>
        <v>4.4892027549299626E-3</v>
      </c>
      <c r="U106" s="462">
        <f>'IMP BEBIDAS AL'!I118</f>
        <v>31583.117988939819</v>
      </c>
      <c r="V106" s="737">
        <f t="shared" si="23"/>
        <v>4.4892027549299635E-3</v>
      </c>
      <c r="W106" s="462">
        <f>'FOND GASO Y D'!H119</f>
        <v>1116255.8921606147</v>
      </c>
      <c r="X106" s="737">
        <f t="shared" si="24"/>
        <v>4.9932880013823112E-3</v>
      </c>
      <c r="Y106" s="462">
        <f>'FOND GASO Y D'!Q119</f>
        <v>0</v>
      </c>
      <c r="Z106" s="737" t="e">
        <f t="shared" si="25"/>
        <v>#DIV/0!</v>
      </c>
      <c r="AA106" s="462">
        <f t="shared" si="26"/>
        <v>42694051.126067899</v>
      </c>
      <c r="AB106" s="737">
        <f t="shared" si="27"/>
        <v>4.5324190526666005E-3</v>
      </c>
    </row>
    <row r="107" spans="1:28" x14ac:dyDescent="0.2">
      <c r="A107" s="221">
        <v>105</v>
      </c>
      <c r="B107" s="598" t="s">
        <v>150</v>
      </c>
      <c r="C107" s="462">
        <f>'FG1'!I120</f>
        <v>32956940.763117444</v>
      </c>
      <c r="D107" s="737">
        <f t="shared" si="14"/>
        <v>5.1687293244977945E-3</v>
      </c>
      <c r="E107" s="462">
        <f>FFM!J120</f>
        <v>8858690.408754386</v>
      </c>
      <c r="F107" s="740">
        <f t="shared" si="15"/>
        <v>5.149605025997153E-3</v>
      </c>
      <c r="G107" s="462">
        <f>IEPS!I119</f>
        <v>797030.67560460325</v>
      </c>
      <c r="H107" s="737">
        <f t="shared" si="16"/>
        <v>5.1687293244977953E-3</v>
      </c>
      <c r="I107" s="462">
        <f>ISR!C110</f>
        <v>2024010.77</v>
      </c>
      <c r="J107" s="737">
        <f t="shared" si="17"/>
        <v>4.0148583329103725E-3</v>
      </c>
      <c r="K107" s="462">
        <f>FOFIR!I119</f>
        <v>1541453.403896949</v>
      </c>
      <c r="L107" s="737">
        <f t="shared" si="18"/>
        <v>5.1687293244977953E-3</v>
      </c>
      <c r="M107" s="462">
        <f>FCISAN!I119</f>
        <v>97853.387040378468</v>
      </c>
      <c r="N107" s="737">
        <f t="shared" si="19"/>
        <v>5.1687293244977936E-3</v>
      </c>
      <c r="O107" s="462">
        <f>ISAN!I119</f>
        <v>488789.14406561101</v>
      </c>
      <c r="P107" s="737">
        <f t="shared" si="20"/>
        <v>5.1687293244977945E-3</v>
      </c>
      <c r="Q107" s="462">
        <f>LOT!I119</f>
        <v>23660.813664067817</v>
      </c>
      <c r="R107" s="737">
        <f t="shared" si="21"/>
        <v>5.1687293244977953E-3</v>
      </c>
      <c r="S107" s="462">
        <f>'ENAJENAC DE INMUE'!I119</f>
        <v>93037.127840960282</v>
      </c>
      <c r="T107" s="737">
        <f t="shared" si="22"/>
        <v>5.1687293244977936E-3</v>
      </c>
      <c r="U107" s="462">
        <f>'IMP BEBIDAS AL'!I119</f>
        <v>36363.826055580743</v>
      </c>
      <c r="V107" s="737">
        <f t="shared" si="23"/>
        <v>5.1687293244977953E-3</v>
      </c>
      <c r="W107" s="462">
        <f>'FOND GASO Y D'!H120</f>
        <v>1284906.2953952868</v>
      </c>
      <c r="X107" s="737">
        <f t="shared" si="24"/>
        <v>5.747702863435112E-3</v>
      </c>
      <c r="Y107" s="462">
        <f>'FOND GASO Y D'!Q120</f>
        <v>0</v>
      </c>
      <c r="Z107" s="737" t="e">
        <f t="shared" si="25"/>
        <v>#DIV/0!</v>
      </c>
      <c r="AA107" s="462">
        <f t="shared" si="26"/>
        <v>48202736.615435265</v>
      </c>
      <c r="AB107" s="737">
        <f t="shared" si="27"/>
        <v>5.1172235022006029E-3</v>
      </c>
    </row>
    <row r="108" spans="1:28" x14ac:dyDescent="0.2">
      <c r="A108" s="221">
        <v>106</v>
      </c>
      <c r="B108" s="598" t="s">
        <v>357</v>
      </c>
      <c r="C108" s="462">
        <f>'FG1'!I121</f>
        <v>45339754.460194029</v>
      </c>
      <c r="D108" s="737">
        <f t="shared" si="14"/>
        <v>7.1107606779509582E-3</v>
      </c>
      <c r="E108" s="462">
        <f>FFM!J121</f>
        <v>12187139.906544134</v>
      </c>
      <c r="F108" s="740">
        <f t="shared" si="15"/>
        <v>7.0844508634425388E-3</v>
      </c>
      <c r="G108" s="462">
        <f>IEPS!I120</f>
        <v>1096496.6496403962</v>
      </c>
      <c r="H108" s="737">
        <f t="shared" si="16"/>
        <v>7.1107606779509608E-3</v>
      </c>
      <c r="I108" s="462">
        <f>ISR!C111</f>
        <v>3955200</v>
      </c>
      <c r="J108" s="737">
        <f t="shared" si="17"/>
        <v>7.8455944571515814E-3</v>
      </c>
      <c r="K108" s="462">
        <f>FOFIR!I120</f>
        <v>2120619.123809326</v>
      </c>
      <c r="L108" s="737">
        <f t="shared" si="18"/>
        <v>7.11076067795096E-3</v>
      </c>
      <c r="M108" s="462">
        <f>FCISAN!I120</f>
        <v>134619.55020030879</v>
      </c>
      <c r="N108" s="737">
        <f t="shared" si="19"/>
        <v>7.1107606779509565E-3</v>
      </c>
      <c r="O108" s="462">
        <f>ISAN!I120</f>
        <v>672440.44081738696</v>
      </c>
      <c r="P108" s="737">
        <f t="shared" si="20"/>
        <v>7.1107606779509556E-3</v>
      </c>
      <c r="Q108" s="462">
        <f>LOT!I120</f>
        <v>32550.821071893784</v>
      </c>
      <c r="R108" s="737">
        <f t="shared" si="21"/>
        <v>7.1107606779509591E-3</v>
      </c>
      <c r="S108" s="462">
        <f>'ENAJENAC DE INMUE'!I120</f>
        <v>127993.69220311721</v>
      </c>
      <c r="T108" s="737">
        <f t="shared" si="22"/>
        <v>7.1107606779509565E-3</v>
      </c>
      <c r="U108" s="462">
        <f>'IMP BEBIDAS AL'!I120</f>
        <v>50026.698668535078</v>
      </c>
      <c r="V108" s="737">
        <f t="shared" si="23"/>
        <v>7.1107606779509582E-3</v>
      </c>
      <c r="W108" s="462">
        <f>'FOND GASO Y D'!H121</f>
        <v>1657960.4601119189</v>
      </c>
      <c r="X108" s="737">
        <f t="shared" si="24"/>
        <v>7.416466179828188E-3</v>
      </c>
      <c r="Y108" s="462">
        <f>'FOND GASO Y D'!Q121</f>
        <v>0</v>
      </c>
      <c r="Z108" s="737" t="e">
        <f t="shared" si="25"/>
        <v>#DIV/0!</v>
      </c>
      <c r="AA108" s="462">
        <f t="shared" si="26"/>
        <v>67374801.803261042</v>
      </c>
      <c r="AB108" s="737">
        <f t="shared" si="27"/>
        <v>7.1525382883210337E-3</v>
      </c>
    </row>
    <row r="109" spans="1:28" x14ac:dyDescent="0.2">
      <c r="A109" s="221">
        <v>107</v>
      </c>
      <c r="B109" s="598" t="s">
        <v>358</v>
      </c>
      <c r="C109" s="462">
        <f>'FG1'!I122</f>
        <v>85342059.131001532</v>
      </c>
      <c r="D109" s="737">
        <f t="shared" si="14"/>
        <v>1.338443415649442E-2</v>
      </c>
      <c r="E109" s="462">
        <f>FFM!J122</f>
        <v>22939595.216714531</v>
      </c>
      <c r="F109" s="740">
        <f t="shared" si="15"/>
        <v>1.3334911750115393E-2</v>
      </c>
      <c r="G109" s="462">
        <f>IEPS!I121</f>
        <v>2063912.4103045552</v>
      </c>
      <c r="H109" s="737">
        <f t="shared" si="16"/>
        <v>1.3384434156494426E-2</v>
      </c>
      <c r="I109" s="462">
        <f>ISR!C112</f>
        <v>6334353.7400000002</v>
      </c>
      <c r="J109" s="737">
        <f t="shared" si="17"/>
        <v>1.25649197492368E-2</v>
      </c>
      <c r="K109" s="462">
        <f>FOFIR!I121</f>
        <v>3991596.4436322111</v>
      </c>
      <c r="L109" s="737">
        <f t="shared" si="18"/>
        <v>1.3384434156494424E-2</v>
      </c>
      <c r="M109" s="462">
        <f>FCISAN!I121</f>
        <v>253391.52693184698</v>
      </c>
      <c r="N109" s="737">
        <f t="shared" si="19"/>
        <v>1.338443415649442E-2</v>
      </c>
      <c r="O109" s="462">
        <f>ISAN!I121</f>
        <v>1265720.3936271297</v>
      </c>
      <c r="P109" s="737">
        <f t="shared" si="20"/>
        <v>1.338443415649442E-2</v>
      </c>
      <c r="Q109" s="462">
        <f>LOT!I121</f>
        <v>61269.720794785324</v>
      </c>
      <c r="R109" s="737">
        <f t="shared" si="21"/>
        <v>1.3384434156494426E-2</v>
      </c>
      <c r="S109" s="462">
        <f>'ENAJENAC DE INMUE'!I121</f>
        <v>240919.81481689951</v>
      </c>
      <c r="T109" s="737">
        <f t="shared" si="22"/>
        <v>1.3384434156494417E-2</v>
      </c>
      <c r="U109" s="462">
        <f>'IMP BEBIDAS AL'!I121</f>
        <v>94164.19490421399</v>
      </c>
      <c r="V109" s="737">
        <f t="shared" si="23"/>
        <v>1.338443415649442E-2</v>
      </c>
      <c r="W109" s="462">
        <f>'FOND GASO Y D'!H122</f>
        <v>3125199.1968112183</v>
      </c>
      <c r="X109" s="737">
        <f t="shared" si="24"/>
        <v>1.3979787037148049E-2</v>
      </c>
      <c r="Y109" s="462">
        <f>'FOND GASO Y D'!Q122</f>
        <v>0</v>
      </c>
      <c r="Z109" s="737" t="e">
        <f t="shared" si="25"/>
        <v>#DIV/0!</v>
      </c>
      <c r="AA109" s="462">
        <f t="shared" si="26"/>
        <v>125712181.78953892</v>
      </c>
      <c r="AB109" s="737">
        <f t="shared" si="27"/>
        <v>1.3345659942476157E-2</v>
      </c>
    </row>
    <row r="110" spans="1:28" x14ac:dyDescent="0.2">
      <c r="A110" s="221">
        <v>108</v>
      </c>
      <c r="B110" s="598" t="s">
        <v>149</v>
      </c>
      <c r="C110" s="462">
        <f>'FG1'!I123</f>
        <v>209368108.04798985</v>
      </c>
      <c r="D110" s="737">
        <f t="shared" si="14"/>
        <v>3.2835786775856808E-2</v>
      </c>
      <c r="E110" s="462">
        <f>FFM!J123</f>
        <v>56277288.113447413</v>
      </c>
      <c r="F110" s="740">
        <f t="shared" si="15"/>
        <v>3.2714294364786144E-2</v>
      </c>
      <c r="G110" s="462">
        <f>IEPS!I122</f>
        <v>5063358.4532911666</v>
      </c>
      <c r="H110" s="737">
        <f t="shared" si="16"/>
        <v>3.2835786775856815E-2</v>
      </c>
      <c r="I110" s="462">
        <f>ISR!C113</f>
        <v>30718488.25</v>
      </c>
      <c r="J110" s="737">
        <f t="shared" si="17"/>
        <v>6.0933657247743724E-2</v>
      </c>
      <c r="K110" s="462">
        <f>FOFIR!I122</f>
        <v>9792510.32848325</v>
      </c>
      <c r="L110" s="737">
        <f t="shared" si="18"/>
        <v>3.2835786775856815E-2</v>
      </c>
      <c r="M110" s="462">
        <f>FCISAN!I122</f>
        <v>621640.78450083057</v>
      </c>
      <c r="N110" s="737">
        <f t="shared" si="19"/>
        <v>3.2835786775856801E-2</v>
      </c>
      <c r="O110" s="462">
        <f>ISAN!I122</f>
        <v>3105168.6217775373</v>
      </c>
      <c r="P110" s="737">
        <f t="shared" si="20"/>
        <v>3.2835786775856808E-2</v>
      </c>
      <c r="Q110" s="462">
        <f>LOT!I122</f>
        <v>150311.88201988069</v>
      </c>
      <c r="R110" s="737">
        <f t="shared" si="21"/>
        <v>3.2835786775856815E-2</v>
      </c>
      <c r="S110" s="462">
        <f>'ENAJENAC DE INMUE'!I122</f>
        <v>591044.16196542245</v>
      </c>
      <c r="T110" s="737">
        <f t="shared" si="22"/>
        <v>3.2835786775856801E-2</v>
      </c>
      <c r="U110" s="462">
        <f>'IMP BEBIDAS AL'!I122</f>
        <v>231011.29189646826</v>
      </c>
      <c r="V110" s="737">
        <f t="shared" si="23"/>
        <v>3.2835786775856808E-2</v>
      </c>
      <c r="W110" s="462">
        <f>'FOND GASO Y D'!H123</f>
        <v>7344128.4223951017</v>
      </c>
      <c r="X110" s="737">
        <f t="shared" si="24"/>
        <v>3.2852098331302454E-2</v>
      </c>
      <c r="Y110" s="462">
        <f>'FOND GASO Y D'!Q123</f>
        <v>0</v>
      </c>
      <c r="Z110" s="737" t="e">
        <f t="shared" si="25"/>
        <v>#DIV/0!</v>
      </c>
      <c r="AA110" s="462">
        <f t="shared" si="26"/>
        <v>323263058.35776693</v>
      </c>
      <c r="AB110" s="737">
        <f t="shared" si="27"/>
        <v>3.4317746994719518E-2</v>
      </c>
    </row>
    <row r="111" spans="1:28" x14ac:dyDescent="0.2">
      <c r="A111" s="221">
        <v>109</v>
      </c>
      <c r="B111" s="598" t="s">
        <v>50</v>
      </c>
      <c r="C111" s="462">
        <f>'FG1'!I124</f>
        <v>11435970.701472016</v>
      </c>
      <c r="D111" s="737">
        <f t="shared" si="14"/>
        <v>1.7935353145685838E-3</v>
      </c>
      <c r="E111" s="462">
        <f>FFM!J124</f>
        <v>3073941.9867908717</v>
      </c>
      <c r="F111" s="740">
        <f t="shared" si="15"/>
        <v>1.7868992339046799E-3</v>
      </c>
      <c r="G111" s="462">
        <f>IEPS!I123</f>
        <v>276567.52245005721</v>
      </c>
      <c r="H111" s="737">
        <f t="shared" si="16"/>
        <v>1.7935353145685838E-3</v>
      </c>
      <c r="I111" s="462">
        <f>ISR!C114</f>
        <v>292202.76</v>
      </c>
      <c r="J111" s="737">
        <f t="shared" si="17"/>
        <v>5.7961780800475169E-4</v>
      </c>
      <c r="K111" s="462">
        <f>FOFIR!I123</f>
        <v>534880.22724419762</v>
      </c>
      <c r="L111" s="737">
        <f t="shared" si="18"/>
        <v>1.7935353145685838E-3</v>
      </c>
      <c r="M111" s="462">
        <f>FCISAN!I123</f>
        <v>33954.864781803772</v>
      </c>
      <c r="N111" s="737">
        <f t="shared" si="19"/>
        <v>1.7935353145685834E-3</v>
      </c>
      <c r="O111" s="462">
        <f>ISAN!I123</f>
        <v>169608.53165678252</v>
      </c>
      <c r="P111" s="737">
        <f t="shared" si="20"/>
        <v>1.7935353145685834E-3</v>
      </c>
      <c r="Q111" s="462">
        <f>LOT!I123</f>
        <v>8210.2393477638216</v>
      </c>
      <c r="R111" s="737">
        <f t="shared" si="21"/>
        <v>1.793535314568584E-3</v>
      </c>
      <c r="S111" s="462">
        <f>'ENAJENAC DE INMUE'!I123</f>
        <v>32283.635662234497</v>
      </c>
      <c r="T111" s="737">
        <f t="shared" si="22"/>
        <v>1.7935353145685832E-3</v>
      </c>
      <c r="U111" s="462">
        <f>'IMP BEBIDAS AL'!I123</f>
        <v>12618.150827592461</v>
      </c>
      <c r="V111" s="737">
        <f t="shared" si="23"/>
        <v>1.7935353145685838E-3</v>
      </c>
      <c r="W111" s="462">
        <f>'FOND GASO Y D'!H124</f>
        <v>700001.12591200601</v>
      </c>
      <c r="X111" s="737">
        <f t="shared" si="24"/>
        <v>3.1312777361515586E-3</v>
      </c>
      <c r="Y111" s="462">
        <f>'FOND GASO Y D'!Q124</f>
        <v>0</v>
      </c>
      <c r="Z111" s="737" t="e">
        <f t="shared" si="25"/>
        <v>#DIV/0!</v>
      </c>
      <c r="AA111" s="462">
        <f t="shared" si="26"/>
        <v>16570239.746145327</v>
      </c>
      <c r="AB111" s="737">
        <f t="shared" si="27"/>
        <v>1.7591038646324736E-3</v>
      </c>
    </row>
    <row r="112" spans="1:28" x14ac:dyDescent="0.2">
      <c r="A112" s="221">
        <v>110</v>
      </c>
      <c r="B112" s="598" t="s">
        <v>111</v>
      </c>
      <c r="C112" s="462">
        <f>'FG1'!I125</f>
        <v>63483924.395392917</v>
      </c>
      <c r="D112" s="737">
        <f t="shared" si="14"/>
        <v>9.9563616664288326E-3</v>
      </c>
      <c r="E112" s="462">
        <f>FFM!J125</f>
        <v>17064218.314247414</v>
      </c>
      <c r="F112" s="740">
        <f t="shared" si="15"/>
        <v>9.9195231282630473E-3</v>
      </c>
      <c r="G112" s="462">
        <f>IEPS!I124</f>
        <v>1535295.2664683363</v>
      </c>
      <c r="H112" s="737">
        <f t="shared" si="16"/>
        <v>9.9563616664288326E-3</v>
      </c>
      <c r="I112" s="462">
        <f>ISR!C115</f>
        <v>3967517.77</v>
      </c>
      <c r="J112" s="737">
        <f t="shared" si="17"/>
        <v>7.8700281717643608E-3</v>
      </c>
      <c r="K112" s="462">
        <f>FOFIR!I124</f>
        <v>2969253.4891323601</v>
      </c>
      <c r="L112" s="737">
        <f t="shared" si="18"/>
        <v>9.9563616664288344E-3</v>
      </c>
      <c r="M112" s="462">
        <f>FCISAN!I124</f>
        <v>188491.91948230134</v>
      </c>
      <c r="N112" s="737">
        <f t="shared" si="19"/>
        <v>9.9563616664288309E-3</v>
      </c>
      <c r="O112" s="462">
        <f>ISAN!I124</f>
        <v>941539.24328669591</v>
      </c>
      <c r="P112" s="737">
        <f t="shared" si="20"/>
        <v>9.9563616664288292E-3</v>
      </c>
      <c r="Q112" s="462">
        <f>LOT!I124</f>
        <v>45577.08546371392</v>
      </c>
      <c r="R112" s="737">
        <f t="shared" si="21"/>
        <v>9.9563616664288326E-3</v>
      </c>
      <c r="S112" s="462">
        <f>'ENAJENAC DE INMUE'!I124</f>
        <v>179214.50999571892</v>
      </c>
      <c r="T112" s="737">
        <f t="shared" si="22"/>
        <v>9.9563616664288292E-3</v>
      </c>
      <c r="U112" s="462">
        <f>'IMP BEBIDAS AL'!I124</f>
        <v>70046.500997544063</v>
      </c>
      <c r="V112" s="737">
        <f t="shared" si="23"/>
        <v>9.9563616664288309E-3</v>
      </c>
      <c r="W112" s="462">
        <f>'FOND GASO Y D'!H125</f>
        <v>2208331.5102927503</v>
      </c>
      <c r="X112" s="737">
        <f t="shared" si="24"/>
        <v>9.8784116714276202E-3</v>
      </c>
      <c r="Y112" s="462">
        <f>'FOND GASO Y D'!Q125</f>
        <v>0</v>
      </c>
      <c r="Z112" s="737" t="e">
        <f t="shared" si="25"/>
        <v>#DIV/0!</v>
      </c>
      <c r="AA112" s="462">
        <f t="shared" si="26"/>
        <v>92653410.004759744</v>
      </c>
      <c r="AB112" s="737">
        <f t="shared" si="27"/>
        <v>9.8361263390087644E-3</v>
      </c>
    </row>
    <row r="113" spans="1:28" x14ac:dyDescent="0.2">
      <c r="A113" s="221">
        <v>111</v>
      </c>
      <c r="B113" s="598" t="s">
        <v>140</v>
      </c>
      <c r="C113" s="462">
        <f>'FG1'!I126</f>
        <v>30277577.446205579</v>
      </c>
      <c r="D113" s="737">
        <f t="shared" si="14"/>
        <v>4.7485172712417919E-3</v>
      </c>
      <c r="E113" s="462">
        <f>FFM!J126</f>
        <v>8138488.5463394616</v>
      </c>
      <c r="F113" s="740">
        <f t="shared" si="15"/>
        <v>4.7309477573381966E-3</v>
      </c>
      <c r="G113" s="462">
        <f>IEPS!I125</f>
        <v>732232.95150703285</v>
      </c>
      <c r="H113" s="737">
        <f t="shared" si="16"/>
        <v>4.7485172712417919E-3</v>
      </c>
      <c r="I113" s="462">
        <f>ISR!C116</f>
        <v>1191589.49</v>
      </c>
      <c r="J113" s="737">
        <f t="shared" si="17"/>
        <v>2.3636549094721076E-3</v>
      </c>
      <c r="K113" s="462">
        <f>FOFIR!I125</f>
        <v>1416134.9244052942</v>
      </c>
      <c r="L113" s="737">
        <f t="shared" si="18"/>
        <v>4.7485172712417928E-3</v>
      </c>
      <c r="M113" s="462">
        <f>FCISAN!I125</f>
        <v>89898.013465019685</v>
      </c>
      <c r="N113" s="737">
        <f t="shared" si="19"/>
        <v>4.748517271241791E-3</v>
      </c>
      <c r="O113" s="462">
        <f>ISAN!I125</f>
        <v>449051.12008676556</v>
      </c>
      <c r="P113" s="737">
        <f t="shared" si="20"/>
        <v>4.7485172712417902E-3</v>
      </c>
      <c r="Q113" s="462">
        <f>LOT!I125</f>
        <v>21737.21533510102</v>
      </c>
      <c r="R113" s="737">
        <f t="shared" si="21"/>
        <v>4.7485172712417928E-3</v>
      </c>
      <c r="S113" s="462">
        <f>'ENAJENAC DE INMUE'!I125</f>
        <v>85473.31088235222</v>
      </c>
      <c r="T113" s="737">
        <f t="shared" si="22"/>
        <v>4.7485172712417902E-3</v>
      </c>
      <c r="U113" s="462">
        <f>'IMP BEBIDAS AL'!I125</f>
        <v>33407.486682451658</v>
      </c>
      <c r="V113" s="737">
        <f t="shared" si="23"/>
        <v>4.7485172712417919E-3</v>
      </c>
      <c r="W113" s="462">
        <f>'FOND GASO Y D'!H126</f>
        <v>1199889.0932957451</v>
      </c>
      <c r="X113" s="737">
        <f t="shared" si="24"/>
        <v>5.3673999435257273E-3</v>
      </c>
      <c r="Y113" s="462">
        <f>'FOND GASO Y D'!Q126</f>
        <v>0</v>
      </c>
      <c r="Z113" s="737" t="e">
        <f t="shared" si="25"/>
        <v>#DIV/0!</v>
      </c>
      <c r="AA113" s="462">
        <f t="shared" si="26"/>
        <v>43635479.598204799</v>
      </c>
      <c r="AB113" s="737">
        <f t="shared" si="27"/>
        <v>4.6323615090813489E-3</v>
      </c>
    </row>
    <row r="114" spans="1:28" x14ac:dyDescent="0.2">
      <c r="A114" s="221">
        <v>112</v>
      </c>
      <c r="B114" s="598" t="s">
        <v>142</v>
      </c>
      <c r="C114" s="462">
        <f>'FG1'!I127</f>
        <v>155951500.24698696</v>
      </c>
      <c r="D114" s="737">
        <f t="shared" si="14"/>
        <v>2.4458310567105537E-2</v>
      </c>
      <c r="E114" s="462">
        <f>FFM!J127</f>
        <v>41919123.179507144</v>
      </c>
      <c r="F114" s="740">
        <f t="shared" si="15"/>
        <v>2.436781481800724E-2</v>
      </c>
      <c r="G114" s="462">
        <f>IEPS!I126</f>
        <v>3771531.1775087798</v>
      </c>
      <c r="H114" s="737">
        <f t="shared" si="16"/>
        <v>2.4458310567105533E-2</v>
      </c>
      <c r="I114" s="462">
        <f>ISR!C117</f>
        <v>14492199.91</v>
      </c>
      <c r="J114" s="737">
        <f t="shared" si="17"/>
        <v>2.8746946623641953E-2</v>
      </c>
      <c r="K114" s="462">
        <f>FOFIR!I126</f>
        <v>7294122.7350682924</v>
      </c>
      <c r="L114" s="737">
        <f t="shared" si="18"/>
        <v>2.4458310567105537E-2</v>
      </c>
      <c r="M114" s="462">
        <f>FCISAN!I126</f>
        <v>463040.02009416447</v>
      </c>
      <c r="N114" s="737">
        <f t="shared" si="19"/>
        <v>2.4458310567105526E-2</v>
      </c>
      <c r="O114" s="462">
        <f>ISAN!I126</f>
        <v>2312939.2035919721</v>
      </c>
      <c r="P114" s="737">
        <f t="shared" si="20"/>
        <v>2.445831056710553E-2</v>
      </c>
      <c r="Q114" s="462">
        <f>LOT!I126</f>
        <v>111962.43651671833</v>
      </c>
      <c r="R114" s="737">
        <f t="shared" si="21"/>
        <v>2.4458310567105533E-2</v>
      </c>
      <c r="S114" s="462">
        <f>'ENAJENAC DE INMUE'!I126</f>
        <v>440249.59020789945</v>
      </c>
      <c r="T114" s="737">
        <f t="shared" si="22"/>
        <v>2.4458310567105526E-2</v>
      </c>
      <c r="U114" s="462">
        <f>'IMP BEBIDAS AL'!I126</f>
        <v>172072.80459825855</v>
      </c>
      <c r="V114" s="737">
        <f t="shared" si="23"/>
        <v>2.4458310567105533E-2</v>
      </c>
      <c r="W114" s="462">
        <f>'FOND GASO Y D'!H127</f>
        <v>5768871.7056639045</v>
      </c>
      <c r="X114" s="737">
        <f t="shared" si="24"/>
        <v>2.5805586399772144E-2</v>
      </c>
      <c r="Y114" s="462">
        <f>'FOND GASO Y D'!Q127</f>
        <v>0</v>
      </c>
      <c r="Z114" s="737" t="e">
        <f t="shared" si="25"/>
        <v>#DIV/0!</v>
      </c>
      <c r="AA114" s="462">
        <f t="shared" si="26"/>
        <v>232697613.00974411</v>
      </c>
      <c r="AB114" s="737">
        <f t="shared" si="27"/>
        <v>2.4703279892580653E-2</v>
      </c>
    </row>
    <row r="115" spans="1:28" ht="25.5" x14ac:dyDescent="0.2">
      <c r="A115" s="604">
        <v>113</v>
      </c>
      <c r="B115" s="600" t="s">
        <v>101</v>
      </c>
      <c r="C115" s="463">
        <f>'FG1'!I128</f>
        <v>39206584.118317559</v>
      </c>
      <c r="D115" s="737">
        <f t="shared" si="14"/>
        <v>6.1488783956708702E-3</v>
      </c>
      <c r="E115" s="462">
        <f>FFM!J128</f>
        <v>10538568.89161421</v>
      </c>
      <c r="F115" s="740">
        <f t="shared" si="15"/>
        <v>6.1261275456068872E-3</v>
      </c>
      <c r="G115" s="462">
        <f>IEPS!I127</f>
        <v>948172.05433528463</v>
      </c>
      <c r="H115" s="737">
        <f t="shared" si="16"/>
        <v>6.1488783956708702E-3</v>
      </c>
      <c r="I115" s="462">
        <f>ISR!C118</f>
        <v>2656974.61</v>
      </c>
      <c r="J115" s="737">
        <f t="shared" si="17"/>
        <v>5.2704149658698634E-3</v>
      </c>
      <c r="K115" s="462">
        <f>FOFIR!I127</f>
        <v>1833760.0864940239</v>
      </c>
      <c r="L115" s="737">
        <f t="shared" si="18"/>
        <v>6.148878395670871E-3</v>
      </c>
      <c r="M115" s="462">
        <f>FCISAN!I127</f>
        <v>116409.38028308621</v>
      </c>
      <c r="N115" s="737">
        <f t="shared" si="19"/>
        <v>6.1488783956708693E-3</v>
      </c>
      <c r="O115" s="462">
        <f>ISAN!I127</f>
        <v>581478.50647518924</v>
      </c>
      <c r="P115" s="737">
        <f t="shared" si="20"/>
        <v>6.1488783956708684E-3</v>
      </c>
      <c r="Q115" s="462">
        <f>LOT!I127</f>
        <v>28147.62716891092</v>
      </c>
      <c r="R115" s="737">
        <f>Q115/$Q$116</f>
        <v>6.148878395670871E-3</v>
      </c>
      <c r="S115" s="462">
        <f>'ENAJENAC DE INMUE'!I127</f>
        <v>110679.81112207563</v>
      </c>
      <c r="T115" s="737">
        <f t="shared" si="22"/>
        <v>6.1488783956708684E-3</v>
      </c>
      <c r="U115" s="462">
        <f>'IMP BEBIDAS AL'!I127</f>
        <v>43259.518999637119</v>
      </c>
      <c r="V115" s="737">
        <f t="shared" si="23"/>
        <v>6.1488783956708702E-3</v>
      </c>
      <c r="W115" s="462">
        <f>'FOND GASO Y D'!H128</f>
        <v>1457280.3202723032</v>
      </c>
      <c r="X115" s="737">
        <f t="shared" si="24"/>
        <v>6.5187744037630141E-3</v>
      </c>
      <c r="Y115" s="462">
        <f>'FOND GASO Y D'!Q128</f>
        <v>0</v>
      </c>
      <c r="Z115" s="737" t="e">
        <f t="shared" si="25"/>
        <v>#DIV/0!</v>
      </c>
      <c r="AA115" s="462">
        <f t="shared" si="26"/>
        <v>57521314.925082274</v>
      </c>
      <c r="AB115" s="737">
        <f t="shared" si="27"/>
        <v>6.1064878320177792E-3</v>
      </c>
    </row>
    <row r="116" spans="1:28" x14ac:dyDescent="0.2">
      <c r="A116" s="605"/>
      <c r="B116" s="595" t="s">
        <v>191</v>
      </c>
      <c r="C116" s="601">
        <f>SUM(C3:C115)</f>
        <v>6376217188.7999983</v>
      </c>
      <c r="D116" s="602">
        <f>SUM(D3:D115)</f>
        <v>1</v>
      </c>
      <c r="E116" s="601">
        <f t="shared" ref="E116:Y116" si="28">SUM(E3:E115)</f>
        <v>1720265993.9999995</v>
      </c>
      <c r="F116" s="602">
        <f>SUM(F3:F115)</f>
        <v>1.0000000000000002</v>
      </c>
      <c r="G116" s="601">
        <f t="shared" si="28"/>
        <v>154202440.39999995</v>
      </c>
      <c r="H116" s="602">
        <f>SUM(H3:H115)</f>
        <v>1.0000000000000002</v>
      </c>
      <c r="I116" s="601">
        <f t="shared" si="28"/>
        <v>504130059.43669099</v>
      </c>
      <c r="J116" s="602">
        <f>SUM(J3:J115)</f>
        <v>0.99999999999999944</v>
      </c>
      <c r="K116" s="601">
        <f t="shared" si="28"/>
        <v>298226760.79999989</v>
      </c>
      <c r="L116" s="602">
        <f>SUM(L3:L115)</f>
        <v>1.0000000000000002</v>
      </c>
      <c r="M116" s="601">
        <f t="shared" si="28"/>
        <v>18931807.199999999</v>
      </c>
      <c r="N116" s="602">
        <f>SUM(N3:N115)</f>
        <v>0.99999999999999967</v>
      </c>
      <c r="O116" s="601">
        <f t="shared" si="28"/>
        <v>94566597.200000003</v>
      </c>
      <c r="P116" s="602">
        <f>SUM(P3:P115)</f>
        <v>0.99999999999999978</v>
      </c>
      <c r="Q116" s="601">
        <f t="shared" si="28"/>
        <v>4577684.799999998</v>
      </c>
      <c r="R116" s="602">
        <f>SUM(R3:R115)</f>
        <v>1.0000000000000002</v>
      </c>
      <c r="S116" s="601">
        <f t="shared" si="28"/>
        <v>18000000</v>
      </c>
      <c r="T116" s="602">
        <f>SUM(T3:T115)</f>
        <v>0.99999999999999967</v>
      </c>
      <c r="U116" s="601">
        <f t="shared" si="28"/>
        <v>7035351.1999999983</v>
      </c>
      <c r="V116" s="602">
        <f>SUM(V3:V115)</f>
        <v>1</v>
      </c>
      <c r="W116" s="601">
        <f t="shared" si="28"/>
        <v>223551273.60000011</v>
      </c>
      <c r="X116" s="602">
        <f>SUM(X3:X115)</f>
        <v>0.99999999999999956</v>
      </c>
      <c r="Y116" s="601">
        <f t="shared" si="28"/>
        <v>0</v>
      </c>
      <c r="Z116" s="602" t="e">
        <f>SUM(Z3:Z115)</f>
        <v>#DIV/0!</v>
      </c>
      <c r="AA116" s="601">
        <f>SUM(AA3:AA115)</f>
        <v>9419705157.4366913</v>
      </c>
      <c r="AB116" s="602">
        <f>SUM(AB3:AB115)</f>
        <v>0.99999999999999989</v>
      </c>
    </row>
  </sheetData>
  <pageMargins left="0.70866141732283472" right="0.70866141732283472" top="0.74803149606299213" bottom="0.74803149606299213" header="0.31496062992125984" footer="0.31496062992125984"/>
  <pageSetup paperSize="5" scale="50" fitToHeight="100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4"/>
  <sheetViews>
    <sheetView workbookViewId="0">
      <selection activeCell="S37" sqref="S37"/>
    </sheetView>
  </sheetViews>
  <sheetFormatPr baseColWidth="10" defaultRowHeight="10.5" x14ac:dyDescent="0.2"/>
  <cols>
    <col min="1" max="1" width="11" style="608"/>
    <col min="2" max="2" width="14.375" style="608" hidden="1" customWidth="1"/>
    <col min="3" max="3" width="12.75" style="608" hidden="1" customWidth="1"/>
    <col min="4" max="4" width="13.875" style="608" hidden="1" customWidth="1"/>
    <col min="5" max="5" width="11" style="608" hidden="1" customWidth="1"/>
    <col min="6" max="6" width="13.75" style="608" hidden="1" customWidth="1"/>
    <col min="7" max="7" width="13.125" style="608" hidden="1" customWidth="1"/>
    <col min="8" max="8" width="12.5" style="608" customWidth="1"/>
    <col min="9" max="9" width="12.625" style="608" customWidth="1"/>
    <col min="10" max="10" width="15.5" style="608" customWidth="1"/>
    <col min="11" max="16384" width="11" style="608"/>
  </cols>
  <sheetData>
    <row r="2" spans="1:13" s="607" customFormat="1" ht="52.5" x14ac:dyDescent="0.2">
      <c r="A2" s="407" t="s">
        <v>264</v>
      </c>
      <c r="B2" s="407" t="s">
        <v>494</v>
      </c>
      <c r="C2" s="407" t="s">
        <v>296</v>
      </c>
      <c r="D2" s="407" t="str">
        <f>'FONDOS PART 2024'!C11</f>
        <v>Impuesto Especial Sobre Producción y Servicios.</v>
      </c>
      <c r="E2" s="407" t="str">
        <f>'FONDOS PART 2024'!C12</f>
        <v>ISR Participable</v>
      </c>
      <c r="F2" s="407" t="str">
        <f>'FONDOS PART 2024'!C13</f>
        <v xml:space="preserve">Fondo de Fiscalización y Recaudación </v>
      </c>
      <c r="G2" s="407" t="str">
        <f>'FONDOS PART 2024'!C14</f>
        <v>Fondo de Compensación sobre Automóviles Nuevos</v>
      </c>
      <c r="H2" s="407" t="str">
        <f>'FONDOS PART 2024'!C15</f>
        <v>Incentivos por la Administración del Impuesto sobre Automóviles Nuevos</v>
      </c>
      <c r="I2" s="407" t="str">
        <f>'FONDOS PART 2024'!C16</f>
        <v xml:space="preserve">Impuesto Sobre Loterías, Rifas, Sorteos y Concursos </v>
      </c>
      <c r="J2" s="407" t="str">
        <f>'FONDOS PART 2024'!C17</f>
        <v>Incentivos por la Administración del Impuesto sobre la Renta por la Enajenación de Bienes Inmuebles</v>
      </c>
      <c r="K2" s="407" t="str">
        <f>'FONDOS PART 2024'!C18</f>
        <v>Impuesto a la Venta Final de Bebidas con Contenido  Alcohólico</v>
      </c>
      <c r="L2" s="407" t="str">
        <f>'FONDOS PART 2024'!C21</f>
        <v>Venta Final de Gasolinas y Diesel.</v>
      </c>
      <c r="M2" s="407" t="str">
        <f>'FONDOS PART 2024'!C22</f>
        <v>Fondo de Compensación de Gasolinas y Diésel</v>
      </c>
    </row>
    <row r="3" spans="1:13" x14ac:dyDescent="0.2">
      <c r="A3" s="609" t="s">
        <v>268</v>
      </c>
      <c r="B3" s="610" t="s">
        <v>495</v>
      </c>
      <c r="C3" s="610">
        <v>31</v>
      </c>
      <c r="D3" s="610">
        <v>31</v>
      </c>
      <c r="E3" s="610" t="s">
        <v>505</v>
      </c>
      <c r="F3" s="610">
        <v>31</v>
      </c>
      <c r="G3" s="610">
        <v>31</v>
      </c>
      <c r="H3" s="610">
        <v>31</v>
      </c>
      <c r="I3" s="610">
        <v>31</v>
      </c>
      <c r="J3" s="610">
        <v>31</v>
      </c>
      <c r="K3" s="610">
        <v>31</v>
      </c>
      <c r="L3" s="610">
        <v>17</v>
      </c>
      <c r="M3" s="610"/>
    </row>
    <row r="4" spans="1:13" x14ac:dyDescent="0.2">
      <c r="A4" s="609" t="s">
        <v>270</v>
      </c>
      <c r="B4" s="610" t="s">
        <v>496</v>
      </c>
      <c r="C4" s="610">
        <v>28</v>
      </c>
      <c r="D4" s="610">
        <v>28</v>
      </c>
      <c r="E4" s="610" t="s">
        <v>506</v>
      </c>
      <c r="F4" s="610">
        <v>28</v>
      </c>
      <c r="G4" s="610">
        <v>28</v>
      </c>
      <c r="H4" s="610">
        <v>28</v>
      </c>
      <c r="I4" s="610">
        <v>28</v>
      </c>
      <c r="J4" s="610">
        <v>28</v>
      </c>
      <c r="K4" s="610">
        <v>28</v>
      </c>
      <c r="L4" s="610">
        <v>15</v>
      </c>
      <c r="M4" s="610"/>
    </row>
    <row r="5" spans="1:13" x14ac:dyDescent="0.2">
      <c r="A5" s="609" t="s">
        <v>272</v>
      </c>
      <c r="B5" s="610" t="s">
        <v>497</v>
      </c>
      <c r="C5" s="610">
        <v>31</v>
      </c>
      <c r="D5" s="610">
        <v>31</v>
      </c>
      <c r="E5" s="610" t="s">
        <v>507</v>
      </c>
      <c r="F5" s="610">
        <v>31</v>
      </c>
      <c r="G5" s="610">
        <v>31</v>
      </c>
      <c r="H5" s="610">
        <v>31</v>
      </c>
      <c r="I5" s="610">
        <v>31</v>
      </c>
      <c r="J5" s="610">
        <v>31</v>
      </c>
      <c r="K5" s="610">
        <v>31</v>
      </c>
      <c r="L5" s="610">
        <v>15</v>
      </c>
      <c r="M5" s="610"/>
    </row>
    <row r="6" spans="1:13" x14ac:dyDescent="0.2">
      <c r="A6" s="609" t="s">
        <v>274</v>
      </c>
      <c r="B6" s="610" t="s">
        <v>496</v>
      </c>
      <c r="C6" s="610">
        <v>28</v>
      </c>
      <c r="D6" s="610">
        <v>28</v>
      </c>
      <c r="E6" s="610" t="s">
        <v>502</v>
      </c>
      <c r="F6" s="610">
        <v>28</v>
      </c>
      <c r="G6" s="610">
        <v>28</v>
      </c>
      <c r="H6" s="610">
        <v>28</v>
      </c>
      <c r="I6" s="610">
        <v>28</v>
      </c>
      <c r="J6" s="610">
        <v>28</v>
      </c>
      <c r="K6" s="610">
        <v>28</v>
      </c>
      <c r="L6" s="610">
        <v>13</v>
      </c>
      <c r="M6" s="610"/>
    </row>
    <row r="7" spans="1:13" x14ac:dyDescent="0.2">
      <c r="A7" s="609" t="s">
        <v>275</v>
      </c>
      <c r="B7" s="610" t="s">
        <v>495</v>
      </c>
      <c r="C7" s="610">
        <v>31</v>
      </c>
      <c r="D7" s="610">
        <v>31</v>
      </c>
      <c r="E7" s="610" t="s">
        <v>508</v>
      </c>
      <c r="F7" s="610">
        <v>31</v>
      </c>
      <c r="G7" s="610">
        <v>31</v>
      </c>
      <c r="H7" s="610">
        <v>31</v>
      </c>
      <c r="I7" s="610">
        <v>31</v>
      </c>
      <c r="J7" s="610">
        <v>31</v>
      </c>
      <c r="K7" s="610">
        <v>31</v>
      </c>
      <c r="L7" s="610">
        <v>16</v>
      </c>
      <c r="M7" s="610"/>
    </row>
    <row r="8" spans="1:13" x14ac:dyDescent="0.2">
      <c r="A8" s="609" t="s">
        <v>277</v>
      </c>
      <c r="B8" s="610" t="s">
        <v>498</v>
      </c>
      <c r="C8" s="610">
        <v>30</v>
      </c>
      <c r="D8" s="610">
        <v>30</v>
      </c>
      <c r="E8" s="610" t="s">
        <v>509</v>
      </c>
      <c r="F8" s="610">
        <v>30</v>
      </c>
      <c r="G8" s="610">
        <v>30</v>
      </c>
      <c r="H8" s="610">
        <v>30</v>
      </c>
      <c r="I8" s="610">
        <v>30</v>
      </c>
      <c r="J8" s="610">
        <v>30</v>
      </c>
      <c r="K8" s="610">
        <v>30</v>
      </c>
      <c r="L8" s="610">
        <v>14</v>
      </c>
      <c r="M8" s="610"/>
    </row>
    <row r="9" spans="1:13" x14ac:dyDescent="0.2">
      <c r="A9" s="609" t="s">
        <v>279</v>
      </c>
      <c r="B9" s="610" t="s">
        <v>499</v>
      </c>
      <c r="C9" s="610">
        <v>31</v>
      </c>
      <c r="D9" s="610">
        <v>31</v>
      </c>
      <c r="E9" s="610" t="s">
        <v>503</v>
      </c>
      <c r="F9" s="610">
        <v>31</v>
      </c>
      <c r="G9" s="610">
        <v>31</v>
      </c>
      <c r="H9" s="610">
        <v>31</v>
      </c>
      <c r="I9" s="610">
        <v>31</v>
      </c>
      <c r="J9" s="610">
        <v>31</v>
      </c>
      <c r="K9" s="610">
        <v>31</v>
      </c>
      <c r="L9" s="610">
        <v>14</v>
      </c>
      <c r="M9" s="610"/>
    </row>
    <row r="10" spans="1:13" x14ac:dyDescent="0.2">
      <c r="A10" s="609" t="s">
        <v>289</v>
      </c>
      <c r="B10" s="610" t="s">
        <v>495</v>
      </c>
      <c r="C10" s="610">
        <v>31</v>
      </c>
      <c r="D10" s="610">
        <v>31</v>
      </c>
      <c r="E10" s="610" t="s">
        <v>504</v>
      </c>
      <c r="F10" s="610">
        <v>31</v>
      </c>
      <c r="G10" s="610">
        <v>31</v>
      </c>
      <c r="H10" s="610">
        <v>31</v>
      </c>
      <c r="I10" s="610">
        <v>31</v>
      </c>
      <c r="J10" s="610">
        <v>31</v>
      </c>
      <c r="K10" s="610">
        <v>31</v>
      </c>
      <c r="L10" s="610">
        <v>16</v>
      </c>
      <c r="M10" s="610"/>
    </row>
    <row r="11" spans="1:13" x14ac:dyDescent="0.2">
      <c r="A11" s="609" t="s">
        <v>290</v>
      </c>
      <c r="B11" s="610" t="s">
        <v>500</v>
      </c>
      <c r="C11" s="610">
        <v>29</v>
      </c>
      <c r="D11" s="610">
        <v>29</v>
      </c>
      <c r="E11" s="610" t="s">
        <v>510</v>
      </c>
      <c r="F11" s="610">
        <v>29</v>
      </c>
      <c r="G11" s="610">
        <v>29</v>
      </c>
      <c r="H11" s="610">
        <v>29</v>
      </c>
      <c r="I11" s="610">
        <v>29</v>
      </c>
      <c r="J11" s="610">
        <v>29</v>
      </c>
      <c r="K11" s="610">
        <v>29</v>
      </c>
      <c r="L11" s="610">
        <v>14</v>
      </c>
      <c r="M11" s="610"/>
    </row>
    <row r="12" spans="1:13" x14ac:dyDescent="0.2">
      <c r="A12" s="609" t="s">
        <v>291</v>
      </c>
      <c r="B12" s="610" t="s">
        <v>499</v>
      </c>
      <c r="C12" s="610">
        <v>31</v>
      </c>
      <c r="D12" s="610">
        <v>31</v>
      </c>
      <c r="E12" s="610" t="s">
        <v>511</v>
      </c>
      <c r="F12" s="610">
        <v>31</v>
      </c>
      <c r="G12" s="610">
        <v>31</v>
      </c>
      <c r="H12" s="610">
        <v>31</v>
      </c>
      <c r="I12" s="610">
        <v>31</v>
      </c>
      <c r="J12" s="610">
        <v>31</v>
      </c>
      <c r="K12" s="610">
        <v>31</v>
      </c>
      <c r="L12" s="610">
        <v>13</v>
      </c>
      <c r="M12" s="610"/>
    </row>
    <row r="13" spans="1:13" x14ac:dyDescent="0.2">
      <c r="A13" s="609" t="s">
        <v>292</v>
      </c>
      <c r="B13" s="610" t="s">
        <v>501</v>
      </c>
      <c r="C13" s="610">
        <v>30</v>
      </c>
      <c r="D13" s="610">
        <v>30</v>
      </c>
      <c r="E13" s="610" t="s">
        <v>512</v>
      </c>
      <c r="F13" s="610">
        <v>30</v>
      </c>
      <c r="G13" s="610">
        <v>30</v>
      </c>
      <c r="H13" s="610">
        <v>30</v>
      </c>
      <c r="I13" s="610">
        <v>30</v>
      </c>
      <c r="J13" s="610">
        <v>30</v>
      </c>
      <c r="K13" s="610">
        <v>30</v>
      </c>
      <c r="L13" s="610">
        <v>13</v>
      </c>
      <c r="M13" s="610"/>
    </row>
    <row r="14" spans="1:13" x14ac:dyDescent="0.2">
      <c r="A14" s="609" t="s">
        <v>293</v>
      </c>
      <c r="B14" s="610">
        <v>14</v>
      </c>
      <c r="C14" s="610">
        <v>29</v>
      </c>
      <c r="D14" s="610">
        <v>29</v>
      </c>
      <c r="E14" s="610" t="s">
        <v>513</v>
      </c>
      <c r="F14" s="610">
        <v>29</v>
      </c>
      <c r="G14" s="610">
        <v>29</v>
      </c>
      <c r="H14" s="610">
        <v>29</v>
      </c>
      <c r="I14" s="610">
        <v>29</v>
      </c>
      <c r="J14" s="610">
        <v>29</v>
      </c>
      <c r="K14" s="610">
        <v>29</v>
      </c>
      <c r="L14" s="610">
        <v>14</v>
      </c>
      <c r="M14" s="610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28"/>
  <sheetViews>
    <sheetView workbookViewId="0"/>
  </sheetViews>
  <sheetFormatPr baseColWidth="10" defaultRowHeight="16.5" x14ac:dyDescent="0.3"/>
  <cols>
    <col min="1" max="2" width="12.875" style="259" customWidth="1"/>
    <col min="3" max="3" width="13.5" style="259" customWidth="1"/>
    <col min="4" max="13" width="13.125" style="259" customWidth="1"/>
    <col min="14" max="14" width="14.5" style="259" customWidth="1"/>
    <col min="15" max="1024" width="12.875" style="259" customWidth="1"/>
  </cols>
  <sheetData>
    <row r="1" spans="1:15" x14ac:dyDescent="0.3">
      <c r="C1" s="260" t="s">
        <v>413</v>
      </c>
    </row>
    <row r="2" spans="1:15" x14ac:dyDescent="0.3">
      <c r="C2" s="260" t="s">
        <v>0</v>
      </c>
    </row>
    <row r="3" spans="1:15" x14ac:dyDescent="0.3">
      <c r="C3" s="260" t="s">
        <v>1</v>
      </c>
    </row>
    <row r="6" spans="1:15" x14ac:dyDescent="0.3">
      <c r="A6" s="261" t="s">
        <v>414</v>
      </c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</row>
    <row r="7" spans="1:15" x14ac:dyDescent="0.3">
      <c r="A7" s="261"/>
      <c r="C7" s="262"/>
      <c r="D7" s="262"/>
      <c r="E7" s="262"/>
      <c r="F7" s="262"/>
      <c r="G7" s="262"/>
      <c r="H7" s="262"/>
      <c r="I7" s="262"/>
      <c r="J7" s="262"/>
      <c r="K7" s="262"/>
      <c r="L7" s="262"/>
      <c r="M7" s="262"/>
    </row>
    <row r="8" spans="1:15" x14ac:dyDescent="0.3">
      <c r="A8" s="261"/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</row>
    <row r="9" spans="1:15" x14ac:dyDescent="0.3">
      <c r="A9" s="261"/>
      <c r="C9" s="262"/>
      <c r="D9" s="262"/>
      <c r="E9" s="262"/>
      <c r="F9" s="262"/>
      <c r="G9" s="262"/>
      <c r="H9" s="262"/>
      <c r="I9" s="262"/>
      <c r="J9" s="262"/>
      <c r="K9" s="262"/>
      <c r="L9" s="262"/>
      <c r="M9" s="262"/>
    </row>
    <row r="10" spans="1:15" x14ac:dyDescent="0.3">
      <c r="A10" s="261"/>
      <c r="C10" s="262"/>
      <c r="D10" s="262"/>
      <c r="E10" s="262"/>
      <c r="F10" s="262"/>
      <c r="G10" s="262"/>
      <c r="H10" s="262"/>
      <c r="I10" s="262"/>
      <c r="J10" s="262"/>
      <c r="K10" s="262"/>
      <c r="L10" s="262"/>
      <c r="M10" s="262"/>
    </row>
    <row r="11" spans="1:15" x14ac:dyDescent="0.3">
      <c r="A11" s="261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</row>
    <row r="12" spans="1:15" ht="24" customHeight="1" x14ac:dyDescent="0.3">
      <c r="A12" s="229"/>
      <c r="B12" s="229"/>
      <c r="C12" s="770" t="s">
        <v>415</v>
      </c>
      <c r="D12" s="263" t="s">
        <v>268</v>
      </c>
      <c r="E12" s="263" t="s">
        <v>270</v>
      </c>
      <c r="F12" s="263" t="s">
        <v>272</v>
      </c>
      <c r="G12" s="263" t="s">
        <v>274</v>
      </c>
      <c r="H12" s="263" t="s">
        <v>275</v>
      </c>
      <c r="I12" s="263" t="s">
        <v>277</v>
      </c>
      <c r="J12" s="263" t="s">
        <v>279</v>
      </c>
      <c r="K12" s="263" t="s">
        <v>289</v>
      </c>
      <c r="L12" s="263" t="s">
        <v>290</v>
      </c>
      <c r="M12" s="263" t="s">
        <v>291</v>
      </c>
    </row>
    <row r="13" spans="1:15" ht="24" customHeight="1" x14ac:dyDescent="0.3">
      <c r="A13" s="230"/>
      <c r="B13" s="230"/>
      <c r="C13" s="770"/>
      <c r="D13" s="264"/>
      <c r="E13" s="264"/>
      <c r="F13" s="264"/>
      <c r="G13" s="264"/>
      <c r="H13" s="264"/>
      <c r="I13" s="264"/>
      <c r="J13" s="264"/>
      <c r="K13" s="264"/>
      <c r="L13" s="264"/>
      <c r="M13" s="264"/>
    </row>
    <row r="14" spans="1:15" x14ac:dyDescent="0.3">
      <c r="A14" s="231" t="s">
        <v>170</v>
      </c>
      <c r="B14" s="231" t="s">
        <v>171</v>
      </c>
      <c r="C14" s="208" t="s">
        <v>219</v>
      </c>
      <c r="D14" s="265" t="s">
        <v>416</v>
      </c>
      <c r="E14" s="265" t="s">
        <v>417</v>
      </c>
      <c r="F14" s="265" t="s">
        <v>418</v>
      </c>
      <c r="G14" s="265" t="s">
        <v>419</v>
      </c>
      <c r="H14" s="265" t="s">
        <v>420</v>
      </c>
      <c r="I14" s="265" t="s">
        <v>421</v>
      </c>
      <c r="J14" s="265" t="s">
        <v>422</v>
      </c>
      <c r="K14" s="265" t="s">
        <v>423</v>
      </c>
      <c r="L14" s="265" t="s">
        <v>424</v>
      </c>
      <c r="M14" s="265" t="s">
        <v>425</v>
      </c>
    </row>
    <row r="15" spans="1:15" x14ac:dyDescent="0.3">
      <c r="A15" s="266"/>
      <c r="B15" s="266" t="s">
        <v>191</v>
      </c>
      <c r="C15" s="267">
        <v>3056081121</v>
      </c>
      <c r="D15" s="267">
        <f t="shared" ref="D15:M15" si="0">SUM(D16:D128)</f>
        <v>305608112.10000002</v>
      </c>
      <c r="E15" s="267">
        <f t="shared" si="0"/>
        <v>305608112.10000002</v>
      </c>
      <c r="F15" s="267">
        <f t="shared" si="0"/>
        <v>305608112.10000002</v>
      </c>
      <c r="G15" s="267">
        <f t="shared" si="0"/>
        <v>305608112.10000002</v>
      </c>
      <c r="H15" s="267">
        <f t="shared" si="0"/>
        <v>305608112.10000002</v>
      </c>
      <c r="I15" s="267">
        <f t="shared" si="0"/>
        <v>305608112.10000002</v>
      </c>
      <c r="J15" s="267">
        <f t="shared" si="0"/>
        <v>305608112.10000002</v>
      </c>
      <c r="K15" s="267">
        <f t="shared" si="0"/>
        <v>305608112.10000002</v>
      </c>
      <c r="L15" s="267">
        <f t="shared" si="0"/>
        <v>305608112.10000002</v>
      </c>
      <c r="M15" s="267">
        <f t="shared" si="0"/>
        <v>305608112.10000002</v>
      </c>
      <c r="N15" s="268"/>
      <c r="O15" s="269">
        <f t="shared" ref="O15:O46" si="1">C15-N15</f>
        <v>3056081121</v>
      </c>
    </row>
    <row r="16" spans="1:15" x14ac:dyDescent="0.3">
      <c r="A16" s="270">
        <v>1</v>
      </c>
      <c r="B16" s="271" t="s">
        <v>43</v>
      </c>
      <c r="C16" s="272">
        <v>11293560</v>
      </c>
      <c r="D16" s="273">
        <f t="shared" ref="D16:D47" si="2">C16/10</f>
        <v>1129356</v>
      </c>
      <c r="E16" s="273">
        <v>1129356</v>
      </c>
      <c r="F16" s="273">
        <v>1129356</v>
      </c>
      <c r="G16" s="273">
        <v>1129356</v>
      </c>
      <c r="H16" s="273">
        <v>1129356</v>
      </c>
      <c r="I16" s="273">
        <v>1129356</v>
      </c>
      <c r="J16" s="273">
        <v>1129356</v>
      </c>
      <c r="K16" s="273">
        <v>1129356</v>
      </c>
      <c r="L16" s="273">
        <v>1129356</v>
      </c>
      <c r="M16" s="273">
        <v>1129356</v>
      </c>
      <c r="N16" s="268"/>
      <c r="O16" s="269">
        <f t="shared" si="1"/>
        <v>11293560</v>
      </c>
    </row>
    <row r="17" spans="1:15" x14ac:dyDescent="0.3">
      <c r="A17" s="270">
        <v>2</v>
      </c>
      <c r="B17" s="271" t="s">
        <v>46</v>
      </c>
      <c r="C17" s="272">
        <v>14797820</v>
      </c>
      <c r="D17" s="273">
        <f t="shared" si="2"/>
        <v>1479782</v>
      </c>
      <c r="E17" s="273">
        <v>1479782</v>
      </c>
      <c r="F17" s="273">
        <v>1479782</v>
      </c>
      <c r="G17" s="273">
        <v>1479782</v>
      </c>
      <c r="H17" s="273">
        <v>1479782</v>
      </c>
      <c r="I17" s="273">
        <v>1479782</v>
      </c>
      <c r="J17" s="273">
        <v>1479782</v>
      </c>
      <c r="K17" s="273">
        <v>1479782</v>
      </c>
      <c r="L17" s="273">
        <v>1479782</v>
      </c>
      <c r="M17" s="273">
        <v>1479782</v>
      </c>
      <c r="N17" s="268"/>
      <c r="O17" s="269">
        <f t="shared" si="1"/>
        <v>14797820</v>
      </c>
    </row>
    <row r="18" spans="1:15" x14ac:dyDescent="0.3">
      <c r="A18" s="270">
        <v>3</v>
      </c>
      <c r="B18" s="271" t="s">
        <v>49</v>
      </c>
      <c r="C18" s="272">
        <v>17042227</v>
      </c>
      <c r="D18" s="273">
        <f t="shared" si="2"/>
        <v>1704222.7</v>
      </c>
      <c r="E18" s="273">
        <v>1704222.7</v>
      </c>
      <c r="F18" s="273">
        <v>1704222.7</v>
      </c>
      <c r="G18" s="273">
        <v>1704222.7</v>
      </c>
      <c r="H18" s="273">
        <v>1704222.7</v>
      </c>
      <c r="I18" s="273">
        <v>1704222.7</v>
      </c>
      <c r="J18" s="273">
        <v>1704222.7</v>
      </c>
      <c r="K18" s="273">
        <v>1704222.7</v>
      </c>
      <c r="L18" s="273">
        <v>1704222.7</v>
      </c>
      <c r="M18" s="273">
        <v>1704222.7</v>
      </c>
      <c r="N18" s="268"/>
      <c r="O18" s="269">
        <f t="shared" si="1"/>
        <v>17042227</v>
      </c>
    </row>
    <row r="19" spans="1:15" x14ac:dyDescent="0.3">
      <c r="A19" s="270">
        <v>4</v>
      </c>
      <c r="B19" s="271" t="s">
        <v>52</v>
      </c>
      <c r="C19" s="272">
        <v>16842791</v>
      </c>
      <c r="D19" s="273">
        <f t="shared" si="2"/>
        <v>1684279.1</v>
      </c>
      <c r="E19" s="273">
        <v>1684279.1</v>
      </c>
      <c r="F19" s="273">
        <v>1684279.1</v>
      </c>
      <c r="G19" s="273">
        <v>1684279.1</v>
      </c>
      <c r="H19" s="273">
        <v>1684279.1</v>
      </c>
      <c r="I19" s="273">
        <v>1684279.1</v>
      </c>
      <c r="J19" s="273">
        <v>1684279.1</v>
      </c>
      <c r="K19" s="273">
        <v>1684279.1</v>
      </c>
      <c r="L19" s="273">
        <v>1684279.1</v>
      </c>
      <c r="M19" s="273">
        <v>1684279.1</v>
      </c>
      <c r="N19" s="268"/>
      <c r="O19" s="269">
        <f t="shared" si="1"/>
        <v>16842791</v>
      </c>
    </row>
    <row r="20" spans="1:15" x14ac:dyDescent="0.3">
      <c r="A20" s="270">
        <v>5</v>
      </c>
      <c r="B20" s="271" t="s">
        <v>54</v>
      </c>
      <c r="C20" s="272">
        <v>12404234</v>
      </c>
      <c r="D20" s="273">
        <f t="shared" si="2"/>
        <v>1240423.3999999999</v>
      </c>
      <c r="E20" s="273">
        <v>1240423.3999999999</v>
      </c>
      <c r="F20" s="273">
        <v>1240423.3999999999</v>
      </c>
      <c r="G20" s="273">
        <v>1240423.3999999999</v>
      </c>
      <c r="H20" s="273">
        <v>1240423.3999999999</v>
      </c>
      <c r="I20" s="273">
        <v>1240423.3999999999</v>
      </c>
      <c r="J20" s="273">
        <v>1240423.3999999999</v>
      </c>
      <c r="K20" s="273">
        <v>1240423.3999999999</v>
      </c>
      <c r="L20" s="273">
        <v>1240423.3999999999</v>
      </c>
      <c r="M20" s="273">
        <v>1240423.3999999999</v>
      </c>
      <c r="N20" s="268"/>
      <c r="O20" s="269">
        <f t="shared" si="1"/>
        <v>12404234</v>
      </c>
    </row>
    <row r="21" spans="1:15" x14ac:dyDescent="0.3">
      <c r="A21" s="270">
        <v>6</v>
      </c>
      <c r="B21" s="271" t="s">
        <v>57</v>
      </c>
      <c r="C21" s="272">
        <v>55708782</v>
      </c>
      <c r="D21" s="273">
        <f t="shared" si="2"/>
        <v>5570878.2000000002</v>
      </c>
      <c r="E21" s="273">
        <v>5570878.2000000002</v>
      </c>
      <c r="F21" s="273">
        <v>5570878.2000000002</v>
      </c>
      <c r="G21" s="273">
        <v>5570878.2000000002</v>
      </c>
      <c r="H21" s="273">
        <v>5570878.2000000002</v>
      </c>
      <c r="I21" s="273">
        <v>5570878.2000000002</v>
      </c>
      <c r="J21" s="273">
        <v>5570878.2000000002</v>
      </c>
      <c r="K21" s="273">
        <v>5570878.2000000002</v>
      </c>
      <c r="L21" s="273">
        <v>5570878.2000000002</v>
      </c>
      <c r="M21" s="273">
        <v>5570878.2000000002</v>
      </c>
      <c r="N21" s="268"/>
      <c r="O21" s="269">
        <f t="shared" si="1"/>
        <v>55708782</v>
      </c>
    </row>
    <row r="22" spans="1:15" x14ac:dyDescent="0.3">
      <c r="A22" s="270">
        <v>7</v>
      </c>
      <c r="B22" s="271" t="s">
        <v>426</v>
      </c>
      <c r="C22" s="272">
        <v>6098770</v>
      </c>
      <c r="D22" s="273">
        <f t="shared" si="2"/>
        <v>609877</v>
      </c>
      <c r="E22" s="273">
        <v>609877</v>
      </c>
      <c r="F22" s="273">
        <v>609877</v>
      </c>
      <c r="G22" s="273">
        <v>609877</v>
      </c>
      <c r="H22" s="273">
        <v>609877</v>
      </c>
      <c r="I22" s="273">
        <v>609877</v>
      </c>
      <c r="J22" s="273">
        <v>609877</v>
      </c>
      <c r="K22" s="273">
        <v>609877</v>
      </c>
      <c r="L22" s="273">
        <v>609877</v>
      </c>
      <c r="M22" s="273">
        <v>609877</v>
      </c>
      <c r="N22" s="268"/>
      <c r="O22" s="269">
        <f t="shared" si="1"/>
        <v>6098770</v>
      </c>
    </row>
    <row r="23" spans="1:15" x14ac:dyDescent="0.3">
      <c r="A23" s="270">
        <v>8</v>
      </c>
      <c r="B23" s="271" t="s">
        <v>59</v>
      </c>
      <c r="C23" s="272">
        <v>58062520</v>
      </c>
      <c r="D23" s="273">
        <f t="shared" si="2"/>
        <v>5806252</v>
      </c>
      <c r="E23" s="273">
        <v>5806252</v>
      </c>
      <c r="F23" s="273">
        <v>5806252</v>
      </c>
      <c r="G23" s="273">
        <v>5806252</v>
      </c>
      <c r="H23" s="273">
        <v>5806252</v>
      </c>
      <c r="I23" s="273">
        <v>5806252</v>
      </c>
      <c r="J23" s="273">
        <v>5806252</v>
      </c>
      <c r="K23" s="273">
        <v>5806252</v>
      </c>
      <c r="L23" s="273">
        <v>5806252</v>
      </c>
      <c r="M23" s="273">
        <v>5806252</v>
      </c>
      <c r="N23" s="268"/>
      <c r="O23" s="269">
        <f t="shared" si="1"/>
        <v>58062520</v>
      </c>
    </row>
    <row r="24" spans="1:15" x14ac:dyDescent="0.3">
      <c r="A24" s="270">
        <v>9</v>
      </c>
      <c r="B24" s="271" t="s">
        <v>342</v>
      </c>
      <c r="C24" s="272">
        <v>30121639</v>
      </c>
      <c r="D24" s="273">
        <f t="shared" si="2"/>
        <v>3012163.9</v>
      </c>
      <c r="E24" s="273">
        <v>3012163.9</v>
      </c>
      <c r="F24" s="273">
        <v>3012163.9</v>
      </c>
      <c r="G24" s="273">
        <v>3012163.9</v>
      </c>
      <c r="H24" s="273">
        <v>3012163.9</v>
      </c>
      <c r="I24" s="273">
        <v>3012163.9</v>
      </c>
      <c r="J24" s="273">
        <v>3012163.9</v>
      </c>
      <c r="K24" s="273">
        <v>3012163.9</v>
      </c>
      <c r="L24" s="273">
        <v>3012163.9</v>
      </c>
      <c r="M24" s="273">
        <v>3012163.9</v>
      </c>
      <c r="N24" s="268"/>
      <c r="O24" s="269">
        <f t="shared" si="1"/>
        <v>30121639</v>
      </c>
    </row>
    <row r="25" spans="1:15" x14ac:dyDescent="0.3">
      <c r="A25" s="270">
        <v>10</v>
      </c>
      <c r="B25" s="271" t="s">
        <v>64</v>
      </c>
      <c r="C25" s="272">
        <v>32411469</v>
      </c>
      <c r="D25" s="273">
        <f t="shared" si="2"/>
        <v>3241146.9</v>
      </c>
      <c r="E25" s="273">
        <v>3241146.9</v>
      </c>
      <c r="F25" s="273">
        <v>3241146.9</v>
      </c>
      <c r="G25" s="273">
        <v>3241146.9</v>
      </c>
      <c r="H25" s="273">
        <v>3241146.9</v>
      </c>
      <c r="I25" s="273">
        <v>3241146.9</v>
      </c>
      <c r="J25" s="273">
        <v>3241146.9</v>
      </c>
      <c r="K25" s="273">
        <v>3241146.9</v>
      </c>
      <c r="L25" s="273">
        <v>3241146.9</v>
      </c>
      <c r="M25" s="273">
        <v>3241146.9</v>
      </c>
      <c r="N25" s="268"/>
      <c r="O25" s="269">
        <f t="shared" si="1"/>
        <v>32411469</v>
      </c>
    </row>
    <row r="26" spans="1:15" x14ac:dyDescent="0.3">
      <c r="A26" s="270">
        <v>11</v>
      </c>
      <c r="B26" s="271" t="s">
        <v>343</v>
      </c>
      <c r="C26" s="272">
        <v>7043982</v>
      </c>
      <c r="D26" s="273">
        <f t="shared" si="2"/>
        <v>704398.2</v>
      </c>
      <c r="E26" s="273">
        <v>704398.2</v>
      </c>
      <c r="F26" s="273">
        <v>704398.2</v>
      </c>
      <c r="G26" s="273">
        <v>704398.2</v>
      </c>
      <c r="H26" s="273">
        <v>704398.2</v>
      </c>
      <c r="I26" s="273">
        <v>704398.2</v>
      </c>
      <c r="J26" s="273">
        <v>704398.2</v>
      </c>
      <c r="K26" s="273">
        <v>704398.2</v>
      </c>
      <c r="L26" s="273">
        <v>704398.2</v>
      </c>
      <c r="M26" s="273">
        <v>704398.2</v>
      </c>
      <c r="N26" s="268"/>
      <c r="O26" s="269">
        <f t="shared" si="1"/>
        <v>7043982</v>
      </c>
    </row>
    <row r="27" spans="1:15" x14ac:dyDescent="0.3">
      <c r="A27" s="270">
        <v>12</v>
      </c>
      <c r="B27" s="271" t="s">
        <v>384</v>
      </c>
      <c r="C27" s="272">
        <v>19606162</v>
      </c>
      <c r="D27" s="273">
        <f t="shared" si="2"/>
        <v>1960616.2</v>
      </c>
      <c r="E27" s="273">
        <v>1960616.2</v>
      </c>
      <c r="F27" s="273">
        <v>1960616.2</v>
      </c>
      <c r="G27" s="273">
        <v>1960616.2</v>
      </c>
      <c r="H27" s="273">
        <v>1960616.2</v>
      </c>
      <c r="I27" s="273">
        <v>1960616.2</v>
      </c>
      <c r="J27" s="273">
        <v>1960616.2</v>
      </c>
      <c r="K27" s="273">
        <v>1960616.2</v>
      </c>
      <c r="L27" s="273">
        <v>1960616.2</v>
      </c>
      <c r="M27" s="273">
        <v>1960616.2</v>
      </c>
      <c r="N27" s="268"/>
      <c r="O27" s="269">
        <f t="shared" si="1"/>
        <v>19606162</v>
      </c>
    </row>
    <row r="28" spans="1:15" x14ac:dyDescent="0.3">
      <c r="A28" s="270">
        <v>13</v>
      </c>
      <c r="B28" s="271" t="s">
        <v>73</v>
      </c>
      <c r="C28" s="272">
        <v>24820769</v>
      </c>
      <c r="D28" s="273">
        <f t="shared" si="2"/>
        <v>2482076.9</v>
      </c>
      <c r="E28" s="273">
        <v>2482076.9</v>
      </c>
      <c r="F28" s="273">
        <v>2482076.9</v>
      </c>
      <c r="G28" s="273">
        <v>2482076.9</v>
      </c>
      <c r="H28" s="273">
        <v>2482076.9</v>
      </c>
      <c r="I28" s="273">
        <v>2482076.9</v>
      </c>
      <c r="J28" s="273">
        <v>2482076.9</v>
      </c>
      <c r="K28" s="273">
        <v>2482076.9</v>
      </c>
      <c r="L28" s="273">
        <v>2482076.9</v>
      </c>
      <c r="M28" s="273">
        <v>2482076.9</v>
      </c>
      <c r="N28" s="268"/>
      <c r="O28" s="269">
        <f t="shared" si="1"/>
        <v>24820769</v>
      </c>
    </row>
    <row r="29" spans="1:15" x14ac:dyDescent="0.3">
      <c r="A29" s="270">
        <v>14</v>
      </c>
      <c r="B29" s="271" t="s">
        <v>75</v>
      </c>
      <c r="C29" s="272">
        <v>8881882</v>
      </c>
      <c r="D29" s="273">
        <f t="shared" si="2"/>
        <v>888188.2</v>
      </c>
      <c r="E29" s="273">
        <v>888188.2</v>
      </c>
      <c r="F29" s="273">
        <v>888188.2</v>
      </c>
      <c r="G29" s="273">
        <v>888188.2</v>
      </c>
      <c r="H29" s="273">
        <v>888188.2</v>
      </c>
      <c r="I29" s="273">
        <v>888188.2</v>
      </c>
      <c r="J29" s="273">
        <v>888188.2</v>
      </c>
      <c r="K29" s="273">
        <v>888188.2</v>
      </c>
      <c r="L29" s="273">
        <v>888188.2</v>
      </c>
      <c r="M29" s="273">
        <v>888188.2</v>
      </c>
      <c r="N29" s="268"/>
      <c r="O29" s="269">
        <f t="shared" si="1"/>
        <v>8881882</v>
      </c>
    </row>
    <row r="30" spans="1:15" x14ac:dyDescent="0.3">
      <c r="A30" s="270">
        <v>15</v>
      </c>
      <c r="B30" s="271" t="s">
        <v>77</v>
      </c>
      <c r="C30" s="272">
        <v>30684668</v>
      </c>
      <c r="D30" s="273">
        <f t="shared" si="2"/>
        <v>3068466.8</v>
      </c>
      <c r="E30" s="273">
        <v>3068466.8</v>
      </c>
      <c r="F30" s="273">
        <v>3068466.8</v>
      </c>
      <c r="G30" s="273">
        <v>3068466.8</v>
      </c>
      <c r="H30" s="273">
        <v>3068466.8</v>
      </c>
      <c r="I30" s="273">
        <v>3068466.8</v>
      </c>
      <c r="J30" s="273">
        <v>3068466.8</v>
      </c>
      <c r="K30" s="273">
        <v>3068466.8</v>
      </c>
      <c r="L30" s="273">
        <v>3068466.8</v>
      </c>
      <c r="M30" s="273">
        <v>3068466.8</v>
      </c>
      <c r="N30" s="268"/>
      <c r="O30" s="269">
        <f t="shared" si="1"/>
        <v>30684668</v>
      </c>
    </row>
    <row r="31" spans="1:15" x14ac:dyDescent="0.3">
      <c r="A31" s="270">
        <v>16</v>
      </c>
      <c r="B31" s="271" t="s">
        <v>79</v>
      </c>
      <c r="C31" s="272">
        <v>26887475</v>
      </c>
      <c r="D31" s="273">
        <f t="shared" si="2"/>
        <v>2688747.5</v>
      </c>
      <c r="E31" s="273">
        <v>2688747.5</v>
      </c>
      <c r="F31" s="273">
        <v>2688747.5</v>
      </c>
      <c r="G31" s="273">
        <v>2688747.5</v>
      </c>
      <c r="H31" s="273">
        <v>2688747.5</v>
      </c>
      <c r="I31" s="273">
        <v>2688747.5</v>
      </c>
      <c r="J31" s="273">
        <v>2688747.5</v>
      </c>
      <c r="K31" s="273">
        <v>2688747.5</v>
      </c>
      <c r="L31" s="273">
        <v>2688747.5</v>
      </c>
      <c r="M31" s="273">
        <v>2688747.5</v>
      </c>
      <c r="N31" s="268"/>
      <c r="O31" s="269">
        <f t="shared" si="1"/>
        <v>26887475</v>
      </c>
    </row>
    <row r="32" spans="1:15" x14ac:dyDescent="0.3">
      <c r="A32" s="270">
        <v>17</v>
      </c>
      <c r="B32" s="271" t="s">
        <v>81</v>
      </c>
      <c r="C32" s="272">
        <v>38878873</v>
      </c>
      <c r="D32" s="273">
        <f t="shared" si="2"/>
        <v>3887887.3</v>
      </c>
      <c r="E32" s="273">
        <v>3887887.3</v>
      </c>
      <c r="F32" s="273">
        <v>3887887.3</v>
      </c>
      <c r="G32" s="273">
        <v>3887887.3</v>
      </c>
      <c r="H32" s="273">
        <v>3887887.3</v>
      </c>
      <c r="I32" s="273">
        <v>3887887.3</v>
      </c>
      <c r="J32" s="273">
        <v>3887887.3</v>
      </c>
      <c r="K32" s="273">
        <v>3887887.3</v>
      </c>
      <c r="L32" s="273">
        <v>3887887.3</v>
      </c>
      <c r="M32" s="273">
        <v>3887887.3</v>
      </c>
      <c r="N32" s="268"/>
      <c r="O32" s="269">
        <f t="shared" si="1"/>
        <v>38878873</v>
      </c>
    </row>
    <row r="33" spans="1:15" x14ac:dyDescent="0.3">
      <c r="A33" s="270">
        <v>18</v>
      </c>
      <c r="B33" s="271" t="s">
        <v>82</v>
      </c>
      <c r="C33" s="272">
        <v>10647248</v>
      </c>
      <c r="D33" s="273">
        <f t="shared" si="2"/>
        <v>1064724.8</v>
      </c>
      <c r="E33" s="273">
        <v>1064724.8</v>
      </c>
      <c r="F33" s="273">
        <v>1064724.8</v>
      </c>
      <c r="G33" s="273">
        <v>1064724.8</v>
      </c>
      <c r="H33" s="273">
        <v>1064724.8</v>
      </c>
      <c r="I33" s="273">
        <v>1064724.8</v>
      </c>
      <c r="J33" s="273">
        <v>1064724.8</v>
      </c>
      <c r="K33" s="273">
        <v>1064724.8</v>
      </c>
      <c r="L33" s="273">
        <v>1064724.8</v>
      </c>
      <c r="M33" s="273">
        <v>1064724.8</v>
      </c>
      <c r="N33" s="268"/>
      <c r="O33" s="269">
        <f t="shared" si="1"/>
        <v>10647248</v>
      </c>
    </row>
    <row r="34" spans="1:15" x14ac:dyDescent="0.3">
      <c r="A34" s="270">
        <v>19</v>
      </c>
      <c r="B34" s="271" t="s">
        <v>344</v>
      </c>
      <c r="C34" s="272">
        <v>14992336</v>
      </c>
      <c r="D34" s="273">
        <f t="shared" si="2"/>
        <v>1499233.6</v>
      </c>
      <c r="E34" s="273">
        <v>1499233.6</v>
      </c>
      <c r="F34" s="273">
        <v>1499233.6</v>
      </c>
      <c r="G34" s="273">
        <v>1499233.6</v>
      </c>
      <c r="H34" s="273">
        <v>1499233.6</v>
      </c>
      <c r="I34" s="273">
        <v>1499233.6</v>
      </c>
      <c r="J34" s="273">
        <v>1499233.6</v>
      </c>
      <c r="K34" s="273">
        <v>1499233.6</v>
      </c>
      <c r="L34" s="273">
        <v>1499233.6</v>
      </c>
      <c r="M34" s="273">
        <v>1499233.6</v>
      </c>
      <c r="N34" s="268"/>
      <c r="O34" s="269">
        <f t="shared" si="1"/>
        <v>14992336</v>
      </c>
    </row>
    <row r="35" spans="1:15" x14ac:dyDescent="0.3">
      <c r="A35" s="270">
        <v>20</v>
      </c>
      <c r="B35" s="271" t="s">
        <v>87</v>
      </c>
      <c r="C35" s="272">
        <v>23172440</v>
      </c>
      <c r="D35" s="273">
        <f t="shared" si="2"/>
        <v>2317244</v>
      </c>
      <c r="E35" s="273">
        <v>2317244</v>
      </c>
      <c r="F35" s="273">
        <v>2317244</v>
      </c>
      <c r="G35" s="273">
        <v>2317244</v>
      </c>
      <c r="H35" s="273">
        <v>2317244</v>
      </c>
      <c r="I35" s="273">
        <v>2317244</v>
      </c>
      <c r="J35" s="273">
        <v>2317244</v>
      </c>
      <c r="K35" s="273">
        <v>2317244</v>
      </c>
      <c r="L35" s="273">
        <v>2317244</v>
      </c>
      <c r="M35" s="273">
        <v>2317244</v>
      </c>
      <c r="N35" s="268"/>
      <c r="O35" s="269">
        <f t="shared" si="1"/>
        <v>23172440</v>
      </c>
    </row>
    <row r="36" spans="1:15" x14ac:dyDescent="0.3">
      <c r="A36" s="270">
        <v>21</v>
      </c>
      <c r="B36" s="271" t="s">
        <v>88</v>
      </c>
      <c r="C36" s="272">
        <v>19269310</v>
      </c>
      <c r="D36" s="273">
        <f t="shared" si="2"/>
        <v>1926931</v>
      </c>
      <c r="E36" s="273">
        <v>1926931</v>
      </c>
      <c r="F36" s="273">
        <v>1926931</v>
      </c>
      <c r="G36" s="273">
        <v>1926931</v>
      </c>
      <c r="H36" s="273">
        <v>1926931</v>
      </c>
      <c r="I36" s="273">
        <v>1926931</v>
      </c>
      <c r="J36" s="273">
        <v>1926931</v>
      </c>
      <c r="K36" s="273">
        <v>1926931</v>
      </c>
      <c r="L36" s="273">
        <v>1926931</v>
      </c>
      <c r="M36" s="273">
        <v>1926931</v>
      </c>
      <c r="N36" s="268"/>
      <c r="O36" s="269">
        <f t="shared" si="1"/>
        <v>19269310</v>
      </c>
    </row>
    <row r="37" spans="1:15" x14ac:dyDescent="0.3">
      <c r="A37" s="270">
        <v>22</v>
      </c>
      <c r="B37" s="271" t="s">
        <v>91</v>
      </c>
      <c r="C37" s="272">
        <v>12048593</v>
      </c>
      <c r="D37" s="273">
        <f t="shared" si="2"/>
        <v>1204859.3</v>
      </c>
      <c r="E37" s="273">
        <v>1204859.3</v>
      </c>
      <c r="F37" s="273">
        <v>1204859.3</v>
      </c>
      <c r="G37" s="273">
        <v>1204859.3</v>
      </c>
      <c r="H37" s="273">
        <v>1204859.3</v>
      </c>
      <c r="I37" s="273">
        <v>1204859.3</v>
      </c>
      <c r="J37" s="273">
        <v>1204859.3</v>
      </c>
      <c r="K37" s="273">
        <v>1204859.3</v>
      </c>
      <c r="L37" s="273">
        <v>1204859.3</v>
      </c>
      <c r="M37" s="273">
        <v>1204859.3</v>
      </c>
      <c r="N37" s="268"/>
      <c r="O37" s="269">
        <f t="shared" si="1"/>
        <v>12048593</v>
      </c>
    </row>
    <row r="38" spans="1:15" x14ac:dyDescent="0.3">
      <c r="A38" s="270">
        <v>23</v>
      </c>
      <c r="B38" s="271" t="s">
        <v>60</v>
      </c>
      <c r="C38" s="272">
        <v>8389304</v>
      </c>
      <c r="D38" s="273">
        <f t="shared" si="2"/>
        <v>838930.4</v>
      </c>
      <c r="E38" s="273">
        <v>838930.4</v>
      </c>
      <c r="F38" s="273">
        <v>838930.4</v>
      </c>
      <c r="G38" s="273">
        <v>838930.4</v>
      </c>
      <c r="H38" s="273">
        <v>838930.4</v>
      </c>
      <c r="I38" s="273">
        <v>838930.4</v>
      </c>
      <c r="J38" s="273">
        <v>838930.4</v>
      </c>
      <c r="K38" s="273">
        <v>838930.4</v>
      </c>
      <c r="L38" s="273">
        <v>838930.4</v>
      </c>
      <c r="M38" s="273">
        <v>838930.4</v>
      </c>
      <c r="N38" s="268"/>
      <c r="O38" s="269">
        <f t="shared" si="1"/>
        <v>8389304</v>
      </c>
    </row>
    <row r="39" spans="1:15" x14ac:dyDescent="0.3">
      <c r="A39" s="270">
        <v>24</v>
      </c>
      <c r="B39" s="271" t="s">
        <v>95</v>
      </c>
      <c r="C39" s="272">
        <v>25821007</v>
      </c>
      <c r="D39" s="273">
        <f t="shared" si="2"/>
        <v>2582100.7000000002</v>
      </c>
      <c r="E39" s="273">
        <v>2582100.7000000002</v>
      </c>
      <c r="F39" s="273">
        <v>2582100.7000000002</v>
      </c>
      <c r="G39" s="273">
        <v>2582100.7000000002</v>
      </c>
      <c r="H39" s="273">
        <v>2582100.7000000002</v>
      </c>
      <c r="I39" s="273">
        <v>2582100.7000000002</v>
      </c>
      <c r="J39" s="273">
        <v>2582100.7000000002</v>
      </c>
      <c r="K39" s="273">
        <v>2582100.7000000002</v>
      </c>
      <c r="L39" s="273">
        <v>2582100.7000000002</v>
      </c>
      <c r="M39" s="273">
        <v>2582100.7000000002</v>
      </c>
      <c r="N39" s="268"/>
      <c r="O39" s="269">
        <f t="shared" si="1"/>
        <v>25821007</v>
      </c>
    </row>
    <row r="40" spans="1:15" x14ac:dyDescent="0.3">
      <c r="A40" s="270">
        <v>25</v>
      </c>
      <c r="B40" s="271" t="s">
        <v>97</v>
      </c>
      <c r="C40" s="272">
        <v>41153957</v>
      </c>
      <c r="D40" s="273">
        <f t="shared" si="2"/>
        <v>4115395.7</v>
      </c>
      <c r="E40" s="273">
        <v>4115395.7</v>
      </c>
      <c r="F40" s="273">
        <v>4115395.7</v>
      </c>
      <c r="G40" s="273">
        <v>4115395.7</v>
      </c>
      <c r="H40" s="273">
        <v>4115395.7</v>
      </c>
      <c r="I40" s="273">
        <v>4115395.7</v>
      </c>
      <c r="J40" s="273">
        <v>4115395.7</v>
      </c>
      <c r="K40" s="273">
        <v>4115395.7</v>
      </c>
      <c r="L40" s="273">
        <v>4115395.7</v>
      </c>
      <c r="M40" s="273">
        <v>4115395.7</v>
      </c>
      <c r="N40" s="268"/>
      <c r="O40" s="269">
        <f t="shared" si="1"/>
        <v>41153957</v>
      </c>
    </row>
    <row r="41" spans="1:15" x14ac:dyDescent="0.3">
      <c r="A41" s="270">
        <v>26</v>
      </c>
      <c r="B41" s="271" t="s">
        <v>345</v>
      </c>
      <c r="C41" s="272">
        <v>19954501</v>
      </c>
      <c r="D41" s="273">
        <f t="shared" si="2"/>
        <v>1995450.1</v>
      </c>
      <c r="E41" s="273">
        <v>1995450.1</v>
      </c>
      <c r="F41" s="273">
        <v>1995450.1</v>
      </c>
      <c r="G41" s="273">
        <v>1995450.1</v>
      </c>
      <c r="H41" s="273">
        <v>1995450.1</v>
      </c>
      <c r="I41" s="273">
        <v>1995450.1</v>
      </c>
      <c r="J41" s="273">
        <v>1995450.1</v>
      </c>
      <c r="K41" s="273">
        <v>1995450.1</v>
      </c>
      <c r="L41" s="273">
        <v>1995450.1</v>
      </c>
      <c r="M41" s="273">
        <v>1995450.1</v>
      </c>
      <c r="N41" s="268"/>
      <c r="O41" s="269">
        <f t="shared" si="1"/>
        <v>19954501</v>
      </c>
    </row>
    <row r="42" spans="1:15" x14ac:dyDescent="0.3">
      <c r="A42" s="270">
        <v>27</v>
      </c>
      <c r="B42" s="271" t="s">
        <v>71</v>
      </c>
      <c r="C42" s="272">
        <v>6261693</v>
      </c>
      <c r="D42" s="273">
        <f t="shared" si="2"/>
        <v>626169.30000000005</v>
      </c>
      <c r="E42" s="273">
        <v>626169.30000000005</v>
      </c>
      <c r="F42" s="273">
        <v>626169.30000000005</v>
      </c>
      <c r="G42" s="273">
        <v>626169.30000000005</v>
      </c>
      <c r="H42" s="273">
        <v>626169.30000000005</v>
      </c>
      <c r="I42" s="273">
        <v>626169.30000000005</v>
      </c>
      <c r="J42" s="273">
        <v>626169.30000000005</v>
      </c>
      <c r="K42" s="273">
        <v>626169.30000000005</v>
      </c>
      <c r="L42" s="273">
        <v>626169.30000000005</v>
      </c>
      <c r="M42" s="273">
        <v>626169.30000000005</v>
      </c>
      <c r="N42" s="268"/>
      <c r="O42" s="269">
        <f t="shared" si="1"/>
        <v>6261693</v>
      </c>
    </row>
    <row r="43" spans="1:15" x14ac:dyDescent="0.3">
      <c r="A43" s="270">
        <v>28</v>
      </c>
      <c r="B43" s="271" t="s">
        <v>72</v>
      </c>
      <c r="C43" s="272">
        <v>4802313</v>
      </c>
      <c r="D43" s="273">
        <f t="shared" si="2"/>
        <v>480231.3</v>
      </c>
      <c r="E43" s="273">
        <v>480231.3</v>
      </c>
      <c r="F43" s="273">
        <v>480231.3</v>
      </c>
      <c r="G43" s="273">
        <v>480231.3</v>
      </c>
      <c r="H43" s="273">
        <v>480231.3</v>
      </c>
      <c r="I43" s="273">
        <v>480231.3</v>
      </c>
      <c r="J43" s="273">
        <v>480231.3</v>
      </c>
      <c r="K43" s="273">
        <v>480231.3</v>
      </c>
      <c r="L43" s="273">
        <v>480231.3</v>
      </c>
      <c r="M43" s="273">
        <v>480231.3</v>
      </c>
      <c r="N43" s="268"/>
      <c r="O43" s="269">
        <f t="shared" si="1"/>
        <v>4802313</v>
      </c>
    </row>
    <row r="44" spans="1:15" x14ac:dyDescent="0.3">
      <c r="A44" s="270">
        <v>29</v>
      </c>
      <c r="B44" s="271" t="s">
        <v>61</v>
      </c>
      <c r="C44" s="272">
        <v>22974613</v>
      </c>
      <c r="D44" s="273">
        <f t="shared" si="2"/>
        <v>2297461.2999999998</v>
      </c>
      <c r="E44" s="273">
        <v>2297461.2999999998</v>
      </c>
      <c r="F44" s="273">
        <v>2297461.2999999998</v>
      </c>
      <c r="G44" s="273">
        <v>2297461.2999999998</v>
      </c>
      <c r="H44" s="273">
        <v>2297461.2999999998</v>
      </c>
      <c r="I44" s="273">
        <v>2297461.2999999998</v>
      </c>
      <c r="J44" s="273">
        <v>2297461.2999999998</v>
      </c>
      <c r="K44" s="273">
        <v>2297461.2999999998</v>
      </c>
      <c r="L44" s="273">
        <v>2297461.2999999998</v>
      </c>
      <c r="M44" s="273">
        <v>2297461.2999999998</v>
      </c>
      <c r="N44" s="268"/>
      <c r="O44" s="269">
        <f t="shared" si="1"/>
        <v>22974613</v>
      </c>
    </row>
    <row r="45" spans="1:15" x14ac:dyDescent="0.3">
      <c r="A45" s="270">
        <v>30</v>
      </c>
      <c r="B45" s="271" t="s">
        <v>104</v>
      </c>
      <c r="C45" s="272">
        <v>12009499</v>
      </c>
      <c r="D45" s="273">
        <f t="shared" si="2"/>
        <v>1200949.8999999999</v>
      </c>
      <c r="E45" s="273">
        <v>1200949.8999999999</v>
      </c>
      <c r="F45" s="273">
        <v>1200949.8999999999</v>
      </c>
      <c r="G45" s="273">
        <v>1200949.8999999999</v>
      </c>
      <c r="H45" s="273">
        <v>1200949.8999999999</v>
      </c>
      <c r="I45" s="273">
        <v>1200949.8999999999</v>
      </c>
      <c r="J45" s="273">
        <v>1200949.8999999999</v>
      </c>
      <c r="K45" s="273">
        <v>1200949.8999999999</v>
      </c>
      <c r="L45" s="273">
        <v>1200949.8999999999</v>
      </c>
      <c r="M45" s="273">
        <v>1200949.8999999999</v>
      </c>
      <c r="N45" s="268"/>
      <c r="O45" s="269">
        <f t="shared" si="1"/>
        <v>12009499</v>
      </c>
    </row>
    <row r="46" spans="1:15" x14ac:dyDescent="0.3">
      <c r="A46" s="270">
        <v>31</v>
      </c>
      <c r="B46" s="271" t="s">
        <v>410</v>
      </c>
      <c r="C46" s="272">
        <v>26808260</v>
      </c>
      <c r="D46" s="273">
        <f t="shared" si="2"/>
        <v>2680826</v>
      </c>
      <c r="E46" s="273">
        <v>2680826</v>
      </c>
      <c r="F46" s="273">
        <v>2680826</v>
      </c>
      <c r="G46" s="273">
        <v>2680826</v>
      </c>
      <c r="H46" s="273">
        <v>2680826</v>
      </c>
      <c r="I46" s="273">
        <v>2680826</v>
      </c>
      <c r="J46" s="273">
        <v>2680826</v>
      </c>
      <c r="K46" s="273">
        <v>2680826</v>
      </c>
      <c r="L46" s="273">
        <v>2680826</v>
      </c>
      <c r="M46" s="273">
        <v>2680826</v>
      </c>
      <c r="N46" s="268"/>
      <c r="O46" s="269">
        <f t="shared" si="1"/>
        <v>26808260</v>
      </c>
    </row>
    <row r="47" spans="1:15" x14ac:dyDescent="0.3">
      <c r="A47" s="270">
        <v>32</v>
      </c>
      <c r="B47" s="271" t="s">
        <v>83</v>
      </c>
      <c r="C47" s="272">
        <v>17059099</v>
      </c>
      <c r="D47" s="273">
        <f t="shared" si="2"/>
        <v>1705909.9</v>
      </c>
      <c r="E47" s="273">
        <v>1705909.9</v>
      </c>
      <c r="F47" s="273">
        <v>1705909.9</v>
      </c>
      <c r="G47" s="273">
        <v>1705909.9</v>
      </c>
      <c r="H47" s="273">
        <v>1705909.9</v>
      </c>
      <c r="I47" s="273">
        <v>1705909.9</v>
      </c>
      <c r="J47" s="273">
        <v>1705909.9</v>
      </c>
      <c r="K47" s="273">
        <v>1705909.9</v>
      </c>
      <c r="L47" s="273">
        <v>1705909.9</v>
      </c>
      <c r="M47" s="273">
        <v>1705909.9</v>
      </c>
      <c r="N47" s="268"/>
      <c r="O47" s="269">
        <f t="shared" ref="O47:O78" si="3">C47-N47</f>
        <v>17059099</v>
      </c>
    </row>
    <row r="48" spans="1:15" x14ac:dyDescent="0.3">
      <c r="A48" s="270">
        <v>33</v>
      </c>
      <c r="B48" s="271" t="s">
        <v>108</v>
      </c>
      <c r="C48" s="272">
        <v>14111276</v>
      </c>
      <c r="D48" s="273">
        <f t="shared" ref="D48:D79" si="4">C48/10</f>
        <v>1411127.6</v>
      </c>
      <c r="E48" s="273">
        <v>1411127.6</v>
      </c>
      <c r="F48" s="273">
        <v>1411127.6</v>
      </c>
      <c r="G48" s="273">
        <v>1411127.6</v>
      </c>
      <c r="H48" s="273">
        <v>1411127.6</v>
      </c>
      <c r="I48" s="273">
        <v>1411127.6</v>
      </c>
      <c r="J48" s="273">
        <v>1411127.6</v>
      </c>
      <c r="K48" s="273">
        <v>1411127.6</v>
      </c>
      <c r="L48" s="273">
        <v>1411127.6</v>
      </c>
      <c r="M48" s="273">
        <v>1411127.6</v>
      </c>
      <c r="N48" s="268"/>
      <c r="O48" s="269">
        <f t="shared" si="3"/>
        <v>14111276</v>
      </c>
    </row>
    <row r="49" spans="1:15" x14ac:dyDescent="0.3">
      <c r="A49" s="270">
        <v>34</v>
      </c>
      <c r="B49" s="271" t="s">
        <v>110</v>
      </c>
      <c r="C49" s="272">
        <v>88402671</v>
      </c>
      <c r="D49" s="273">
        <f t="shared" si="4"/>
        <v>8840267.0999999996</v>
      </c>
      <c r="E49" s="273">
        <v>8840267.0999999996</v>
      </c>
      <c r="F49" s="273">
        <v>8840267.0999999996</v>
      </c>
      <c r="G49" s="273">
        <v>8840267.0999999996</v>
      </c>
      <c r="H49" s="273">
        <v>8840267.0999999996</v>
      </c>
      <c r="I49" s="273">
        <v>8840267.0999999996</v>
      </c>
      <c r="J49" s="273">
        <v>8840267.0999999996</v>
      </c>
      <c r="K49" s="273">
        <v>8840267.0999999996</v>
      </c>
      <c r="L49" s="273">
        <v>8840267.0999999996</v>
      </c>
      <c r="M49" s="273">
        <v>8840267.0999999996</v>
      </c>
      <c r="N49" s="268"/>
      <c r="O49" s="269">
        <f t="shared" si="3"/>
        <v>88402671</v>
      </c>
    </row>
    <row r="50" spans="1:15" x14ac:dyDescent="0.3">
      <c r="A50" s="270">
        <v>35</v>
      </c>
      <c r="B50" s="271" t="s">
        <v>112</v>
      </c>
      <c r="C50" s="272">
        <v>43688711</v>
      </c>
      <c r="D50" s="273">
        <f t="shared" si="4"/>
        <v>4368871.0999999996</v>
      </c>
      <c r="E50" s="273">
        <v>4368871.0999999996</v>
      </c>
      <c r="F50" s="273">
        <v>4368871.0999999996</v>
      </c>
      <c r="G50" s="273">
        <v>4368871.0999999996</v>
      </c>
      <c r="H50" s="273">
        <v>4368871.0999999996</v>
      </c>
      <c r="I50" s="273">
        <v>4368871.0999999996</v>
      </c>
      <c r="J50" s="273">
        <v>4368871.0999999996</v>
      </c>
      <c r="K50" s="273">
        <v>4368871.0999999996</v>
      </c>
      <c r="L50" s="273">
        <v>4368871.0999999996</v>
      </c>
      <c r="M50" s="273">
        <v>4368871.0999999996</v>
      </c>
      <c r="N50" s="268"/>
      <c r="O50" s="269">
        <f t="shared" si="3"/>
        <v>43688711</v>
      </c>
    </row>
    <row r="51" spans="1:15" x14ac:dyDescent="0.3">
      <c r="A51" s="270">
        <v>36</v>
      </c>
      <c r="B51" s="271" t="s">
        <v>114</v>
      </c>
      <c r="C51" s="272">
        <v>8015295</v>
      </c>
      <c r="D51" s="273">
        <f t="shared" si="4"/>
        <v>801529.5</v>
      </c>
      <c r="E51" s="273">
        <v>801529.5</v>
      </c>
      <c r="F51" s="273">
        <v>801529.5</v>
      </c>
      <c r="G51" s="273">
        <v>801529.5</v>
      </c>
      <c r="H51" s="273">
        <v>801529.5</v>
      </c>
      <c r="I51" s="273">
        <v>801529.5</v>
      </c>
      <c r="J51" s="273">
        <v>801529.5</v>
      </c>
      <c r="K51" s="273">
        <v>801529.5</v>
      </c>
      <c r="L51" s="273">
        <v>801529.5</v>
      </c>
      <c r="M51" s="273">
        <v>801529.5</v>
      </c>
      <c r="N51" s="268"/>
      <c r="O51" s="269">
        <f t="shared" si="3"/>
        <v>8015295</v>
      </c>
    </row>
    <row r="52" spans="1:15" x14ac:dyDescent="0.3">
      <c r="A52" s="270">
        <v>37</v>
      </c>
      <c r="B52" s="271" t="s">
        <v>92</v>
      </c>
      <c r="C52" s="272">
        <v>12895782</v>
      </c>
      <c r="D52" s="273">
        <f t="shared" si="4"/>
        <v>1289578.2</v>
      </c>
      <c r="E52" s="273">
        <v>1289578.2</v>
      </c>
      <c r="F52" s="273">
        <v>1289578.2</v>
      </c>
      <c r="G52" s="273">
        <v>1289578.2</v>
      </c>
      <c r="H52" s="273">
        <v>1289578.2</v>
      </c>
      <c r="I52" s="273">
        <v>1289578.2</v>
      </c>
      <c r="J52" s="273">
        <v>1289578.2</v>
      </c>
      <c r="K52" s="273">
        <v>1289578.2</v>
      </c>
      <c r="L52" s="273">
        <v>1289578.2</v>
      </c>
      <c r="M52" s="273">
        <v>1289578.2</v>
      </c>
      <c r="N52" s="268"/>
      <c r="O52" s="269">
        <f t="shared" si="3"/>
        <v>12895782</v>
      </c>
    </row>
    <row r="53" spans="1:15" x14ac:dyDescent="0.3">
      <c r="A53" s="270">
        <v>38</v>
      </c>
      <c r="B53" s="271" t="s">
        <v>51</v>
      </c>
      <c r="C53" s="272">
        <v>56018726</v>
      </c>
      <c r="D53" s="273">
        <f t="shared" si="4"/>
        <v>5601872.5999999996</v>
      </c>
      <c r="E53" s="273">
        <v>5601872.5999999996</v>
      </c>
      <c r="F53" s="273">
        <v>5601872.5999999996</v>
      </c>
      <c r="G53" s="273">
        <v>5601872.5999999996</v>
      </c>
      <c r="H53" s="273">
        <v>5601872.5999999996</v>
      </c>
      <c r="I53" s="273">
        <v>5601872.5999999996</v>
      </c>
      <c r="J53" s="273">
        <v>5601872.5999999996</v>
      </c>
      <c r="K53" s="273">
        <v>5601872.5999999996</v>
      </c>
      <c r="L53" s="273">
        <v>5601872.5999999996</v>
      </c>
      <c r="M53" s="273">
        <v>5601872.5999999996</v>
      </c>
      <c r="N53" s="268"/>
      <c r="O53" s="269">
        <f t="shared" si="3"/>
        <v>56018726</v>
      </c>
    </row>
    <row r="54" spans="1:15" x14ac:dyDescent="0.3">
      <c r="A54" s="270">
        <v>39</v>
      </c>
      <c r="B54" s="271" t="s">
        <v>105</v>
      </c>
      <c r="C54" s="272">
        <v>10313730</v>
      </c>
      <c r="D54" s="273">
        <f t="shared" si="4"/>
        <v>1031373</v>
      </c>
      <c r="E54" s="273">
        <v>1031373</v>
      </c>
      <c r="F54" s="273">
        <v>1031373</v>
      </c>
      <c r="G54" s="273">
        <v>1031373</v>
      </c>
      <c r="H54" s="273">
        <v>1031373</v>
      </c>
      <c r="I54" s="273">
        <v>1031373</v>
      </c>
      <c r="J54" s="273">
        <v>1031373</v>
      </c>
      <c r="K54" s="273">
        <v>1031373</v>
      </c>
      <c r="L54" s="273">
        <v>1031373</v>
      </c>
      <c r="M54" s="273">
        <v>1031373</v>
      </c>
      <c r="N54" s="268"/>
      <c r="O54" s="269">
        <f t="shared" si="3"/>
        <v>10313730</v>
      </c>
    </row>
    <row r="55" spans="1:15" x14ac:dyDescent="0.3">
      <c r="A55" s="270">
        <v>40</v>
      </c>
      <c r="B55" s="271" t="s">
        <v>96</v>
      </c>
      <c r="C55" s="272">
        <v>15086541</v>
      </c>
      <c r="D55" s="273">
        <f t="shared" si="4"/>
        <v>1508654.1</v>
      </c>
      <c r="E55" s="273">
        <v>1508654.1</v>
      </c>
      <c r="F55" s="273">
        <v>1508654.1</v>
      </c>
      <c r="G55" s="273">
        <v>1508654.1</v>
      </c>
      <c r="H55" s="273">
        <v>1508654.1</v>
      </c>
      <c r="I55" s="273">
        <v>1508654.1</v>
      </c>
      <c r="J55" s="273">
        <v>1508654.1</v>
      </c>
      <c r="K55" s="273">
        <v>1508654.1</v>
      </c>
      <c r="L55" s="273">
        <v>1508654.1</v>
      </c>
      <c r="M55" s="273">
        <v>1508654.1</v>
      </c>
      <c r="N55" s="268"/>
      <c r="O55" s="269">
        <f t="shared" si="3"/>
        <v>15086541</v>
      </c>
    </row>
    <row r="56" spans="1:15" x14ac:dyDescent="0.3">
      <c r="A56" s="270">
        <v>41</v>
      </c>
      <c r="B56" s="271" t="s">
        <v>98</v>
      </c>
      <c r="C56" s="272">
        <v>15203727</v>
      </c>
      <c r="D56" s="273">
        <f t="shared" si="4"/>
        <v>1520372.7</v>
      </c>
      <c r="E56" s="273">
        <v>1520372.7</v>
      </c>
      <c r="F56" s="273">
        <v>1520372.7</v>
      </c>
      <c r="G56" s="273">
        <v>1520372.7</v>
      </c>
      <c r="H56" s="273">
        <v>1520372.7</v>
      </c>
      <c r="I56" s="273">
        <v>1520372.7</v>
      </c>
      <c r="J56" s="273">
        <v>1520372.7</v>
      </c>
      <c r="K56" s="273">
        <v>1520372.7</v>
      </c>
      <c r="L56" s="273">
        <v>1520372.7</v>
      </c>
      <c r="M56" s="273">
        <v>1520372.7</v>
      </c>
      <c r="N56" s="268"/>
      <c r="O56" s="269">
        <f t="shared" si="3"/>
        <v>15203727</v>
      </c>
    </row>
    <row r="57" spans="1:15" x14ac:dyDescent="0.3">
      <c r="A57" s="270">
        <v>42</v>
      </c>
      <c r="B57" s="271" t="s">
        <v>122</v>
      </c>
      <c r="C57" s="272">
        <v>7099547</v>
      </c>
      <c r="D57" s="273">
        <f t="shared" si="4"/>
        <v>709954.7</v>
      </c>
      <c r="E57" s="273">
        <v>709954.7</v>
      </c>
      <c r="F57" s="273">
        <v>709954.7</v>
      </c>
      <c r="G57" s="273">
        <v>709954.7</v>
      </c>
      <c r="H57" s="273">
        <v>709954.7</v>
      </c>
      <c r="I57" s="273">
        <v>709954.7</v>
      </c>
      <c r="J57" s="273">
        <v>709954.7</v>
      </c>
      <c r="K57" s="273">
        <v>709954.7</v>
      </c>
      <c r="L57" s="273">
        <v>709954.7</v>
      </c>
      <c r="M57" s="273">
        <v>709954.7</v>
      </c>
      <c r="N57" s="268"/>
      <c r="O57" s="269">
        <f t="shared" si="3"/>
        <v>7099547</v>
      </c>
    </row>
    <row r="58" spans="1:15" x14ac:dyDescent="0.3">
      <c r="A58" s="270">
        <v>43</v>
      </c>
      <c r="B58" s="271" t="s">
        <v>346</v>
      </c>
      <c r="C58" s="272">
        <v>19596801</v>
      </c>
      <c r="D58" s="273">
        <f t="shared" si="4"/>
        <v>1959680.1</v>
      </c>
      <c r="E58" s="273">
        <v>1959680.1</v>
      </c>
      <c r="F58" s="273">
        <v>1959680.1</v>
      </c>
      <c r="G58" s="273">
        <v>1959680.1</v>
      </c>
      <c r="H58" s="273">
        <v>1959680.1</v>
      </c>
      <c r="I58" s="273">
        <v>1959680.1</v>
      </c>
      <c r="J58" s="273">
        <v>1959680.1</v>
      </c>
      <c r="K58" s="273">
        <v>1959680.1</v>
      </c>
      <c r="L58" s="273">
        <v>1959680.1</v>
      </c>
      <c r="M58" s="273">
        <v>1959680.1</v>
      </c>
      <c r="N58" s="268"/>
      <c r="O58" s="269">
        <f t="shared" si="3"/>
        <v>19596801</v>
      </c>
    </row>
    <row r="59" spans="1:15" x14ac:dyDescent="0.3">
      <c r="A59" s="270">
        <v>44</v>
      </c>
      <c r="B59" s="271" t="s">
        <v>102</v>
      </c>
      <c r="C59" s="272">
        <v>15247673</v>
      </c>
      <c r="D59" s="273">
        <f t="shared" si="4"/>
        <v>1524767.3</v>
      </c>
      <c r="E59" s="273">
        <v>1524767.3</v>
      </c>
      <c r="F59" s="273">
        <v>1524767.3</v>
      </c>
      <c r="G59" s="273">
        <v>1524767.3</v>
      </c>
      <c r="H59" s="273">
        <v>1524767.3</v>
      </c>
      <c r="I59" s="273">
        <v>1524767.3</v>
      </c>
      <c r="J59" s="273">
        <v>1524767.3</v>
      </c>
      <c r="K59" s="273">
        <v>1524767.3</v>
      </c>
      <c r="L59" s="273">
        <v>1524767.3</v>
      </c>
      <c r="M59" s="273">
        <v>1524767.3</v>
      </c>
      <c r="N59" s="268"/>
      <c r="O59" s="269">
        <f t="shared" si="3"/>
        <v>15247673</v>
      </c>
    </row>
    <row r="60" spans="1:15" x14ac:dyDescent="0.3">
      <c r="A60" s="270">
        <v>45</v>
      </c>
      <c r="B60" s="271" t="s">
        <v>127</v>
      </c>
      <c r="C60" s="272">
        <v>11477446</v>
      </c>
      <c r="D60" s="273">
        <f t="shared" si="4"/>
        <v>1147744.6000000001</v>
      </c>
      <c r="E60" s="273">
        <v>1147744.6000000001</v>
      </c>
      <c r="F60" s="273">
        <v>1147744.6000000001</v>
      </c>
      <c r="G60" s="273">
        <v>1147744.6000000001</v>
      </c>
      <c r="H60" s="273">
        <v>1147744.6000000001</v>
      </c>
      <c r="I60" s="273">
        <v>1147744.6000000001</v>
      </c>
      <c r="J60" s="273">
        <v>1147744.6000000001</v>
      </c>
      <c r="K60" s="273">
        <v>1147744.6000000001</v>
      </c>
      <c r="L60" s="273">
        <v>1147744.6000000001</v>
      </c>
      <c r="M60" s="273">
        <v>1147744.6000000001</v>
      </c>
      <c r="N60" s="268"/>
      <c r="O60" s="269">
        <f t="shared" si="3"/>
        <v>11477446</v>
      </c>
    </row>
    <row r="61" spans="1:15" x14ac:dyDescent="0.3">
      <c r="A61" s="270">
        <v>46</v>
      </c>
      <c r="B61" s="271" t="s">
        <v>119</v>
      </c>
      <c r="C61" s="272">
        <v>18078185</v>
      </c>
      <c r="D61" s="273">
        <f t="shared" si="4"/>
        <v>1807818.5</v>
      </c>
      <c r="E61" s="273">
        <v>1807818.5</v>
      </c>
      <c r="F61" s="273">
        <v>1807818.5</v>
      </c>
      <c r="G61" s="273">
        <v>1807818.5</v>
      </c>
      <c r="H61" s="273">
        <v>1807818.5</v>
      </c>
      <c r="I61" s="273">
        <v>1807818.5</v>
      </c>
      <c r="J61" s="273">
        <v>1807818.5</v>
      </c>
      <c r="K61" s="273">
        <v>1807818.5</v>
      </c>
      <c r="L61" s="273">
        <v>1807818.5</v>
      </c>
      <c r="M61" s="273">
        <v>1807818.5</v>
      </c>
      <c r="N61" s="268"/>
      <c r="O61" s="269">
        <f t="shared" si="3"/>
        <v>18078185</v>
      </c>
    </row>
    <row r="62" spans="1:15" x14ac:dyDescent="0.3">
      <c r="A62" s="270">
        <v>47</v>
      </c>
      <c r="B62" s="271" t="s">
        <v>121</v>
      </c>
      <c r="C62" s="272">
        <v>31639891</v>
      </c>
      <c r="D62" s="273">
        <f t="shared" si="4"/>
        <v>3163989.1</v>
      </c>
      <c r="E62" s="273">
        <v>3163989.1</v>
      </c>
      <c r="F62" s="273">
        <v>3163989.1</v>
      </c>
      <c r="G62" s="273">
        <v>3163989.1</v>
      </c>
      <c r="H62" s="273">
        <v>3163989.1</v>
      </c>
      <c r="I62" s="273">
        <v>3163989.1</v>
      </c>
      <c r="J62" s="273">
        <v>3163989.1</v>
      </c>
      <c r="K62" s="273">
        <v>3163989.1</v>
      </c>
      <c r="L62" s="273">
        <v>3163989.1</v>
      </c>
      <c r="M62" s="273">
        <v>3163989.1</v>
      </c>
      <c r="N62" s="268"/>
      <c r="O62" s="269">
        <f t="shared" si="3"/>
        <v>31639891</v>
      </c>
    </row>
    <row r="63" spans="1:15" x14ac:dyDescent="0.3">
      <c r="A63" s="270">
        <v>48</v>
      </c>
      <c r="B63" s="271" t="s">
        <v>47</v>
      </c>
      <c r="C63" s="272">
        <v>6226131</v>
      </c>
      <c r="D63" s="273">
        <f t="shared" si="4"/>
        <v>622613.1</v>
      </c>
      <c r="E63" s="273">
        <v>622613.1</v>
      </c>
      <c r="F63" s="273">
        <v>622613.1</v>
      </c>
      <c r="G63" s="273">
        <v>622613.1</v>
      </c>
      <c r="H63" s="273">
        <v>622613.1</v>
      </c>
      <c r="I63" s="273">
        <v>622613.1</v>
      </c>
      <c r="J63" s="273">
        <v>622613.1</v>
      </c>
      <c r="K63" s="273">
        <v>622613.1</v>
      </c>
      <c r="L63" s="273">
        <v>622613.1</v>
      </c>
      <c r="M63" s="273">
        <v>622613.1</v>
      </c>
      <c r="N63" s="268"/>
      <c r="O63" s="269">
        <f t="shared" si="3"/>
        <v>6226131</v>
      </c>
    </row>
    <row r="64" spans="1:15" x14ac:dyDescent="0.3">
      <c r="A64" s="270">
        <v>49</v>
      </c>
      <c r="B64" s="271" t="s">
        <v>115</v>
      </c>
      <c r="C64" s="272">
        <v>38967469</v>
      </c>
      <c r="D64" s="273">
        <f t="shared" si="4"/>
        <v>3896746.9</v>
      </c>
      <c r="E64" s="273">
        <v>3896746.9</v>
      </c>
      <c r="F64" s="273">
        <v>3896746.9</v>
      </c>
      <c r="G64" s="273">
        <v>3896746.9</v>
      </c>
      <c r="H64" s="273">
        <v>3896746.9</v>
      </c>
      <c r="I64" s="273">
        <v>3896746.9</v>
      </c>
      <c r="J64" s="273">
        <v>3896746.9</v>
      </c>
      <c r="K64" s="273">
        <v>3896746.9</v>
      </c>
      <c r="L64" s="273">
        <v>3896746.9</v>
      </c>
      <c r="M64" s="273">
        <v>3896746.9</v>
      </c>
      <c r="N64" s="268"/>
      <c r="O64" s="269">
        <f t="shared" si="3"/>
        <v>38967469</v>
      </c>
    </row>
    <row r="65" spans="1:15" x14ac:dyDescent="0.3">
      <c r="A65" s="270">
        <v>50</v>
      </c>
      <c r="B65" s="271" t="s">
        <v>69</v>
      </c>
      <c r="C65" s="272">
        <v>90950483</v>
      </c>
      <c r="D65" s="273">
        <f t="shared" si="4"/>
        <v>9095048.3000000007</v>
      </c>
      <c r="E65" s="273">
        <v>9095048.3000000007</v>
      </c>
      <c r="F65" s="273">
        <v>9095048.3000000007</v>
      </c>
      <c r="G65" s="273">
        <v>9095048.3000000007</v>
      </c>
      <c r="H65" s="273">
        <v>9095048.3000000007</v>
      </c>
      <c r="I65" s="273">
        <v>9095048.3000000007</v>
      </c>
      <c r="J65" s="273">
        <v>9095048.3000000007</v>
      </c>
      <c r="K65" s="273">
        <v>9095048.3000000007</v>
      </c>
      <c r="L65" s="273">
        <v>9095048.3000000007</v>
      </c>
      <c r="M65" s="273">
        <v>9095048.3000000007</v>
      </c>
      <c r="N65" s="268"/>
      <c r="O65" s="269">
        <f t="shared" si="3"/>
        <v>90950483</v>
      </c>
    </row>
    <row r="66" spans="1:15" x14ac:dyDescent="0.3">
      <c r="A66" s="270">
        <v>51</v>
      </c>
      <c r="B66" s="271" t="s">
        <v>126</v>
      </c>
      <c r="C66" s="272">
        <v>6090948</v>
      </c>
      <c r="D66" s="273">
        <f t="shared" si="4"/>
        <v>609094.80000000005</v>
      </c>
      <c r="E66" s="273">
        <v>609094.80000000005</v>
      </c>
      <c r="F66" s="273">
        <v>609094.80000000005</v>
      </c>
      <c r="G66" s="273">
        <v>609094.80000000005</v>
      </c>
      <c r="H66" s="273">
        <v>609094.80000000005</v>
      </c>
      <c r="I66" s="273">
        <v>609094.80000000005</v>
      </c>
      <c r="J66" s="273">
        <v>609094.80000000005</v>
      </c>
      <c r="K66" s="273">
        <v>609094.80000000005</v>
      </c>
      <c r="L66" s="273">
        <v>609094.80000000005</v>
      </c>
      <c r="M66" s="273">
        <v>609094.80000000005</v>
      </c>
      <c r="N66" s="268"/>
      <c r="O66" s="269">
        <f t="shared" si="3"/>
        <v>6090948</v>
      </c>
    </row>
    <row r="67" spans="1:15" x14ac:dyDescent="0.3">
      <c r="A67" s="270">
        <v>52</v>
      </c>
      <c r="B67" s="271" t="s">
        <v>58</v>
      </c>
      <c r="C67" s="272">
        <v>32908449</v>
      </c>
      <c r="D67" s="273">
        <f t="shared" si="4"/>
        <v>3290844.9</v>
      </c>
      <c r="E67" s="273">
        <v>3290844.9</v>
      </c>
      <c r="F67" s="273">
        <v>3290844.9</v>
      </c>
      <c r="G67" s="273">
        <v>3290844.9</v>
      </c>
      <c r="H67" s="273">
        <v>3290844.9</v>
      </c>
      <c r="I67" s="273">
        <v>3290844.9</v>
      </c>
      <c r="J67" s="273">
        <v>3290844.9</v>
      </c>
      <c r="K67" s="273">
        <v>3290844.9</v>
      </c>
      <c r="L67" s="273">
        <v>3290844.9</v>
      </c>
      <c r="M67" s="273">
        <v>3290844.9</v>
      </c>
      <c r="N67" s="268"/>
      <c r="O67" s="269">
        <f t="shared" si="3"/>
        <v>32908449</v>
      </c>
    </row>
    <row r="68" spans="1:15" x14ac:dyDescent="0.3">
      <c r="A68" s="270">
        <v>53</v>
      </c>
      <c r="B68" s="271" t="s">
        <v>103</v>
      </c>
      <c r="C68" s="272">
        <v>189742305</v>
      </c>
      <c r="D68" s="273">
        <f t="shared" si="4"/>
        <v>18974230.5</v>
      </c>
      <c r="E68" s="273">
        <v>18974230.5</v>
      </c>
      <c r="F68" s="273">
        <v>18974230.5</v>
      </c>
      <c r="G68" s="273">
        <v>18974230.5</v>
      </c>
      <c r="H68" s="273">
        <v>18974230.5</v>
      </c>
      <c r="I68" s="273">
        <v>18974230.5</v>
      </c>
      <c r="J68" s="273">
        <v>18974230.5</v>
      </c>
      <c r="K68" s="273">
        <v>18974230.5</v>
      </c>
      <c r="L68" s="273">
        <v>18974230.5</v>
      </c>
      <c r="M68" s="273">
        <v>18974230.5</v>
      </c>
      <c r="N68" s="268"/>
      <c r="O68" s="269">
        <f t="shared" si="3"/>
        <v>189742305</v>
      </c>
    </row>
    <row r="69" spans="1:15" x14ac:dyDescent="0.3">
      <c r="A69" s="270">
        <v>54</v>
      </c>
      <c r="B69" s="271" t="s">
        <v>94</v>
      </c>
      <c r="C69" s="272">
        <v>15094788</v>
      </c>
      <c r="D69" s="273">
        <f t="shared" si="4"/>
        <v>1509478.8</v>
      </c>
      <c r="E69" s="273">
        <v>1509478.8</v>
      </c>
      <c r="F69" s="273">
        <v>1509478.8</v>
      </c>
      <c r="G69" s="273">
        <v>1509478.8</v>
      </c>
      <c r="H69" s="273">
        <v>1509478.8</v>
      </c>
      <c r="I69" s="273">
        <v>1509478.8</v>
      </c>
      <c r="J69" s="273">
        <v>1509478.8</v>
      </c>
      <c r="K69" s="273">
        <v>1509478.8</v>
      </c>
      <c r="L69" s="273">
        <v>1509478.8</v>
      </c>
      <c r="M69" s="273">
        <v>1509478.8</v>
      </c>
      <c r="N69" s="268"/>
      <c r="O69" s="269">
        <f t="shared" si="3"/>
        <v>15094788</v>
      </c>
    </row>
    <row r="70" spans="1:15" x14ac:dyDescent="0.3">
      <c r="A70" s="270">
        <v>55</v>
      </c>
      <c r="B70" s="271" t="s">
        <v>347</v>
      </c>
      <c r="C70" s="272">
        <v>29332756</v>
      </c>
      <c r="D70" s="273">
        <f t="shared" si="4"/>
        <v>2933275.6</v>
      </c>
      <c r="E70" s="273">
        <v>2933275.6</v>
      </c>
      <c r="F70" s="273">
        <v>2933275.6</v>
      </c>
      <c r="G70" s="273">
        <v>2933275.6</v>
      </c>
      <c r="H70" s="273">
        <v>2933275.6</v>
      </c>
      <c r="I70" s="273">
        <v>2933275.6</v>
      </c>
      <c r="J70" s="273">
        <v>2933275.6</v>
      </c>
      <c r="K70" s="273">
        <v>2933275.6</v>
      </c>
      <c r="L70" s="273">
        <v>2933275.6</v>
      </c>
      <c r="M70" s="273">
        <v>2933275.6</v>
      </c>
      <c r="N70" s="268"/>
      <c r="O70" s="269">
        <f t="shared" si="3"/>
        <v>29332756</v>
      </c>
    </row>
    <row r="71" spans="1:15" x14ac:dyDescent="0.3">
      <c r="A71" s="270">
        <v>56</v>
      </c>
      <c r="B71" s="271" t="s">
        <v>348</v>
      </c>
      <c r="C71" s="272">
        <v>44750839</v>
      </c>
      <c r="D71" s="273">
        <f t="shared" si="4"/>
        <v>4475083.9000000004</v>
      </c>
      <c r="E71" s="273">
        <v>4475083.9000000004</v>
      </c>
      <c r="F71" s="273">
        <v>4475083.9000000004</v>
      </c>
      <c r="G71" s="273">
        <v>4475083.9000000004</v>
      </c>
      <c r="H71" s="273">
        <v>4475083.9000000004</v>
      </c>
      <c r="I71" s="273">
        <v>4475083.9000000004</v>
      </c>
      <c r="J71" s="273">
        <v>4475083.9000000004</v>
      </c>
      <c r="K71" s="273">
        <v>4475083.9000000004</v>
      </c>
      <c r="L71" s="273">
        <v>4475083.9000000004</v>
      </c>
      <c r="M71" s="273">
        <v>4475083.9000000004</v>
      </c>
      <c r="N71" s="268"/>
      <c r="O71" s="269">
        <f t="shared" si="3"/>
        <v>44750839</v>
      </c>
    </row>
    <row r="72" spans="1:15" x14ac:dyDescent="0.3">
      <c r="A72" s="270">
        <v>57</v>
      </c>
      <c r="B72" s="271" t="s">
        <v>65</v>
      </c>
      <c r="C72" s="272">
        <v>29769473</v>
      </c>
      <c r="D72" s="273">
        <f t="shared" si="4"/>
        <v>2976947.3</v>
      </c>
      <c r="E72" s="273">
        <v>2976947.3</v>
      </c>
      <c r="F72" s="273">
        <v>2976947.3</v>
      </c>
      <c r="G72" s="273">
        <v>2976947.3</v>
      </c>
      <c r="H72" s="273">
        <v>2976947.3</v>
      </c>
      <c r="I72" s="273">
        <v>2976947.3</v>
      </c>
      <c r="J72" s="273">
        <v>2976947.3</v>
      </c>
      <c r="K72" s="273">
        <v>2976947.3</v>
      </c>
      <c r="L72" s="273">
        <v>2976947.3</v>
      </c>
      <c r="M72" s="273">
        <v>2976947.3</v>
      </c>
      <c r="N72" s="268"/>
      <c r="O72" s="269">
        <f t="shared" si="3"/>
        <v>29769473</v>
      </c>
    </row>
    <row r="73" spans="1:15" x14ac:dyDescent="0.3">
      <c r="A73" s="270">
        <v>58</v>
      </c>
      <c r="B73" s="271" t="s">
        <v>134</v>
      </c>
      <c r="C73" s="272">
        <v>9844040</v>
      </c>
      <c r="D73" s="273">
        <f t="shared" si="4"/>
        <v>984404</v>
      </c>
      <c r="E73" s="273">
        <v>984404</v>
      </c>
      <c r="F73" s="273">
        <v>984404</v>
      </c>
      <c r="G73" s="273">
        <v>984404</v>
      </c>
      <c r="H73" s="273">
        <v>984404</v>
      </c>
      <c r="I73" s="273">
        <v>984404</v>
      </c>
      <c r="J73" s="273">
        <v>984404</v>
      </c>
      <c r="K73" s="273">
        <v>984404</v>
      </c>
      <c r="L73" s="273">
        <v>984404</v>
      </c>
      <c r="M73" s="273">
        <v>984404</v>
      </c>
      <c r="N73" s="268"/>
      <c r="O73" s="269">
        <f t="shared" si="3"/>
        <v>9844040</v>
      </c>
    </row>
    <row r="74" spans="1:15" x14ac:dyDescent="0.3">
      <c r="A74" s="270">
        <v>59</v>
      </c>
      <c r="B74" s="271" t="s">
        <v>136</v>
      </c>
      <c r="C74" s="272">
        <v>10151561</v>
      </c>
      <c r="D74" s="273">
        <f t="shared" si="4"/>
        <v>1015156.1</v>
      </c>
      <c r="E74" s="273">
        <v>1015156.1</v>
      </c>
      <c r="F74" s="273">
        <v>1015156.1</v>
      </c>
      <c r="G74" s="273">
        <v>1015156.1</v>
      </c>
      <c r="H74" s="273">
        <v>1015156.1</v>
      </c>
      <c r="I74" s="273">
        <v>1015156.1</v>
      </c>
      <c r="J74" s="273">
        <v>1015156.1</v>
      </c>
      <c r="K74" s="273">
        <v>1015156.1</v>
      </c>
      <c r="L74" s="273">
        <v>1015156.1</v>
      </c>
      <c r="M74" s="273">
        <v>1015156.1</v>
      </c>
      <c r="N74" s="268"/>
      <c r="O74" s="269">
        <f t="shared" si="3"/>
        <v>10151561</v>
      </c>
    </row>
    <row r="75" spans="1:15" x14ac:dyDescent="0.3">
      <c r="A75" s="270">
        <v>60</v>
      </c>
      <c r="B75" s="271" t="s">
        <v>137</v>
      </c>
      <c r="C75" s="272">
        <v>7409046</v>
      </c>
      <c r="D75" s="273">
        <f t="shared" si="4"/>
        <v>740904.6</v>
      </c>
      <c r="E75" s="273">
        <v>740904.6</v>
      </c>
      <c r="F75" s="273">
        <v>740904.6</v>
      </c>
      <c r="G75" s="273">
        <v>740904.6</v>
      </c>
      <c r="H75" s="273">
        <v>740904.6</v>
      </c>
      <c r="I75" s="273">
        <v>740904.6</v>
      </c>
      <c r="J75" s="273">
        <v>740904.6</v>
      </c>
      <c r="K75" s="273">
        <v>740904.6</v>
      </c>
      <c r="L75" s="273">
        <v>740904.6</v>
      </c>
      <c r="M75" s="273">
        <v>740904.6</v>
      </c>
      <c r="N75" s="268"/>
      <c r="O75" s="269">
        <f t="shared" si="3"/>
        <v>7409046</v>
      </c>
    </row>
    <row r="76" spans="1:15" x14ac:dyDescent="0.3">
      <c r="A76" s="270">
        <v>61</v>
      </c>
      <c r="B76" s="271" t="s">
        <v>135</v>
      </c>
      <c r="C76" s="272">
        <v>33219010</v>
      </c>
      <c r="D76" s="273">
        <f t="shared" si="4"/>
        <v>3321901</v>
      </c>
      <c r="E76" s="273">
        <v>3321901</v>
      </c>
      <c r="F76" s="273">
        <v>3321901</v>
      </c>
      <c r="G76" s="273">
        <v>3321901</v>
      </c>
      <c r="H76" s="273">
        <v>3321901</v>
      </c>
      <c r="I76" s="273">
        <v>3321901</v>
      </c>
      <c r="J76" s="273">
        <v>3321901</v>
      </c>
      <c r="K76" s="273">
        <v>3321901</v>
      </c>
      <c r="L76" s="273">
        <v>3321901</v>
      </c>
      <c r="M76" s="273">
        <v>3321901</v>
      </c>
      <c r="N76" s="268"/>
      <c r="O76" s="269">
        <f t="shared" si="3"/>
        <v>33219010</v>
      </c>
    </row>
    <row r="77" spans="1:15" x14ac:dyDescent="0.3">
      <c r="A77" s="270">
        <v>62</v>
      </c>
      <c r="B77" s="271" t="s">
        <v>113</v>
      </c>
      <c r="C77" s="272">
        <v>15496025</v>
      </c>
      <c r="D77" s="273">
        <f t="shared" si="4"/>
        <v>1549602.5</v>
      </c>
      <c r="E77" s="273">
        <v>1549602.5</v>
      </c>
      <c r="F77" s="273">
        <v>1549602.5</v>
      </c>
      <c r="G77" s="273">
        <v>1549602.5</v>
      </c>
      <c r="H77" s="273">
        <v>1549602.5</v>
      </c>
      <c r="I77" s="273">
        <v>1549602.5</v>
      </c>
      <c r="J77" s="273">
        <v>1549602.5</v>
      </c>
      <c r="K77" s="273">
        <v>1549602.5</v>
      </c>
      <c r="L77" s="273">
        <v>1549602.5</v>
      </c>
      <c r="M77" s="273">
        <v>1549602.5</v>
      </c>
      <c r="N77" s="268"/>
      <c r="O77" s="269">
        <f t="shared" si="3"/>
        <v>15496025</v>
      </c>
    </row>
    <row r="78" spans="1:15" x14ac:dyDescent="0.3">
      <c r="A78" s="270">
        <v>63</v>
      </c>
      <c r="B78" s="271" t="s">
        <v>123</v>
      </c>
      <c r="C78" s="272">
        <v>26221489</v>
      </c>
      <c r="D78" s="273">
        <f t="shared" si="4"/>
        <v>2622148.9</v>
      </c>
      <c r="E78" s="273">
        <v>2622148.9</v>
      </c>
      <c r="F78" s="273">
        <v>2622148.9</v>
      </c>
      <c r="G78" s="273">
        <v>2622148.9</v>
      </c>
      <c r="H78" s="273">
        <v>2622148.9</v>
      </c>
      <c r="I78" s="273">
        <v>2622148.9</v>
      </c>
      <c r="J78" s="273">
        <v>2622148.9</v>
      </c>
      <c r="K78" s="273">
        <v>2622148.9</v>
      </c>
      <c r="L78" s="273">
        <v>2622148.9</v>
      </c>
      <c r="M78" s="273">
        <v>2622148.9</v>
      </c>
      <c r="N78" s="268"/>
      <c r="O78" s="269">
        <f t="shared" si="3"/>
        <v>26221489</v>
      </c>
    </row>
    <row r="79" spans="1:15" x14ac:dyDescent="0.3">
      <c r="A79" s="270">
        <v>64</v>
      </c>
      <c r="B79" s="271" t="s">
        <v>74</v>
      </c>
      <c r="C79" s="272">
        <v>32866309</v>
      </c>
      <c r="D79" s="273">
        <f t="shared" si="4"/>
        <v>3286630.9</v>
      </c>
      <c r="E79" s="273">
        <v>3286630.9</v>
      </c>
      <c r="F79" s="273">
        <v>3286630.9</v>
      </c>
      <c r="G79" s="273">
        <v>3286630.9</v>
      </c>
      <c r="H79" s="273">
        <v>3286630.9</v>
      </c>
      <c r="I79" s="273">
        <v>3286630.9</v>
      </c>
      <c r="J79" s="273">
        <v>3286630.9</v>
      </c>
      <c r="K79" s="273">
        <v>3286630.9</v>
      </c>
      <c r="L79" s="273">
        <v>3286630.9</v>
      </c>
      <c r="M79" s="273">
        <v>3286630.9</v>
      </c>
      <c r="N79" s="268"/>
      <c r="O79" s="269">
        <f t="shared" ref="O79:O110" si="5">C79-N79</f>
        <v>32866309</v>
      </c>
    </row>
    <row r="80" spans="1:15" x14ac:dyDescent="0.3">
      <c r="A80" s="270">
        <v>65</v>
      </c>
      <c r="B80" s="271" t="s">
        <v>89</v>
      </c>
      <c r="C80" s="272">
        <v>42934363</v>
      </c>
      <c r="D80" s="273">
        <f t="shared" ref="D80:D111" si="6">C80/10</f>
        <v>4293436.3</v>
      </c>
      <c r="E80" s="273">
        <v>4293436.3</v>
      </c>
      <c r="F80" s="273">
        <v>4293436.3</v>
      </c>
      <c r="G80" s="273">
        <v>4293436.3</v>
      </c>
      <c r="H80" s="273">
        <v>4293436.3</v>
      </c>
      <c r="I80" s="273">
        <v>4293436.3</v>
      </c>
      <c r="J80" s="273">
        <v>4293436.3</v>
      </c>
      <c r="K80" s="273">
        <v>4293436.3</v>
      </c>
      <c r="L80" s="273">
        <v>4293436.3</v>
      </c>
      <c r="M80" s="273">
        <v>4293436.3</v>
      </c>
      <c r="N80" s="268"/>
      <c r="O80" s="269">
        <f t="shared" si="5"/>
        <v>42934363</v>
      </c>
    </row>
    <row r="81" spans="1:15" x14ac:dyDescent="0.3">
      <c r="A81" s="270">
        <v>66</v>
      </c>
      <c r="B81" s="271" t="s">
        <v>118</v>
      </c>
      <c r="C81" s="272">
        <v>66682968</v>
      </c>
      <c r="D81" s="273">
        <f t="shared" si="6"/>
        <v>6668296.7999999998</v>
      </c>
      <c r="E81" s="273">
        <v>6668296.7999999998</v>
      </c>
      <c r="F81" s="273">
        <v>6668296.7999999998</v>
      </c>
      <c r="G81" s="273">
        <v>6668296.7999999998</v>
      </c>
      <c r="H81" s="273">
        <v>6668296.7999999998</v>
      </c>
      <c r="I81" s="273">
        <v>6668296.7999999998</v>
      </c>
      <c r="J81" s="273">
        <v>6668296.7999999998</v>
      </c>
      <c r="K81" s="273">
        <v>6668296.7999999998</v>
      </c>
      <c r="L81" s="273">
        <v>6668296.7999999998</v>
      </c>
      <c r="M81" s="273">
        <v>6668296.7999999998</v>
      </c>
      <c r="N81" s="268"/>
      <c r="O81" s="269">
        <f t="shared" si="5"/>
        <v>66682968</v>
      </c>
    </row>
    <row r="82" spans="1:15" x14ac:dyDescent="0.3">
      <c r="A82" s="270">
        <v>67</v>
      </c>
      <c r="B82" s="271" t="s">
        <v>120</v>
      </c>
      <c r="C82" s="272">
        <v>22429959</v>
      </c>
      <c r="D82" s="273">
        <f t="shared" si="6"/>
        <v>2242995.9</v>
      </c>
      <c r="E82" s="273">
        <v>2242995.9</v>
      </c>
      <c r="F82" s="273">
        <v>2242995.9</v>
      </c>
      <c r="G82" s="273">
        <v>2242995.9</v>
      </c>
      <c r="H82" s="273">
        <v>2242995.9</v>
      </c>
      <c r="I82" s="273">
        <v>2242995.9</v>
      </c>
      <c r="J82" s="273">
        <v>2242995.9</v>
      </c>
      <c r="K82" s="273">
        <v>2242995.9</v>
      </c>
      <c r="L82" s="273">
        <v>2242995.9</v>
      </c>
      <c r="M82" s="273">
        <v>2242995.9</v>
      </c>
      <c r="N82" s="268"/>
      <c r="O82" s="269">
        <f t="shared" si="5"/>
        <v>22429959</v>
      </c>
    </row>
    <row r="83" spans="1:15" x14ac:dyDescent="0.3">
      <c r="A83" s="270">
        <v>68</v>
      </c>
      <c r="B83" s="271" t="s">
        <v>144</v>
      </c>
      <c r="C83" s="272">
        <v>8625368</v>
      </c>
      <c r="D83" s="273">
        <f t="shared" si="6"/>
        <v>862536.8</v>
      </c>
      <c r="E83" s="273">
        <v>862536.8</v>
      </c>
      <c r="F83" s="273">
        <v>862536.8</v>
      </c>
      <c r="G83" s="273">
        <v>862536.8</v>
      </c>
      <c r="H83" s="273">
        <v>862536.8</v>
      </c>
      <c r="I83" s="273">
        <v>862536.8</v>
      </c>
      <c r="J83" s="273">
        <v>862536.8</v>
      </c>
      <c r="K83" s="273">
        <v>862536.8</v>
      </c>
      <c r="L83" s="273">
        <v>862536.8</v>
      </c>
      <c r="M83" s="273">
        <v>862536.8</v>
      </c>
      <c r="N83" s="268"/>
      <c r="O83" s="269">
        <f t="shared" si="5"/>
        <v>8625368</v>
      </c>
    </row>
    <row r="84" spans="1:15" x14ac:dyDescent="0.3">
      <c r="A84" s="270">
        <v>69</v>
      </c>
      <c r="B84" s="271" t="s">
        <v>84</v>
      </c>
      <c r="C84" s="272">
        <v>25337100</v>
      </c>
      <c r="D84" s="273">
        <f t="shared" si="6"/>
        <v>2533710</v>
      </c>
      <c r="E84" s="273">
        <v>2533710</v>
      </c>
      <c r="F84" s="273">
        <v>2533710</v>
      </c>
      <c r="G84" s="273">
        <v>2533710</v>
      </c>
      <c r="H84" s="273">
        <v>2533710</v>
      </c>
      <c r="I84" s="273">
        <v>2533710</v>
      </c>
      <c r="J84" s="273">
        <v>2533710</v>
      </c>
      <c r="K84" s="273">
        <v>2533710</v>
      </c>
      <c r="L84" s="273">
        <v>2533710</v>
      </c>
      <c r="M84" s="273">
        <v>2533710</v>
      </c>
      <c r="N84" s="268"/>
      <c r="O84" s="269">
        <f t="shared" si="5"/>
        <v>25337100</v>
      </c>
    </row>
    <row r="85" spans="1:15" x14ac:dyDescent="0.3">
      <c r="A85" s="270">
        <v>70</v>
      </c>
      <c r="B85" s="271" t="s">
        <v>53</v>
      </c>
      <c r="C85" s="272">
        <v>6373283</v>
      </c>
      <c r="D85" s="273">
        <f t="shared" si="6"/>
        <v>637328.30000000005</v>
      </c>
      <c r="E85" s="273">
        <v>637328.30000000005</v>
      </c>
      <c r="F85" s="273">
        <v>637328.30000000005</v>
      </c>
      <c r="G85" s="273">
        <v>637328.30000000005</v>
      </c>
      <c r="H85" s="273">
        <v>637328.30000000005</v>
      </c>
      <c r="I85" s="273">
        <v>637328.30000000005</v>
      </c>
      <c r="J85" s="273">
        <v>637328.30000000005</v>
      </c>
      <c r="K85" s="273">
        <v>637328.30000000005</v>
      </c>
      <c r="L85" s="273">
        <v>637328.30000000005</v>
      </c>
      <c r="M85" s="273">
        <v>637328.30000000005</v>
      </c>
      <c r="N85" s="268"/>
      <c r="O85" s="269">
        <f t="shared" si="5"/>
        <v>6373283</v>
      </c>
    </row>
    <row r="86" spans="1:15" x14ac:dyDescent="0.3">
      <c r="A86" s="270">
        <v>71</v>
      </c>
      <c r="B86" s="271" t="s">
        <v>143</v>
      </c>
      <c r="C86" s="272">
        <v>78580110</v>
      </c>
      <c r="D86" s="273">
        <f t="shared" si="6"/>
        <v>7858011</v>
      </c>
      <c r="E86" s="273">
        <v>7858011</v>
      </c>
      <c r="F86" s="273">
        <v>7858011</v>
      </c>
      <c r="G86" s="273">
        <v>7858011</v>
      </c>
      <c r="H86" s="273">
        <v>7858011</v>
      </c>
      <c r="I86" s="273">
        <v>7858011</v>
      </c>
      <c r="J86" s="273">
        <v>7858011</v>
      </c>
      <c r="K86" s="273">
        <v>7858011</v>
      </c>
      <c r="L86" s="273">
        <v>7858011</v>
      </c>
      <c r="M86" s="273">
        <v>7858011</v>
      </c>
      <c r="N86" s="268"/>
      <c r="O86" s="269">
        <f t="shared" si="5"/>
        <v>78580110</v>
      </c>
    </row>
    <row r="87" spans="1:15" x14ac:dyDescent="0.3">
      <c r="A87" s="270">
        <v>72</v>
      </c>
      <c r="B87" s="271" t="s">
        <v>132</v>
      </c>
      <c r="C87" s="272">
        <v>16757374</v>
      </c>
      <c r="D87" s="273">
        <f t="shared" si="6"/>
        <v>1675737.4</v>
      </c>
      <c r="E87" s="273">
        <v>1675737.4</v>
      </c>
      <c r="F87" s="273">
        <v>1675737.4</v>
      </c>
      <c r="G87" s="273">
        <v>1675737.4</v>
      </c>
      <c r="H87" s="273">
        <v>1675737.4</v>
      </c>
      <c r="I87" s="273">
        <v>1675737.4</v>
      </c>
      <c r="J87" s="273">
        <v>1675737.4</v>
      </c>
      <c r="K87" s="273">
        <v>1675737.4</v>
      </c>
      <c r="L87" s="273">
        <v>1675737.4</v>
      </c>
      <c r="M87" s="273">
        <v>1675737.4</v>
      </c>
      <c r="N87" s="268"/>
      <c r="O87" s="269">
        <f t="shared" si="5"/>
        <v>16757374</v>
      </c>
    </row>
    <row r="88" spans="1:15" x14ac:dyDescent="0.3">
      <c r="A88" s="270">
        <v>73</v>
      </c>
      <c r="B88" s="271" t="s">
        <v>85</v>
      </c>
      <c r="C88" s="272">
        <v>20946270</v>
      </c>
      <c r="D88" s="273">
        <f t="shared" si="6"/>
        <v>2094627</v>
      </c>
      <c r="E88" s="273">
        <v>2094627</v>
      </c>
      <c r="F88" s="273">
        <v>2094627</v>
      </c>
      <c r="G88" s="273">
        <v>2094627</v>
      </c>
      <c r="H88" s="273">
        <v>2094627</v>
      </c>
      <c r="I88" s="273">
        <v>2094627</v>
      </c>
      <c r="J88" s="273">
        <v>2094627</v>
      </c>
      <c r="K88" s="273">
        <v>2094627</v>
      </c>
      <c r="L88" s="273">
        <v>2094627</v>
      </c>
      <c r="M88" s="273">
        <v>2094627</v>
      </c>
      <c r="N88" s="268"/>
      <c r="O88" s="269">
        <f t="shared" si="5"/>
        <v>20946270</v>
      </c>
    </row>
    <row r="89" spans="1:15" x14ac:dyDescent="0.3">
      <c r="A89" s="270">
        <v>74</v>
      </c>
      <c r="B89" s="271" t="s">
        <v>427</v>
      </c>
      <c r="C89" s="272">
        <v>8722097</v>
      </c>
      <c r="D89" s="273">
        <f t="shared" si="6"/>
        <v>872209.7</v>
      </c>
      <c r="E89" s="273">
        <v>872209.7</v>
      </c>
      <c r="F89" s="273">
        <v>872209.7</v>
      </c>
      <c r="G89" s="273">
        <v>872209.7</v>
      </c>
      <c r="H89" s="273">
        <v>872209.7</v>
      </c>
      <c r="I89" s="273">
        <v>872209.7</v>
      </c>
      <c r="J89" s="273">
        <v>872209.7</v>
      </c>
      <c r="K89" s="273">
        <v>872209.7</v>
      </c>
      <c r="L89" s="273">
        <v>872209.7</v>
      </c>
      <c r="M89" s="273">
        <v>872209.7</v>
      </c>
      <c r="N89" s="268"/>
      <c r="O89" s="269">
        <f t="shared" si="5"/>
        <v>8722097</v>
      </c>
    </row>
    <row r="90" spans="1:15" x14ac:dyDescent="0.3">
      <c r="A90" s="270">
        <v>75</v>
      </c>
      <c r="B90" s="271" t="s">
        <v>146</v>
      </c>
      <c r="C90" s="272">
        <v>35784240</v>
      </c>
      <c r="D90" s="273">
        <f t="shared" si="6"/>
        <v>3578424</v>
      </c>
      <c r="E90" s="273">
        <v>3578424</v>
      </c>
      <c r="F90" s="273">
        <v>3578424</v>
      </c>
      <c r="G90" s="273">
        <v>3578424</v>
      </c>
      <c r="H90" s="273">
        <v>3578424</v>
      </c>
      <c r="I90" s="273">
        <v>3578424</v>
      </c>
      <c r="J90" s="273">
        <v>3578424</v>
      </c>
      <c r="K90" s="273">
        <v>3578424</v>
      </c>
      <c r="L90" s="273">
        <v>3578424</v>
      </c>
      <c r="M90" s="273">
        <v>3578424</v>
      </c>
      <c r="N90" s="268"/>
      <c r="O90" s="269">
        <f t="shared" si="5"/>
        <v>35784240</v>
      </c>
    </row>
    <row r="91" spans="1:15" x14ac:dyDescent="0.3">
      <c r="A91" s="270">
        <v>76</v>
      </c>
      <c r="B91" s="271" t="s">
        <v>148</v>
      </c>
      <c r="C91" s="272">
        <v>18572426</v>
      </c>
      <c r="D91" s="273">
        <f t="shared" si="6"/>
        <v>1857242.6</v>
      </c>
      <c r="E91" s="273">
        <v>1857242.6</v>
      </c>
      <c r="F91" s="273">
        <v>1857242.6</v>
      </c>
      <c r="G91" s="273">
        <v>1857242.6</v>
      </c>
      <c r="H91" s="273">
        <v>1857242.6</v>
      </c>
      <c r="I91" s="273">
        <v>1857242.6</v>
      </c>
      <c r="J91" s="273">
        <v>1857242.6</v>
      </c>
      <c r="K91" s="273">
        <v>1857242.6</v>
      </c>
      <c r="L91" s="273">
        <v>1857242.6</v>
      </c>
      <c r="M91" s="273">
        <v>1857242.6</v>
      </c>
      <c r="N91" s="268"/>
      <c r="O91" s="269">
        <f t="shared" si="5"/>
        <v>18572426</v>
      </c>
    </row>
    <row r="92" spans="1:15" x14ac:dyDescent="0.3">
      <c r="A92" s="270">
        <v>77</v>
      </c>
      <c r="B92" s="271" t="s">
        <v>45</v>
      </c>
      <c r="C92" s="272">
        <v>25208723</v>
      </c>
      <c r="D92" s="273">
        <f t="shared" si="6"/>
        <v>2520872.2999999998</v>
      </c>
      <c r="E92" s="273">
        <v>2520872.2999999998</v>
      </c>
      <c r="F92" s="273">
        <v>2520872.2999999998</v>
      </c>
      <c r="G92" s="273">
        <v>2520872.2999999998</v>
      </c>
      <c r="H92" s="273">
        <v>2520872.2999999998</v>
      </c>
      <c r="I92" s="273">
        <v>2520872.2999999998</v>
      </c>
      <c r="J92" s="273">
        <v>2520872.2999999998</v>
      </c>
      <c r="K92" s="273">
        <v>2520872.2999999998</v>
      </c>
      <c r="L92" s="273">
        <v>2520872.2999999998</v>
      </c>
      <c r="M92" s="273">
        <v>2520872.2999999998</v>
      </c>
      <c r="N92" s="268"/>
      <c r="O92" s="269">
        <f t="shared" si="5"/>
        <v>25208723</v>
      </c>
    </row>
    <row r="93" spans="1:15" x14ac:dyDescent="0.3">
      <c r="A93" s="270">
        <v>78</v>
      </c>
      <c r="B93" s="271" t="s">
        <v>349</v>
      </c>
      <c r="C93" s="272">
        <v>13435989</v>
      </c>
      <c r="D93" s="273">
        <f t="shared" si="6"/>
        <v>1343598.9</v>
      </c>
      <c r="E93" s="273">
        <v>1343598.9</v>
      </c>
      <c r="F93" s="273">
        <v>1343598.9</v>
      </c>
      <c r="G93" s="273">
        <v>1343598.9</v>
      </c>
      <c r="H93" s="273">
        <v>1343598.9</v>
      </c>
      <c r="I93" s="273">
        <v>1343598.9</v>
      </c>
      <c r="J93" s="273">
        <v>1343598.9</v>
      </c>
      <c r="K93" s="273">
        <v>1343598.9</v>
      </c>
      <c r="L93" s="273">
        <v>1343598.9</v>
      </c>
      <c r="M93" s="273">
        <v>1343598.9</v>
      </c>
      <c r="N93" s="268"/>
      <c r="O93" s="269">
        <f t="shared" si="5"/>
        <v>13435989</v>
      </c>
    </row>
    <row r="94" spans="1:15" x14ac:dyDescent="0.3">
      <c r="A94" s="270">
        <v>79</v>
      </c>
      <c r="B94" s="271" t="s">
        <v>138</v>
      </c>
      <c r="C94" s="272">
        <v>49839257</v>
      </c>
      <c r="D94" s="273">
        <f t="shared" si="6"/>
        <v>4983925.7</v>
      </c>
      <c r="E94" s="273">
        <v>4983925.7</v>
      </c>
      <c r="F94" s="273">
        <v>4983925.7</v>
      </c>
      <c r="G94" s="273">
        <v>4983925.7</v>
      </c>
      <c r="H94" s="273">
        <v>4983925.7</v>
      </c>
      <c r="I94" s="273">
        <v>4983925.7</v>
      </c>
      <c r="J94" s="273">
        <v>4983925.7</v>
      </c>
      <c r="K94" s="273">
        <v>4983925.7</v>
      </c>
      <c r="L94" s="273">
        <v>4983925.7</v>
      </c>
      <c r="M94" s="273">
        <v>4983925.7</v>
      </c>
      <c r="N94" s="268"/>
      <c r="O94" s="269">
        <f t="shared" si="5"/>
        <v>49839257</v>
      </c>
    </row>
    <row r="95" spans="1:15" x14ac:dyDescent="0.3">
      <c r="A95" s="270">
        <v>80</v>
      </c>
      <c r="B95" s="271" t="s">
        <v>93</v>
      </c>
      <c r="C95" s="272">
        <v>25665867</v>
      </c>
      <c r="D95" s="273">
        <f t="shared" si="6"/>
        <v>2566586.7000000002</v>
      </c>
      <c r="E95" s="273">
        <v>2566586.7000000002</v>
      </c>
      <c r="F95" s="273">
        <v>2566586.7000000002</v>
      </c>
      <c r="G95" s="273">
        <v>2566586.7000000002</v>
      </c>
      <c r="H95" s="273">
        <v>2566586.7000000002</v>
      </c>
      <c r="I95" s="273">
        <v>2566586.7000000002</v>
      </c>
      <c r="J95" s="273">
        <v>2566586.7000000002</v>
      </c>
      <c r="K95" s="273">
        <v>2566586.7000000002</v>
      </c>
      <c r="L95" s="273">
        <v>2566586.7000000002</v>
      </c>
      <c r="M95" s="273">
        <v>2566586.7000000002</v>
      </c>
      <c r="N95" s="268"/>
      <c r="O95" s="269">
        <f t="shared" si="5"/>
        <v>25665867</v>
      </c>
    </row>
    <row r="96" spans="1:15" x14ac:dyDescent="0.3">
      <c r="A96" s="270">
        <v>81</v>
      </c>
      <c r="B96" s="271" t="s">
        <v>116</v>
      </c>
      <c r="C96" s="272">
        <v>22553186</v>
      </c>
      <c r="D96" s="273">
        <f t="shared" si="6"/>
        <v>2255318.6</v>
      </c>
      <c r="E96" s="273">
        <v>2255318.6</v>
      </c>
      <c r="F96" s="273">
        <v>2255318.6</v>
      </c>
      <c r="G96" s="273">
        <v>2255318.6</v>
      </c>
      <c r="H96" s="273">
        <v>2255318.6</v>
      </c>
      <c r="I96" s="273">
        <v>2255318.6</v>
      </c>
      <c r="J96" s="273">
        <v>2255318.6</v>
      </c>
      <c r="K96" s="273">
        <v>2255318.6</v>
      </c>
      <c r="L96" s="273">
        <v>2255318.6</v>
      </c>
      <c r="M96" s="273">
        <v>2255318.6</v>
      </c>
      <c r="N96" s="268"/>
      <c r="O96" s="269">
        <f t="shared" si="5"/>
        <v>22553186</v>
      </c>
    </row>
    <row r="97" spans="1:15" x14ac:dyDescent="0.3">
      <c r="A97" s="270">
        <v>82</v>
      </c>
      <c r="B97" s="271" t="s">
        <v>152</v>
      </c>
      <c r="C97" s="272">
        <v>46750868</v>
      </c>
      <c r="D97" s="273">
        <f t="shared" si="6"/>
        <v>4675086.8</v>
      </c>
      <c r="E97" s="273">
        <v>4675086.8</v>
      </c>
      <c r="F97" s="273">
        <v>4675086.8</v>
      </c>
      <c r="G97" s="273">
        <v>4675086.8</v>
      </c>
      <c r="H97" s="273">
        <v>4675086.8</v>
      </c>
      <c r="I97" s="273">
        <v>4675086.8</v>
      </c>
      <c r="J97" s="273">
        <v>4675086.8</v>
      </c>
      <c r="K97" s="273">
        <v>4675086.8</v>
      </c>
      <c r="L97" s="273">
        <v>4675086.8</v>
      </c>
      <c r="M97" s="273">
        <v>4675086.8</v>
      </c>
      <c r="N97" s="268"/>
      <c r="O97" s="269">
        <f t="shared" si="5"/>
        <v>46750868</v>
      </c>
    </row>
    <row r="98" spans="1:15" x14ac:dyDescent="0.3">
      <c r="A98" s="270">
        <v>83</v>
      </c>
      <c r="B98" s="271" t="s">
        <v>153</v>
      </c>
      <c r="C98" s="272">
        <v>25133243</v>
      </c>
      <c r="D98" s="273">
        <f t="shared" si="6"/>
        <v>2513324.2999999998</v>
      </c>
      <c r="E98" s="273">
        <v>2513324.2999999998</v>
      </c>
      <c r="F98" s="273">
        <v>2513324.2999999998</v>
      </c>
      <c r="G98" s="273">
        <v>2513324.2999999998</v>
      </c>
      <c r="H98" s="273">
        <v>2513324.2999999998</v>
      </c>
      <c r="I98" s="273">
        <v>2513324.2999999998</v>
      </c>
      <c r="J98" s="273">
        <v>2513324.2999999998</v>
      </c>
      <c r="K98" s="273">
        <v>2513324.2999999998</v>
      </c>
      <c r="L98" s="273">
        <v>2513324.2999999998</v>
      </c>
      <c r="M98" s="273">
        <v>2513324.2999999998</v>
      </c>
      <c r="N98" s="268"/>
      <c r="O98" s="269">
        <f t="shared" si="5"/>
        <v>25133243</v>
      </c>
    </row>
    <row r="99" spans="1:15" x14ac:dyDescent="0.3">
      <c r="A99" s="270">
        <v>84</v>
      </c>
      <c r="B99" s="271" t="s">
        <v>107</v>
      </c>
      <c r="C99" s="272">
        <v>24501906</v>
      </c>
      <c r="D99" s="273">
        <f t="shared" si="6"/>
        <v>2450190.6</v>
      </c>
      <c r="E99" s="273">
        <v>2450190.6</v>
      </c>
      <c r="F99" s="273">
        <v>2450190.6</v>
      </c>
      <c r="G99" s="273">
        <v>2450190.6</v>
      </c>
      <c r="H99" s="273">
        <v>2450190.6</v>
      </c>
      <c r="I99" s="273">
        <v>2450190.6</v>
      </c>
      <c r="J99" s="273">
        <v>2450190.6</v>
      </c>
      <c r="K99" s="273">
        <v>2450190.6</v>
      </c>
      <c r="L99" s="273">
        <v>2450190.6</v>
      </c>
      <c r="M99" s="273">
        <v>2450190.6</v>
      </c>
      <c r="N99" s="268"/>
      <c r="O99" s="269">
        <f t="shared" si="5"/>
        <v>24501906</v>
      </c>
    </row>
    <row r="100" spans="1:15" x14ac:dyDescent="0.3">
      <c r="A100" s="270">
        <v>85</v>
      </c>
      <c r="B100" s="271" t="s">
        <v>124</v>
      </c>
      <c r="C100" s="272">
        <v>17332525</v>
      </c>
      <c r="D100" s="273">
        <f t="shared" si="6"/>
        <v>1733252.5</v>
      </c>
      <c r="E100" s="273">
        <v>1733252.5</v>
      </c>
      <c r="F100" s="273">
        <v>1733252.5</v>
      </c>
      <c r="G100" s="273">
        <v>1733252.5</v>
      </c>
      <c r="H100" s="273">
        <v>1733252.5</v>
      </c>
      <c r="I100" s="273">
        <v>1733252.5</v>
      </c>
      <c r="J100" s="273">
        <v>1733252.5</v>
      </c>
      <c r="K100" s="273">
        <v>1733252.5</v>
      </c>
      <c r="L100" s="273">
        <v>1733252.5</v>
      </c>
      <c r="M100" s="273">
        <v>1733252.5</v>
      </c>
      <c r="N100" s="268"/>
      <c r="O100" s="269">
        <f t="shared" si="5"/>
        <v>17332525</v>
      </c>
    </row>
    <row r="101" spans="1:15" x14ac:dyDescent="0.3">
      <c r="A101" s="270">
        <v>86</v>
      </c>
      <c r="B101" s="271" t="s">
        <v>129</v>
      </c>
      <c r="C101" s="272">
        <v>12139244</v>
      </c>
      <c r="D101" s="273">
        <f t="shared" si="6"/>
        <v>1213924.3999999999</v>
      </c>
      <c r="E101" s="273">
        <v>1213924.3999999999</v>
      </c>
      <c r="F101" s="273">
        <v>1213924.3999999999</v>
      </c>
      <c r="G101" s="273">
        <v>1213924.3999999999</v>
      </c>
      <c r="H101" s="273">
        <v>1213924.3999999999</v>
      </c>
      <c r="I101" s="273">
        <v>1213924.3999999999</v>
      </c>
      <c r="J101" s="273">
        <v>1213924.3999999999</v>
      </c>
      <c r="K101" s="273">
        <v>1213924.3999999999</v>
      </c>
      <c r="L101" s="273">
        <v>1213924.3999999999</v>
      </c>
      <c r="M101" s="273">
        <v>1213924.3999999999</v>
      </c>
      <c r="N101" s="268"/>
      <c r="O101" s="269">
        <f t="shared" si="5"/>
        <v>12139244</v>
      </c>
    </row>
    <row r="102" spans="1:15" x14ac:dyDescent="0.3">
      <c r="A102" s="270">
        <v>87</v>
      </c>
      <c r="B102" s="271" t="s">
        <v>350</v>
      </c>
      <c r="C102" s="272">
        <v>6407193</v>
      </c>
      <c r="D102" s="273">
        <f t="shared" si="6"/>
        <v>640719.30000000005</v>
      </c>
      <c r="E102" s="273">
        <v>640719.30000000005</v>
      </c>
      <c r="F102" s="273">
        <v>640719.30000000005</v>
      </c>
      <c r="G102" s="273">
        <v>640719.30000000005</v>
      </c>
      <c r="H102" s="273">
        <v>640719.30000000005</v>
      </c>
      <c r="I102" s="273">
        <v>640719.30000000005</v>
      </c>
      <c r="J102" s="273">
        <v>640719.30000000005</v>
      </c>
      <c r="K102" s="273">
        <v>640719.30000000005</v>
      </c>
      <c r="L102" s="273">
        <v>640719.30000000005</v>
      </c>
      <c r="M102" s="273">
        <v>640719.30000000005</v>
      </c>
      <c r="N102" s="268"/>
      <c r="O102" s="269">
        <f t="shared" si="5"/>
        <v>6407193</v>
      </c>
    </row>
    <row r="103" spans="1:15" x14ac:dyDescent="0.3">
      <c r="A103" s="270">
        <v>88</v>
      </c>
      <c r="B103" s="271" t="s">
        <v>99</v>
      </c>
      <c r="C103" s="272">
        <v>23845921</v>
      </c>
      <c r="D103" s="273">
        <f t="shared" si="6"/>
        <v>2384592.1</v>
      </c>
      <c r="E103" s="273">
        <v>2384592.1</v>
      </c>
      <c r="F103" s="273">
        <v>2384592.1</v>
      </c>
      <c r="G103" s="273">
        <v>2384592.1</v>
      </c>
      <c r="H103" s="273">
        <v>2384592.1</v>
      </c>
      <c r="I103" s="273">
        <v>2384592.1</v>
      </c>
      <c r="J103" s="273">
        <v>2384592.1</v>
      </c>
      <c r="K103" s="273">
        <v>2384592.1</v>
      </c>
      <c r="L103" s="273">
        <v>2384592.1</v>
      </c>
      <c r="M103" s="273">
        <v>2384592.1</v>
      </c>
      <c r="N103" s="268"/>
      <c r="O103" s="269">
        <f t="shared" si="5"/>
        <v>23845921</v>
      </c>
    </row>
    <row r="104" spans="1:15" x14ac:dyDescent="0.3">
      <c r="A104" s="270">
        <v>89</v>
      </c>
      <c r="B104" s="271" t="s">
        <v>55</v>
      </c>
      <c r="C104" s="272">
        <v>13494988</v>
      </c>
      <c r="D104" s="273">
        <f t="shared" si="6"/>
        <v>1349498.8</v>
      </c>
      <c r="E104" s="273">
        <v>1349498.8</v>
      </c>
      <c r="F104" s="273">
        <v>1349498.8</v>
      </c>
      <c r="G104" s="273">
        <v>1349498.8</v>
      </c>
      <c r="H104" s="273">
        <v>1349498.8</v>
      </c>
      <c r="I104" s="273">
        <v>1349498.8</v>
      </c>
      <c r="J104" s="273">
        <v>1349498.8</v>
      </c>
      <c r="K104" s="273">
        <v>1349498.8</v>
      </c>
      <c r="L104" s="273">
        <v>1349498.8</v>
      </c>
      <c r="M104" s="273">
        <v>1349498.8</v>
      </c>
      <c r="N104" s="268"/>
      <c r="O104" s="269">
        <f t="shared" si="5"/>
        <v>13494988</v>
      </c>
    </row>
    <row r="105" spans="1:15" x14ac:dyDescent="0.3">
      <c r="A105" s="270">
        <v>90</v>
      </c>
      <c r="B105" s="271" t="s">
        <v>147</v>
      </c>
      <c r="C105" s="272">
        <v>12456589</v>
      </c>
      <c r="D105" s="273">
        <f t="shared" si="6"/>
        <v>1245658.8999999999</v>
      </c>
      <c r="E105" s="273">
        <v>1245658.8999999999</v>
      </c>
      <c r="F105" s="273">
        <v>1245658.8999999999</v>
      </c>
      <c r="G105" s="273">
        <v>1245658.8999999999</v>
      </c>
      <c r="H105" s="273">
        <v>1245658.8999999999</v>
      </c>
      <c r="I105" s="273">
        <v>1245658.8999999999</v>
      </c>
      <c r="J105" s="273">
        <v>1245658.8999999999</v>
      </c>
      <c r="K105" s="273">
        <v>1245658.8999999999</v>
      </c>
      <c r="L105" s="273">
        <v>1245658.8999999999</v>
      </c>
      <c r="M105" s="273">
        <v>1245658.8999999999</v>
      </c>
      <c r="N105" s="268"/>
      <c r="O105" s="269">
        <f t="shared" si="5"/>
        <v>12456589</v>
      </c>
    </row>
    <row r="106" spans="1:15" x14ac:dyDescent="0.3">
      <c r="A106" s="270">
        <v>91</v>
      </c>
      <c r="B106" s="271" t="s">
        <v>351</v>
      </c>
      <c r="C106" s="272">
        <v>8369770</v>
      </c>
      <c r="D106" s="273">
        <f t="shared" si="6"/>
        <v>836977</v>
      </c>
      <c r="E106" s="273">
        <v>836977</v>
      </c>
      <c r="F106" s="273">
        <v>836977</v>
      </c>
      <c r="G106" s="273">
        <v>836977</v>
      </c>
      <c r="H106" s="273">
        <v>836977</v>
      </c>
      <c r="I106" s="273">
        <v>836977</v>
      </c>
      <c r="J106" s="273">
        <v>836977</v>
      </c>
      <c r="K106" s="273">
        <v>836977</v>
      </c>
      <c r="L106" s="273">
        <v>836977</v>
      </c>
      <c r="M106" s="273">
        <v>836977</v>
      </c>
      <c r="N106" s="268"/>
      <c r="O106" s="269">
        <f t="shared" si="5"/>
        <v>8369770</v>
      </c>
    </row>
    <row r="107" spans="1:15" x14ac:dyDescent="0.3">
      <c r="A107" s="270">
        <v>92</v>
      </c>
      <c r="B107" s="271" t="s">
        <v>428</v>
      </c>
      <c r="C107" s="272">
        <v>36181857</v>
      </c>
      <c r="D107" s="273">
        <f t="shared" si="6"/>
        <v>3618185.7</v>
      </c>
      <c r="E107" s="273">
        <v>3618185.7</v>
      </c>
      <c r="F107" s="273">
        <v>3618185.7</v>
      </c>
      <c r="G107" s="273">
        <v>3618185.7</v>
      </c>
      <c r="H107" s="273">
        <v>3618185.7</v>
      </c>
      <c r="I107" s="273">
        <v>3618185.7</v>
      </c>
      <c r="J107" s="273">
        <v>3618185.7</v>
      </c>
      <c r="K107" s="273">
        <v>3618185.7</v>
      </c>
      <c r="L107" s="273">
        <v>3618185.7</v>
      </c>
      <c r="M107" s="273">
        <v>3618185.7</v>
      </c>
      <c r="N107" s="268"/>
      <c r="O107" s="269">
        <f t="shared" si="5"/>
        <v>36181857</v>
      </c>
    </row>
    <row r="108" spans="1:15" x14ac:dyDescent="0.3">
      <c r="A108" s="270">
        <v>93</v>
      </c>
      <c r="B108" s="271" t="s">
        <v>353</v>
      </c>
      <c r="C108" s="272">
        <v>24892376</v>
      </c>
      <c r="D108" s="273">
        <f t="shared" si="6"/>
        <v>2489237.6</v>
      </c>
      <c r="E108" s="273">
        <v>2489237.6</v>
      </c>
      <c r="F108" s="273">
        <v>2489237.6</v>
      </c>
      <c r="G108" s="273">
        <v>2489237.6</v>
      </c>
      <c r="H108" s="273">
        <v>2489237.6</v>
      </c>
      <c r="I108" s="273">
        <v>2489237.6</v>
      </c>
      <c r="J108" s="273">
        <v>2489237.6</v>
      </c>
      <c r="K108" s="273">
        <v>2489237.6</v>
      </c>
      <c r="L108" s="273">
        <v>2489237.6</v>
      </c>
      <c r="M108" s="273">
        <v>2489237.6</v>
      </c>
      <c r="N108" s="268"/>
      <c r="O108" s="269">
        <f t="shared" si="5"/>
        <v>24892376</v>
      </c>
    </row>
    <row r="109" spans="1:15" x14ac:dyDescent="0.3">
      <c r="A109" s="270">
        <v>94</v>
      </c>
      <c r="B109" s="271" t="s">
        <v>354</v>
      </c>
      <c r="C109" s="272">
        <v>8502579</v>
      </c>
      <c r="D109" s="273">
        <f t="shared" si="6"/>
        <v>850257.9</v>
      </c>
      <c r="E109" s="273">
        <v>850257.9</v>
      </c>
      <c r="F109" s="273">
        <v>850257.9</v>
      </c>
      <c r="G109" s="273">
        <v>850257.9</v>
      </c>
      <c r="H109" s="273">
        <v>850257.9</v>
      </c>
      <c r="I109" s="273">
        <v>850257.9</v>
      </c>
      <c r="J109" s="273">
        <v>850257.9</v>
      </c>
      <c r="K109" s="273">
        <v>850257.9</v>
      </c>
      <c r="L109" s="273">
        <v>850257.9</v>
      </c>
      <c r="M109" s="273">
        <v>850257.9</v>
      </c>
      <c r="N109" s="268"/>
      <c r="O109" s="269">
        <f t="shared" si="5"/>
        <v>8502579</v>
      </c>
    </row>
    <row r="110" spans="1:15" x14ac:dyDescent="0.3">
      <c r="A110" s="270">
        <v>95</v>
      </c>
      <c r="B110" s="271" t="s">
        <v>100</v>
      </c>
      <c r="C110" s="272">
        <v>6605427</v>
      </c>
      <c r="D110" s="273">
        <f t="shared" si="6"/>
        <v>660542.69999999995</v>
      </c>
      <c r="E110" s="273">
        <v>660542.69999999995</v>
      </c>
      <c r="F110" s="273">
        <v>660542.69999999995</v>
      </c>
      <c r="G110" s="273">
        <v>660542.69999999995</v>
      </c>
      <c r="H110" s="273">
        <v>660542.69999999995</v>
      </c>
      <c r="I110" s="273">
        <v>660542.69999999995</v>
      </c>
      <c r="J110" s="273">
        <v>660542.69999999995</v>
      </c>
      <c r="K110" s="273">
        <v>660542.69999999995</v>
      </c>
      <c r="L110" s="273">
        <v>660542.69999999995</v>
      </c>
      <c r="M110" s="273">
        <v>660542.69999999995</v>
      </c>
      <c r="N110" s="268"/>
      <c r="O110" s="269">
        <f t="shared" si="5"/>
        <v>6605427</v>
      </c>
    </row>
    <row r="111" spans="1:15" x14ac:dyDescent="0.3">
      <c r="A111" s="270">
        <v>96</v>
      </c>
      <c r="B111" s="271" t="s">
        <v>78</v>
      </c>
      <c r="C111" s="272">
        <v>14847849</v>
      </c>
      <c r="D111" s="273">
        <f t="shared" si="6"/>
        <v>1484784.9</v>
      </c>
      <c r="E111" s="273">
        <v>1484784.9</v>
      </c>
      <c r="F111" s="273">
        <v>1484784.9</v>
      </c>
      <c r="G111" s="273">
        <v>1484784.9</v>
      </c>
      <c r="H111" s="273">
        <v>1484784.9</v>
      </c>
      <c r="I111" s="273">
        <v>1484784.9</v>
      </c>
      <c r="J111" s="273">
        <v>1484784.9</v>
      </c>
      <c r="K111" s="273">
        <v>1484784.9</v>
      </c>
      <c r="L111" s="273">
        <v>1484784.9</v>
      </c>
      <c r="M111" s="273">
        <v>1484784.9</v>
      </c>
      <c r="N111" s="268"/>
      <c r="O111" s="269">
        <f t="shared" ref="O111:O128" si="7">C111-N111</f>
        <v>14847849</v>
      </c>
    </row>
    <row r="112" spans="1:15" x14ac:dyDescent="0.3">
      <c r="A112" s="270">
        <v>97</v>
      </c>
      <c r="B112" s="271" t="s">
        <v>130</v>
      </c>
      <c r="C112" s="272">
        <v>67226932</v>
      </c>
      <c r="D112" s="273">
        <f t="shared" ref="D112:D128" si="8">C112/10</f>
        <v>6722693.2000000002</v>
      </c>
      <c r="E112" s="273">
        <v>6722693.2000000002</v>
      </c>
      <c r="F112" s="273">
        <v>6722693.2000000002</v>
      </c>
      <c r="G112" s="273">
        <v>6722693.2000000002</v>
      </c>
      <c r="H112" s="273">
        <v>6722693.2000000002</v>
      </c>
      <c r="I112" s="273">
        <v>6722693.2000000002</v>
      </c>
      <c r="J112" s="273">
        <v>6722693.2000000002</v>
      </c>
      <c r="K112" s="273">
        <v>6722693.2000000002</v>
      </c>
      <c r="L112" s="273">
        <v>6722693.2000000002</v>
      </c>
      <c r="M112" s="273">
        <v>6722693.2000000002</v>
      </c>
      <c r="N112" s="268"/>
      <c r="O112" s="269">
        <f t="shared" si="7"/>
        <v>67226932</v>
      </c>
    </row>
    <row r="113" spans="1:15" x14ac:dyDescent="0.3">
      <c r="A113" s="270">
        <v>98</v>
      </c>
      <c r="B113" s="271" t="s">
        <v>355</v>
      </c>
      <c r="C113" s="272">
        <v>25994824</v>
      </c>
      <c r="D113" s="273">
        <f t="shared" si="8"/>
        <v>2599482.4</v>
      </c>
      <c r="E113" s="273">
        <v>2599482.4</v>
      </c>
      <c r="F113" s="273">
        <v>2599482.4</v>
      </c>
      <c r="G113" s="273">
        <v>2599482.4</v>
      </c>
      <c r="H113" s="273">
        <v>2599482.4</v>
      </c>
      <c r="I113" s="273">
        <v>2599482.4</v>
      </c>
      <c r="J113" s="273">
        <v>2599482.4</v>
      </c>
      <c r="K113" s="273">
        <v>2599482.4</v>
      </c>
      <c r="L113" s="273">
        <v>2599482.4</v>
      </c>
      <c r="M113" s="273">
        <v>2599482.4</v>
      </c>
      <c r="N113" s="268"/>
      <c r="O113" s="269">
        <f t="shared" si="7"/>
        <v>25994824</v>
      </c>
    </row>
    <row r="114" spans="1:15" x14ac:dyDescent="0.3">
      <c r="A114" s="270">
        <v>99</v>
      </c>
      <c r="B114" s="271" t="s">
        <v>139</v>
      </c>
      <c r="C114" s="272">
        <v>34045025</v>
      </c>
      <c r="D114" s="273">
        <f t="shared" si="8"/>
        <v>3404502.5</v>
      </c>
      <c r="E114" s="273">
        <v>3404502.5</v>
      </c>
      <c r="F114" s="273">
        <v>3404502.5</v>
      </c>
      <c r="G114" s="273">
        <v>3404502.5</v>
      </c>
      <c r="H114" s="273">
        <v>3404502.5</v>
      </c>
      <c r="I114" s="273">
        <v>3404502.5</v>
      </c>
      <c r="J114" s="273">
        <v>3404502.5</v>
      </c>
      <c r="K114" s="273">
        <v>3404502.5</v>
      </c>
      <c r="L114" s="273">
        <v>3404502.5</v>
      </c>
      <c r="M114" s="273">
        <v>3404502.5</v>
      </c>
      <c r="N114" s="268"/>
      <c r="O114" s="269">
        <f t="shared" si="7"/>
        <v>34045025</v>
      </c>
    </row>
    <row r="115" spans="1:15" x14ac:dyDescent="0.3">
      <c r="A115" s="270">
        <v>100</v>
      </c>
      <c r="B115" s="271" t="s">
        <v>125</v>
      </c>
      <c r="C115" s="272">
        <v>16443326</v>
      </c>
      <c r="D115" s="273">
        <f t="shared" si="8"/>
        <v>1644332.6</v>
      </c>
      <c r="E115" s="273">
        <v>1644332.6</v>
      </c>
      <c r="F115" s="273">
        <v>1644332.6</v>
      </c>
      <c r="G115" s="273">
        <v>1644332.6</v>
      </c>
      <c r="H115" s="273">
        <v>1644332.6</v>
      </c>
      <c r="I115" s="273">
        <v>1644332.6</v>
      </c>
      <c r="J115" s="273">
        <v>1644332.6</v>
      </c>
      <c r="K115" s="273">
        <v>1644332.6</v>
      </c>
      <c r="L115" s="273">
        <v>1644332.6</v>
      </c>
      <c r="M115" s="273">
        <v>1644332.6</v>
      </c>
      <c r="N115" s="268"/>
      <c r="O115" s="269">
        <f t="shared" si="7"/>
        <v>16443326</v>
      </c>
    </row>
    <row r="116" spans="1:15" x14ac:dyDescent="0.3">
      <c r="A116" s="270">
        <v>101</v>
      </c>
      <c r="B116" s="271" t="s">
        <v>66</v>
      </c>
      <c r="C116" s="272">
        <v>30486769</v>
      </c>
      <c r="D116" s="273">
        <f t="shared" si="8"/>
        <v>3048676.9</v>
      </c>
      <c r="E116" s="273">
        <v>3048676.9</v>
      </c>
      <c r="F116" s="273">
        <v>3048676.9</v>
      </c>
      <c r="G116" s="273">
        <v>3048676.9</v>
      </c>
      <c r="H116" s="273">
        <v>3048676.9</v>
      </c>
      <c r="I116" s="273">
        <v>3048676.9</v>
      </c>
      <c r="J116" s="273">
        <v>3048676.9</v>
      </c>
      <c r="K116" s="273">
        <v>3048676.9</v>
      </c>
      <c r="L116" s="273">
        <v>3048676.9</v>
      </c>
      <c r="M116" s="273">
        <v>3048676.9</v>
      </c>
      <c r="N116" s="268"/>
      <c r="O116" s="269">
        <f t="shared" si="7"/>
        <v>30486769</v>
      </c>
    </row>
    <row r="117" spans="1:15" x14ac:dyDescent="0.3">
      <c r="A117" s="270">
        <v>102</v>
      </c>
      <c r="B117" s="271" t="s">
        <v>117</v>
      </c>
      <c r="C117" s="272">
        <v>109582256</v>
      </c>
      <c r="D117" s="273">
        <f t="shared" si="8"/>
        <v>10958225.6</v>
      </c>
      <c r="E117" s="273">
        <v>10958225.6</v>
      </c>
      <c r="F117" s="273">
        <v>10958225.6</v>
      </c>
      <c r="G117" s="273">
        <v>10958225.6</v>
      </c>
      <c r="H117" s="273">
        <v>10958225.6</v>
      </c>
      <c r="I117" s="273">
        <v>10958225.6</v>
      </c>
      <c r="J117" s="273">
        <v>10958225.6</v>
      </c>
      <c r="K117" s="273">
        <v>10958225.6</v>
      </c>
      <c r="L117" s="273">
        <v>10958225.6</v>
      </c>
      <c r="M117" s="273">
        <v>10958225.6</v>
      </c>
      <c r="N117" s="268"/>
      <c r="O117" s="269">
        <f t="shared" si="7"/>
        <v>109582256</v>
      </c>
    </row>
    <row r="118" spans="1:15" x14ac:dyDescent="0.3">
      <c r="A118" s="270">
        <v>103</v>
      </c>
      <c r="B118" s="271" t="s">
        <v>356</v>
      </c>
      <c r="C118" s="272">
        <v>14499410</v>
      </c>
      <c r="D118" s="273">
        <f t="shared" si="8"/>
        <v>1449941</v>
      </c>
      <c r="E118" s="273">
        <v>1449941</v>
      </c>
      <c r="F118" s="273">
        <v>1449941</v>
      </c>
      <c r="G118" s="273">
        <v>1449941</v>
      </c>
      <c r="H118" s="273">
        <v>1449941</v>
      </c>
      <c r="I118" s="273">
        <v>1449941</v>
      </c>
      <c r="J118" s="273">
        <v>1449941</v>
      </c>
      <c r="K118" s="273">
        <v>1449941</v>
      </c>
      <c r="L118" s="273">
        <v>1449941</v>
      </c>
      <c r="M118" s="273">
        <v>1449941</v>
      </c>
      <c r="N118" s="268"/>
      <c r="O118" s="269">
        <f t="shared" si="7"/>
        <v>14499410</v>
      </c>
    </row>
    <row r="119" spans="1:15" x14ac:dyDescent="0.3">
      <c r="A119" s="270">
        <v>104</v>
      </c>
      <c r="B119" s="271" t="s">
        <v>109</v>
      </c>
      <c r="C119" s="272">
        <v>10819941</v>
      </c>
      <c r="D119" s="273">
        <f t="shared" si="8"/>
        <v>1081994.1000000001</v>
      </c>
      <c r="E119" s="273">
        <v>1081994.1000000001</v>
      </c>
      <c r="F119" s="273">
        <v>1081994.1000000001</v>
      </c>
      <c r="G119" s="273">
        <v>1081994.1000000001</v>
      </c>
      <c r="H119" s="273">
        <v>1081994.1000000001</v>
      </c>
      <c r="I119" s="273">
        <v>1081994.1000000001</v>
      </c>
      <c r="J119" s="273">
        <v>1081994.1000000001</v>
      </c>
      <c r="K119" s="273">
        <v>1081994.1000000001</v>
      </c>
      <c r="L119" s="273">
        <v>1081994.1000000001</v>
      </c>
      <c r="M119" s="273">
        <v>1081994.1000000001</v>
      </c>
      <c r="N119" s="268"/>
      <c r="O119" s="269">
        <f t="shared" si="7"/>
        <v>10819941</v>
      </c>
    </row>
    <row r="120" spans="1:15" x14ac:dyDescent="0.3">
      <c r="A120" s="270">
        <v>105</v>
      </c>
      <c r="B120" s="271" t="s">
        <v>150</v>
      </c>
      <c r="C120" s="272">
        <v>9101483</v>
      </c>
      <c r="D120" s="273">
        <f t="shared" si="8"/>
        <v>910148.3</v>
      </c>
      <c r="E120" s="273">
        <v>910148.3</v>
      </c>
      <c r="F120" s="273">
        <v>910148.3</v>
      </c>
      <c r="G120" s="273">
        <v>910148.3</v>
      </c>
      <c r="H120" s="273">
        <v>910148.3</v>
      </c>
      <c r="I120" s="273">
        <v>910148.3</v>
      </c>
      <c r="J120" s="273">
        <v>910148.3</v>
      </c>
      <c r="K120" s="273">
        <v>910148.3</v>
      </c>
      <c r="L120" s="273">
        <v>910148.3</v>
      </c>
      <c r="M120" s="273">
        <v>910148.3</v>
      </c>
      <c r="N120" s="268"/>
      <c r="O120" s="269">
        <f t="shared" si="7"/>
        <v>9101483</v>
      </c>
    </row>
    <row r="121" spans="1:15" x14ac:dyDescent="0.3">
      <c r="A121" s="270">
        <v>106</v>
      </c>
      <c r="B121" s="271" t="s">
        <v>357</v>
      </c>
      <c r="C121" s="272">
        <v>15073649</v>
      </c>
      <c r="D121" s="273">
        <f t="shared" si="8"/>
        <v>1507364.9</v>
      </c>
      <c r="E121" s="273">
        <v>1507364.9</v>
      </c>
      <c r="F121" s="273">
        <v>1507364.9</v>
      </c>
      <c r="G121" s="273">
        <v>1507364.9</v>
      </c>
      <c r="H121" s="273">
        <v>1507364.9</v>
      </c>
      <c r="I121" s="273">
        <v>1507364.9</v>
      </c>
      <c r="J121" s="273">
        <v>1507364.9</v>
      </c>
      <c r="K121" s="273">
        <v>1507364.9</v>
      </c>
      <c r="L121" s="273">
        <v>1507364.9</v>
      </c>
      <c r="M121" s="273">
        <v>1507364.9</v>
      </c>
      <c r="N121" s="268"/>
      <c r="O121" s="269">
        <f t="shared" si="7"/>
        <v>15073649</v>
      </c>
    </row>
    <row r="122" spans="1:15" x14ac:dyDescent="0.3">
      <c r="A122" s="270">
        <v>107</v>
      </c>
      <c r="B122" s="271" t="s">
        <v>358</v>
      </c>
      <c r="C122" s="272">
        <v>34028671</v>
      </c>
      <c r="D122" s="273">
        <f t="shared" si="8"/>
        <v>3402867.1</v>
      </c>
      <c r="E122" s="273">
        <v>3402867.1</v>
      </c>
      <c r="F122" s="273">
        <v>3402867.1</v>
      </c>
      <c r="G122" s="273">
        <v>3402867.1</v>
      </c>
      <c r="H122" s="273">
        <v>3402867.1</v>
      </c>
      <c r="I122" s="273">
        <v>3402867.1</v>
      </c>
      <c r="J122" s="273">
        <v>3402867.1</v>
      </c>
      <c r="K122" s="273">
        <v>3402867.1</v>
      </c>
      <c r="L122" s="273">
        <v>3402867.1</v>
      </c>
      <c r="M122" s="273">
        <v>3402867.1</v>
      </c>
      <c r="N122" s="268"/>
      <c r="O122" s="269">
        <f t="shared" si="7"/>
        <v>34028671</v>
      </c>
    </row>
    <row r="123" spans="1:15" x14ac:dyDescent="0.3">
      <c r="A123" s="270">
        <v>108</v>
      </c>
      <c r="B123" s="271" t="s">
        <v>149</v>
      </c>
      <c r="C123" s="272">
        <v>56896055</v>
      </c>
      <c r="D123" s="273">
        <f t="shared" si="8"/>
        <v>5689605.5</v>
      </c>
      <c r="E123" s="273">
        <v>5689605.5</v>
      </c>
      <c r="F123" s="273">
        <v>5689605.5</v>
      </c>
      <c r="G123" s="273">
        <v>5689605.5</v>
      </c>
      <c r="H123" s="273">
        <v>5689605.5</v>
      </c>
      <c r="I123" s="273">
        <v>5689605.5</v>
      </c>
      <c r="J123" s="273">
        <v>5689605.5</v>
      </c>
      <c r="K123" s="273">
        <v>5689605.5</v>
      </c>
      <c r="L123" s="273">
        <v>5689605.5</v>
      </c>
      <c r="M123" s="273">
        <v>5689605.5</v>
      </c>
      <c r="N123" s="268"/>
      <c r="O123" s="269">
        <f t="shared" si="7"/>
        <v>56896055</v>
      </c>
    </row>
    <row r="124" spans="1:15" x14ac:dyDescent="0.3">
      <c r="A124" s="270">
        <v>109</v>
      </c>
      <c r="B124" s="271" t="s">
        <v>50</v>
      </c>
      <c r="C124" s="272">
        <v>5205613</v>
      </c>
      <c r="D124" s="273">
        <f t="shared" si="8"/>
        <v>520561.3</v>
      </c>
      <c r="E124" s="273">
        <v>520561.3</v>
      </c>
      <c r="F124" s="273">
        <v>520561.3</v>
      </c>
      <c r="G124" s="273">
        <v>520561.3</v>
      </c>
      <c r="H124" s="273">
        <v>520561.3</v>
      </c>
      <c r="I124" s="273">
        <v>520561.3</v>
      </c>
      <c r="J124" s="273">
        <v>520561.3</v>
      </c>
      <c r="K124" s="273">
        <v>520561.3</v>
      </c>
      <c r="L124" s="273">
        <v>520561.3</v>
      </c>
      <c r="M124" s="273">
        <v>520561.3</v>
      </c>
      <c r="N124" s="268"/>
      <c r="O124" s="269">
        <f t="shared" si="7"/>
        <v>5205613</v>
      </c>
    </row>
    <row r="125" spans="1:15" x14ac:dyDescent="0.3">
      <c r="A125" s="270">
        <v>110</v>
      </c>
      <c r="B125" s="271" t="s">
        <v>111</v>
      </c>
      <c r="C125" s="272">
        <v>38538144</v>
      </c>
      <c r="D125" s="273">
        <f t="shared" si="8"/>
        <v>3853814.4</v>
      </c>
      <c r="E125" s="273">
        <v>3853814.4</v>
      </c>
      <c r="F125" s="273">
        <v>3853814.4</v>
      </c>
      <c r="G125" s="273">
        <v>3853814.4</v>
      </c>
      <c r="H125" s="273">
        <v>3853814.4</v>
      </c>
      <c r="I125" s="273">
        <v>3853814.4</v>
      </c>
      <c r="J125" s="273">
        <v>3853814.4</v>
      </c>
      <c r="K125" s="273">
        <v>3853814.4</v>
      </c>
      <c r="L125" s="273">
        <v>3853814.4</v>
      </c>
      <c r="M125" s="273">
        <v>3853814.4</v>
      </c>
      <c r="N125" s="268"/>
      <c r="O125" s="269">
        <f t="shared" si="7"/>
        <v>38538144</v>
      </c>
    </row>
    <row r="126" spans="1:15" x14ac:dyDescent="0.3">
      <c r="A126" s="270">
        <v>111</v>
      </c>
      <c r="B126" s="271" t="s">
        <v>140</v>
      </c>
      <c r="C126" s="272">
        <v>14285217</v>
      </c>
      <c r="D126" s="273">
        <f t="shared" si="8"/>
        <v>1428521.7</v>
      </c>
      <c r="E126" s="273">
        <v>1428521.7</v>
      </c>
      <c r="F126" s="273">
        <v>1428521.7</v>
      </c>
      <c r="G126" s="273">
        <v>1428521.7</v>
      </c>
      <c r="H126" s="273">
        <v>1428521.7</v>
      </c>
      <c r="I126" s="273">
        <v>1428521.7</v>
      </c>
      <c r="J126" s="273">
        <v>1428521.7</v>
      </c>
      <c r="K126" s="273">
        <v>1428521.7</v>
      </c>
      <c r="L126" s="273">
        <v>1428521.7</v>
      </c>
      <c r="M126" s="273">
        <v>1428521.7</v>
      </c>
      <c r="N126" s="268"/>
      <c r="O126" s="269">
        <f t="shared" si="7"/>
        <v>14285217</v>
      </c>
    </row>
    <row r="127" spans="1:15" x14ac:dyDescent="0.3">
      <c r="A127" s="270">
        <v>112</v>
      </c>
      <c r="B127" s="271" t="s">
        <v>142</v>
      </c>
      <c r="C127" s="272">
        <v>117532814</v>
      </c>
      <c r="D127" s="273">
        <f t="shared" si="8"/>
        <v>11753281.4</v>
      </c>
      <c r="E127" s="273">
        <v>11753281.4</v>
      </c>
      <c r="F127" s="273">
        <v>11753281.4</v>
      </c>
      <c r="G127" s="273">
        <v>11753281.4</v>
      </c>
      <c r="H127" s="273">
        <v>11753281.4</v>
      </c>
      <c r="I127" s="273">
        <v>11753281.4</v>
      </c>
      <c r="J127" s="273">
        <v>11753281.4</v>
      </c>
      <c r="K127" s="273">
        <v>11753281.4</v>
      </c>
      <c r="L127" s="273">
        <v>11753281.4</v>
      </c>
      <c r="M127" s="273">
        <v>11753281.4</v>
      </c>
      <c r="N127" s="268"/>
      <c r="O127" s="269">
        <f t="shared" si="7"/>
        <v>117532814</v>
      </c>
    </row>
    <row r="128" spans="1:15" x14ac:dyDescent="0.3">
      <c r="A128" s="270">
        <v>113</v>
      </c>
      <c r="B128" s="271" t="s">
        <v>101</v>
      </c>
      <c r="C128" s="272">
        <v>23541158</v>
      </c>
      <c r="D128" s="273">
        <f t="shared" si="8"/>
        <v>2354115.7999999998</v>
      </c>
      <c r="E128" s="273">
        <v>2354115.7999999998</v>
      </c>
      <c r="F128" s="273">
        <v>2354115.7999999998</v>
      </c>
      <c r="G128" s="273">
        <v>2354115.7999999998</v>
      </c>
      <c r="H128" s="273">
        <v>2354115.7999999998</v>
      </c>
      <c r="I128" s="273">
        <v>2354115.7999999998</v>
      </c>
      <c r="J128" s="273">
        <v>2354115.7999999998</v>
      </c>
      <c r="K128" s="273">
        <v>2354115.7999999998</v>
      </c>
      <c r="L128" s="273">
        <v>2354115.7999999998</v>
      </c>
      <c r="M128" s="273">
        <v>2354115.7999999998</v>
      </c>
      <c r="N128" s="268"/>
      <c r="O128" s="269">
        <f t="shared" si="7"/>
        <v>23541158</v>
      </c>
    </row>
  </sheetData>
  <mergeCells count="1">
    <mergeCell ref="C12:C13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24"/>
  <sheetViews>
    <sheetView workbookViewId="0"/>
  </sheetViews>
  <sheetFormatPr baseColWidth="10" defaultRowHeight="15" x14ac:dyDescent="0.25"/>
  <cols>
    <col min="1" max="2" width="12.875" style="274" customWidth="1"/>
    <col min="3" max="3" width="13" style="274" hidden="1" customWidth="1"/>
    <col min="4" max="4" width="12.875" style="274" hidden="1" customWidth="1"/>
    <col min="5" max="5" width="13.5" style="274" customWidth="1"/>
    <col min="6" max="15" width="13.125" style="274" hidden="1" customWidth="1"/>
    <col min="16" max="18" width="14.5" style="274" customWidth="1"/>
    <col min="19" max="1024" width="12.875" style="274" customWidth="1"/>
  </cols>
  <sheetData>
    <row r="1" spans="1:21" x14ac:dyDescent="0.25">
      <c r="E1" s="275" t="s">
        <v>413</v>
      </c>
    </row>
    <row r="2" spans="1:21" x14ac:dyDescent="0.25">
      <c r="E2" s="275" t="s">
        <v>0</v>
      </c>
    </row>
    <row r="3" spans="1:21" x14ac:dyDescent="0.25">
      <c r="E3" s="275" t="s">
        <v>163</v>
      </c>
    </row>
    <row r="6" spans="1:21" x14ac:dyDescent="0.25">
      <c r="A6" s="275" t="s">
        <v>429</v>
      </c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</row>
    <row r="7" spans="1:21" x14ac:dyDescent="0.25">
      <c r="A7" s="275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</row>
    <row r="8" spans="1:21" ht="24" customHeight="1" x14ac:dyDescent="0.25">
      <c r="A8" s="256"/>
      <c r="B8" s="256"/>
      <c r="C8" s="771" t="s">
        <v>430</v>
      </c>
      <c r="D8" s="771" t="s">
        <v>431</v>
      </c>
      <c r="E8" s="771" t="s">
        <v>432</v>
      </c>
      <c r="F8" s="276" t="s">
        <v>268</v>
      </c>
      <c r="G8" s="276" t="s">
        <v>270</v>
      </c>
      <c r="H8" s="276" t="s">
        <v>272</v>
      </c>
      <c r="I8" s="276" t="s">
        <v>274</v>
      </c>
      <c r="J8" s="276" t="s">
        <v>275</v>
      </c>
      <c r="K8" s="276" t="s">
        <v>277</v>
      </c>
      <c r="L8" s="276" t="s">
        <v>279</v>
      </c>
      <c r="M8" s="276" t="s">
        <v>289</v>
      </c>
      <c r="N8" s="276" t="s">
        <v>290</v>
      </c>
      <c r="O8" s="276" t="s">
        <v>291</v>
      </c>
    </row>
    <row r="9" spans="1:21" ht="24" customHeight="1" x14ac:dyDescent="0.25">
      <c r="A9" s="257"/>
      <c r="B9" s="257"/>
      <c r="C9" s="771"/>
      <c r="D9" s="771"/>
      <c r="E9" s="771"/>
      <c r="F9" s="277"/>
      <c r="G9" s="277"/>
      <c r="H9" s="277"/>
      <c r="I9" s="277"/>
      <c r="J9" s="277"/>
      <c r="K9" s="277"/>
      <c r="L9" s="277"/>
      <c r="M9" s="277"/>
      <c r="N9" s="277"/>
      <c r="O9" s="277"/>
    </row>
    <row r="10" spans="1:21" x14ac:dyDescent="0.25">
      <c r="A10" s="278" t="s">
        <v>170</v>
      </c>
      <c r="B10" s="278" t="s">
        <v>171</v>
      </c>
      <c r="C10" s="279" t="s">
        <v>217</v>
      </c>
      <c r="D10" s="253" t="s">
        <v>433</v>
      </c>
      <c r="E10" s="253" t="s">
        <v>219</v>
      </c>
      <c r="F10" s="280" t="s">
        <v>416</v>
      </c>
      <c r="G10" s="280" t="s">
        <v>417</v>
      </c>
      <c r="H10" s="280" t="s">
        <v>418</v>
      </c>
      <c r="I10" s="280" t="s">
        <v>419</v>
      </c>
      <c r="J10" s="280" t="s">
        <v>420</v>
      </c>
      <c r="K10" s="280" t="s">
        <v>421</v>
      </c>
      <c r="L10" s="280" t="s">
        <v>422</v>
      </c>
      <c r="M10" s="280" t="s">
        <v>423</v>
      </c>
      <c r="N10" s="280" t="s">
        <v>424</v>
      </c>
      <c r="O10" s="280" t="s">
        <v>425</v>
      </c>
      <c r="T10" s="274" t="s">
        <v>434</v>
      </c>
      <c r="U10" s="274" t="s">
        <v>435</v>
      </c>
    </row>
    <row r="11" spans="1:21" x14ac:dyDescent="0.25">
      <c r="B11" s="274" t="s">
        <v>191</v>
      </c>
      <c r="C11" s="281">
        <f t="shared" ref="C11:O11" si="0">SUM(C12:C124)</f>
        <v>1867504279</v>
      </c>
      <c r="D11" s="281" t="e">
        <f t="shared" si="0"/>
        <v>#VALUE!</v>
      </c>
      <c r="E11" s="281" t="e">
        <f t="shared" si="0"/>
        <v>#VALUE!</v>
      </c>
      <c r="F11" s="281" t="e">
        <f t="shared" si="0"/>
        <v>#VALUE!</v>
      </c>
      <c r="G11" s="281" t="e">
        <f t="shared" si="0"/>
        <v>#VALUE!</v>
      </c>
      <c r="H11" s="281" t="e">
        <f t="shared" si="0"/>
        <v>#VALUE!</v>
      </c>
      <c r="I11" s="281" t="e">
        <f t="shared" si="0"/>
        <v>#VALUE!</v>
      </c>
      <c r="J11" s="281" t="e">
        <f t="shared" si="0"/>
        <v>#VALUE!</v>
      </c>
      <c r="K11" s="281" t="e">
        <f t="shared" si="0"/>
        <v>#VALUE!</v>
      </c>
      <c r="L11" s="281" t="e">
        <f t="shared" si="0"/>
        <v>#VALUE!</v>
      </c>
      <c r="M11" s="281" t="e">
        <f t="shared" si="0"/>
        <v>#VALUE!</v>
      </c>
      <c r="N11" s="281" t="e">
        <f t="shared" si="0"/>
        <v>#VALUE!</v>
      </c>
      <c r="O11" s="281" t="e">
        <f t="shared" si="0"/>
        <v>#VALUE!</v>
      </c>
      <c r="Q11" s="282" t="s">
        <v>436</v>
      </c>
      <c r="R11" s="282" t="e">
        <f>Q11-C11</f>
        <v>#VALUE!</v>
      </c>
    </row>
    <row r="12" spans="1:21" x14ac:dyDescent="0.25">
      <c r="A12" s="283">
        <v>1</v>
      </c>
      <c r="B12" s="284" t="s">
        <v>43</v>
      </c>
      <c r="C12" s="285">
        <v>5484337</v>
      </c>
      <c r="D12" s="286" t="e">
        <f t="shared" ref="D12:D43" si="1">R12</f>
        <v>#VALUE!</v>
      </c>
      <c r="E12" s="285" t="e">
        <f t="shared" ref="E12:E43" si="2">C12+D12</f>
        <v>#VALUE!</v>
      </c>
      <c r="F12" s="287" t="e">
        <f>$E$12/10</f>
        <v>#VALUE!</v>
      </c>
      <c r="G12" s="287" t="e">
        <f t="shared" ref="G12:G43" si="3">E12/10</f>
        <v>#VALUE!</v>
      </c>
      <c r="H12" s="287" t="e">
        <f t="shared" ref="H12:H43" si="4">E12/10</f>
        <v>#VALUE!</v>
      </c>
      <c r="I12" s="287" t="e">
        <f t="shared" ref="I12:I43" si="5">E12/10</f>
        <v>#VALUE!</v>
      </c>
      <c r="J12" s="287" t="e">
        <f t="shared" ref="J12:J43" si="6">E12/10</f>
        <v>#VALUE!</v>
      </c>
      <c r="K12" s="287" t="e">
        <f t="shared" ref="K12:K43" si="7">E12/10</f>
        <v>#VALUE!</v>
      </c>
      <c r="L12" s="287" t="e">
        <f t="shared" ref="L12:L43" si="8">E12/10</f>
        <v>#VALUE!</v>
      </c>
      <c r="M12" s="287" t="e">
        <f t="shared" ref="M12:M43" si="9">E12/10</f>
        <v>#VALUE!</v>
      </c>
      <c r="N12" s="287" t="e">
        <f t="shared" ref="N12:N43" si="10">E12/10</f>
        <v>#VALUE!</v>
      </c>
      <c r="O12" s="287" t="e">
        <f t="shared" ref="O12:O43" si="11">E12/10</f>
        <v>#VALUE!</v>
      </c>
      <c r="P12" s="288">
        <f t="shared" ref="P12:P43" si="12">C12/$C$11</f>
        <v>2.9367199109908973E-3</v>
      </c>
      <c r="Q12" s="282" t="e">
        <f t="shared" ref="Q12:Q43" si="13">$Q$11*T12</f>
        <v>#VALUE!</v>
      </c>
      <c r="R12" s="282" t="e">
        <f t="shared" ref="R12:R43" si="14">$R$11*P12</f>
        <v>#VALUE!</v>
      </c>
      <c r="S12" s="274">
        <v>3.69543855442704E-3</v>
      </c>
      <c r="T12" s="274">
        <v>3.4139364247167802E-3</v>
      </c>
      <c r="U12" s="282">
        <v>12569365</v>
      </c>
    </row>
    <row r="13" spans="1:21" x14ac:dyDescent="0.25">
      <c r="A13" s="283">
        <v>2</v>
      </c>
      <c r="B13" s="284" t="s">
        <v>46</v>
      </c>
      <c r="C13" s="285">
        <v>8808738</v>
      </c>
      <c r="D13" s="286" t="e">
        <f t="shared" si="1"/>
        <v>#VALUE!</v>
      </c>
      <c r="E13" s="285" t="e">
        <f t="shared" si="2"/>
        <v>#VALUE!</v>
      </c>
      <c r="F13" s="287" t="e">
        <f t="shared" ref="F13:F44" si="15">E13/10</f>
        <v>#VALUE!</v>
      </c>
      <c r="G13" s="287" t="e">
        <f t="shared" si="3"/>
        <v>#VALUE!</v>
      </c>
      <c r="H13" s="287" t="e">
        <f t="shared" si="4"/>
        <v>#VALUE!</v>
      </c>
      <c r="I13" s="287" t="e">
        <f t="shared" si="5"/>
        <v>#VALUE!</v>
      </c>
      <c r="J13" s="287" t="e">
        <f t="shared" si="6"/>
        <v>#VALUE!</v>
      </c>
      <c r="K13" s="287" t="e">
        <f t="shared" si="7"/>
        <v>#VALUE!</v>
      </c>
      <c r="L13" s="287" t="e">
        <f t="shared" si="8"/>
        <v>#VALUE!</v>
      </c>
      <c r="M13" s="287" t="e">
        <f t="shared" si="9"/>
        <v>#VALUE!</v>
      </c>
      <c r="N13" s="287" t="e">
        <f t="shared" si="10"/>
        <v>#VALUE!</v>
      </c>
      <c r="O13" s="287" t="e">
        <f t="shared" si="11"/>
        <v>#VALUE!</v>
      </c>
      <c r="P13" s="288">
        <f t="shared" si="12"/>
        <v>4.7168502364647062E-3</v>
      </c>
      <c r="Q13" s="282" t="e">
        <f t="shared" si="13"/>
        <v>#VALUE!</v>
      </c>
      <c r="R13" s="282" t="e">
        <f t="shared" si="14"/>
        <v>#VALUE!</v>
      </c>
      <c r="S13" s="274">
        <v>4.8420900539308696E-3</v>
      </c>
      <c r="T13" s="274">
        <v>4.99085969254804E-3</v>
      </c>
      <c r="U13" s="282">
        <v>18022128</v>
      </c>
    </row>
    <row r="14" spans="1:21" x14ac:dyDescent="0.25">
      <c r="A14" s="283">
        <v>3</v>
      </c>
      <c r="B14" s="284" t="s">
        <v>49</v>
      </c>
      <c r="C14" s="285">
        <v>9676361</v>
      </c>
      <c r="D14" s="286" t="e">
        <f t="shared" si="1"/>
        <v>#VALUE!</v>
      </c>
      <c r="E14" s="285" t="e">
        <f t="shared" si="2"/>
        <v>#VALUE!</v>
      </c>
      <c r="F14" s="287" t="e">
        <f t="shared" si="15"/>
        <v>#VALUE!</v>
      </c>
      <c r="G14" s="287" t="e">
        <f t="shared" si="3"/>
        <v>#VALUE!</v>
      </c>
      <c r="H14" s="287" t="e">
        <f t="shared" si="4"/>
        <v>#VALUE!</v>
      </c>
      <c r="I14" s="287" t="e">
        <f t="shared" si="5"/>
        <v>#VALUE!</v>
      </c>
      <c r="J14" s="287" t="e">
        <f t="shared" si="6"/>
        <v>#VALUE!</v>
      </c>
      <c r="K14" s="287" t="e">
        <f t="shared" si="7"/>
        <v>#VALUE!</v>
      </c>
      <c r="L14" s="287" t="e">
        <f t="shared" si="8"/>
        <v>#VALUE!</v>
      </c>
      <c r="M14" s="287" t="e">
        <f t="shared" si="9"/>
        <v>#VALUE!</v>
      </c>
      <c r="N14" s="287" t="e">
        <f t="shared" si="10"/>
        <v>#VALUE!</v>
      </c>
      <c r="O14" s="287" t="e">
        <f t="shared" si="11"/>
        <v>#VALUE!</v>
      </c>
      <c r="P14" s="288">
        <f t="shared" si="12"/>
        <v>5.1814398011347206E-3</v>
      </c>
      <c r="Q14" s="282" t="e">
        <f t="shared" si="13"/>
        <v>#VALUE!</v>
      </c>
      <c r="R14" s="282" t="e">
        <f t="shared" si="14"/>
        <v>#VALUE!</v>
      </c>
      <c r="S14" s="274">
        <v>5.57649693357076E-3</v>
      </c>
      <c r="T14" s="274">
        <v>5.8284598104521197E-3</v>
      </c>
      <c r="U14" s="282">
        <v>21319315</v>
      </c>
    </row>
    <row r="15" spans="1:21" x14ac:dyDescent="0.25">
      <c r="A15" s="283">
        <v>4</v>
      </c>
      <c r="B15" s="284" t="s">
        <v>52</v>
      </c>
      <c r="C15" s="285">
        <v>11541569</v>
      </c>
      <c r="D15" s="286" t="e">
        <f t="shared" si="1"/>
        <v>#VALUE!</v>
      </c>
      <c r="E15" s="285" t="e">
        <f t="shared" si="2"/>
        <v>#VALUE!</v>
      </c>
      <c r="F15" s="287" t="e">
        <f t="shared" si="15"/>
        <v>#VALUE!</v>
      </c>
      <c r="G15" s="287" t="e">
        <f t="shared" si="3"/>
        <v>#VALUE!</v>
      </c>
      <c r="H15" s="287" t="e">
        <f t="shared" si="4"/>
        <v>#VALUE!</v>
      </c>
      <c r="I15" s="287" t="e">
        <f t="shared" si="5"/>
        <v>#VALUE!</v>
      </c>
      <c r="J15" s="287" t="e">
        <f t="shared" si="6"/>
        <v>#VALUE!</v>
      </c>
      <c r="K15" s="287" t="e">
        <f t="shared" si="7"/>
        <v>#VALUE!</v>
      </c>
      <c r="L15" s="287" t="e">
        <f t="shared" si="8"/>
        <v>#VALUE!</v>
      </c>
      <c r="M15" s="287" t="e">
        <f t="shared" si="9"/>
        <v>#VALUE!</v>
      </c>
      <c r="N15" s="287" t="e">
        <f t="shared" si="10"/>
        <v>#VALUE!</v>
      </c>
      <c r="O15" s="287" t="e">
        <f t="shared" si="11"/>
        <v>#VALUE!</v>
      </c>
      <c r="P15" s="288">
        <f t="shared" si="12"/>
        <v>6.1802102034166206E-3</v>
      </c>
      <c r="Q15" s="282" t="e">
        <f t="shared" si="13"/>
        <v>#VALUE!</v>
      </c>
      <c r="R15" s="282" t="e">
        <f t="shared" si="14"/>
        <v>#VALUE!</v>
      </c>
      <c r="S15" s="274">
        <v>5.5112381946486903E-3</v>
      </c>
      <c r="T15" s="274">
        <v>5.4041564083253902E-3</v>
      </c>
      <c r="U15" s="282">
        <v>18620363</v>
      </c>
    </row>
    <row r="16" spans="1:21" x14ac:dyDescent="0.25">
      <c r="A16" s="283">
        <v>5</v>
      </c>
      <c r="B16" s="284" t="s">
        <v>54</v>
      </c>
      <c r="C16" s="285">
        <v>7002469</v>
      </c>
      <c r="D16" s="286" t="e">
        <f t="shared" si="1"/>
        <v>#VALUE!</v>
      </c>
      <c r="E16" s="285" t="e">
        <f t="shared" si="2"/>
        <v>#VALUE!</v>
      </c>
      <c r="F16" s="287" t="e">
        <f t="shared" si="15"/>
        <v>#VALUE!</v>
      </c>
      <c r="G16" s="287" t="e">
        <f t="shared" si="3"/>
        <v>#VALUE!</v>
      </c>
      <c r="H16" s="287" t="e">
        <f t="shared" si="4"/>
        <v>#VALUE!</v>
      </c>
      <c r="I16" s="287" t="e">
        <f t="shared" si="5"/>
        <v>#VALUE!</v>
      </c>
      <c r="J16" s="287" t="e">
        <f t="shared" si="6"/>
        <v>#VALUE!</v>
      </c>
      <c r="K16" s="287" t="e">
        <f t="shared" si="7"/>
        <v>#VALUE!</v>
      </c>
      <c r="L16" s="287" t="e">
        <f t="shared" si="8"/>
        <v>#VALUE!</v>
      </c>
      <c r="M16" s="287" t="e">
        <f t="shared" si="9"/>
        <v>#VALUE!</v>
      </c>
      <c r="N16" s="287" t="e">
        <f t="shared" si="10"/>
        <v>#VALUE!</v>
      </c>
      <c r="O16" s="287" t="e">
        <f t="shared" si="11"/>
        <v>#VALUE!</v>
      </c>
      <c r="P16" s="288">
        <f t="shared" si="12"/>
        <v>3.7496401367013948E-3</v>
      </c>
      <c r="Q16" s="282" t="e">
        <f t="shared" si="13"/>
        <v>#VALUE!</v>
      </c>
      <c r="R16" s="282" t="e">
        <f t="shared" si="14"/>
        <v>#VALUE!</v>
      </c>
      <c r="S16" s="274">
        <v>4.0588693522445301E-3</v>
      </c>
      <c r="T16" s="274">
        <v>3.8476094021747198E-3</v>
      </c>
      <c r="U16" s="282">
        <v>13799403</v>
      </c>
    </row>
    <row r="17" spans="1:21" x14ac:dyDescent="0.25">
      <c r="A17" s="283">
        <v>6</v>
      </c>
      <c r="B17" s="284" t="s">
        <v>57</v>
      </c>
      <c r="C17" s="285">
        <v>28748454</v>
      </c>
      <c r="D17" s="286" t="e">
        <f t="shared" si="1"/>
        <v>#VALUE!</v>
      </c>
      <c r="E17" s="285" t="e">
        <f t="shared" si="2"/>
        <v>#VALUE!</v>
      </c>
      <c r="F17" s="287" t="e">
        <f t="shared" si="15"/>
        <v>#VALUE!</v>
      </c>
      <c r="G17" s="287" t="e">
        <f t="shared" si="3"/>
        <v>#VALUE!</v>
      </c>
      <c r="H17" s="287" t="e">
        <f t="shared" si="4"/>
        <v>#VALUE!</v>
      </c>
      <c r="I17" s="287" t="e">
        <f t="shared" si="5"/>
        <v>#VALUE!</v>
      </c>
      <c r="J17" s="287" t="e">
        <f t="shared" si="6"/>
        <v>#VALUE!</v>
      </c>
      <c r="K17" s="287" t="e">
        <f t="shared" si="7"/>
        <v>#VALUE!</v>
      </c>
      <c r="L17" s="287" t="e">
        <f t="shared" si="8"/>
        <v>#VALUE!</v>
      </c>
      <c r="M17" s="287" t="e">
        <f t="shared" si="9"/>
        <v>#VALUE!</v>
      </c>
      <c r="N17" s="287" t="e">
        <f t="shared" si="10"/>
        <v>#VALUE!</v>
      </c>
      <c r="O17" s="287" t="e">
        <f t="shared" si="11"/>
        <v>#VALUE!</v>
      </c>
      <c r="P17" s="288">
        <f t="shared" si="12"/>
        <v>1.5394049868198454E-2</v>
      </c>
      <c r="Q17" s="282" t="e">
        <f t="shared" si="13"/>
        <v>#VALUE!</v>
      </c>
      <c r="R17" s="282" t="e">
        <f t="shared" si="14"/>
        <v>#VALUE!</v>
      </c>
      <c r="S17" s="274">
        <v>1.8228829600495398E-2</v>
      </c>
      <c r="T17" s="274">
        <v>1.66983153753445E-2</v>
      </c>
      <c r="U17" s="282">
        <v>60621057</v>
      </c>
    </row>
    <row r="18" spans="1:21" x14ac:dyDescent="0.25">
      <c r="A18" s="283">
        <v>7</v>
      </c>
      <c r="B18" s="284" t="s">
        <v>426</v>
      </c>
      <c r="C18" s="285">
        <v>2999772</v>
      </c>
      <c r="D18" s="286" t="e">
        <f t="shared" si="1"/>
        <v>#VALUE!</v>
      </c>
      <c r="E18" s="285" t="e">
        <f t="shared" si="2"/>
        <v>#VALUE!</v>
      </c>
      <c r="F18" s="287" t="e">
        <f t="shared" si="15"/>
        <v>#VALUE!</v>
      </c>
      <c r="G18" s="287" t="e">
        <f t="shared" si="3"/>
        <v>#VALUE!</v>
      </c>
      <c r="H18" s="287" t="e">
        <f t="shared" si="4"/>
        <v>#VALUE!</v>
      </c>
      <c r="I18" s="287" t="e">
        <f t="shared" si="5"/>
        <v>#VALUE!</v>
      </c>
      <c r="J18" s="287" t="e">
        <f t="shared" si="6"/>
        <v>#VALUE!</v>
      </c>
      <c r="K18" s="287" t="e">
        <f t="shared" si="7"/>
        <v>#VALUE!</v>
      </c>
      <c r="L18" s="287" t="e">
        <f t="shared" si="8"/>
        <v>#VALUE!</v>
      </c>
      <c r="M18" s="287" t="e">
        <f t="shared" si="9"/>
        <v>#VALUE!</v>
      </c>
      <c r="N18" s="287" t="e">
        <f t="shared" si="10"/>
        <v>#VALUE!</v>
      </c>
      <c r="O18" s="287" t="e">
        <f t="shared" si="11"/>
        <v>#VALUE!</v>
      </c>
      <c r="P18" s="288">
        <f t="shared" si="12"/>
        <v>1.606299933945158E-3</v>
      </c>
      <c r="Q18" s="282" t="e">
        <f t="shared" si="13"/>
        <v>#VALUE!</v>
      </c>
      <c r="R18" s="282" t="e">
        <f t="shared" si="14"/>
        <v>#VALUE!</v>
      </c>
      <c r="S18" s="274">
        <v>1.9956178381823802E-3</v>
      </c>
      <c r="T18" s="274">
        <v>1.8363792243603E-3</v>
      </c>
      <c r="U18" s="282">
        <v>6738957</v>
      </c>
    </row>
    <row r="19" spans="1:21" x14ac:dyDescent="0.25">
      <c r="A19" s="283">
        <v>8</v>
      </c>
      <c r="B19" s="284" t="s">
        <v>59</v>
      </c>
      <c r="C19" s="285">
        <v>44070711</v>
      </c>
      <c r="D19" s="286" t="e">
        <f t="shared" si="1"/>
        <v>#VALUE!</v>
      </c>
      <c r="E19" s="289" t="e">
        <f t="shared" si="2"/>
        <v>#VALUE!</v>
      </c>
      <c r="F19" s="287" t="e">
        <f t="shared" si="15"/>
        <v>#VALUE!</v>
      </c>
      <c r="G19" s="287" t="e">
        <f t="shared" si="3"/>
        <v>#VALUE!</v>
      </c>
      <c r="H19" s="287" t="e">
        <f t="shared" si="4"/>
        <v>#VALUE!</v>
      </c>
      <c r="I19" s="287" t="e">
        <f t="shared" si="5"/>
        <v>#VALUE!</v>
      </c>
      <c r="J19" s="287" t="e">
        <f t="shared" si="6"/>
        <v>#VALUE!</v>
      </c>
      <c r="K19" s="287" t="e">
        <f t="shared" si="7"/>
        <v>#VALUE!</v>
      </c>
      <c r="L19" s="287" t="e">
        <f t="shared" si="8"/>
        <v>#VALUE!</v>
      </c>
      <c r="M19" s="287" t="e">
        <f t="shared" si="9"/>
        <v>#VALUE!</v>
      </c>
      <c r="N19" s="287" t="e">
        <f t="shared" si="10"/>
        <v>#VALUE!</v>
      </c>
      <c r="O19" s="287" t="e">
        <f t="shared" si="11"/>
        <v>#VALUE!</v>
      </c>
      <c r="P19" s="288">
        <f t="shared" si="12"/>
        <v>2.3598720225475853E-2</v>
      </c>
      <c r="Q19" s="282" t="e">
        <f t="shared" si="13"/>
        <v>#VALUE!</v>
      </c>
      <c r="R19" s="282" t="e">
        <f t="shared" si="14"/>
        <v>#VALUE!</v>
      </c>
      <c r="S19" s="274">
        <v>1.8999011381281999E-2</v>
      </c>
      <c r="T19" s="274">
        <v>1.8644232747690101E-2</v>
      </c>
      <c r="U19" s="282">
        <v>62341799</v>
      </c>
    </row>
    <row r="20" spans="1:21" x14ac:dyDescent="0.25">
      <c r="A20" s="283">
        <v>9</v>
      </c>
      <c r="B20" s="284" t="s">
        <v>342</v>
      </c>
      <c r="C20" s="285">
        <v>20178346</v>
      </c>
      <c r="D20" s="286" t="e">
        <f t="shared" si="1"/>
        <v>#VALUE!</v>
      </c>
      <c r="E20" s="285" t="e">
        <f t="shared" si="2"/>
        <v>#VALUE!</v>
      </c>
      <c r="F20" s="287" t="e">
        <f t="shared" si="15"/>
        <v>#VALUE!</v>
      </c>
      <c r="G20" s="287" t="e">
        <f t="shared" si="3"/>
        <v>#VALUE!</v>
      </c>
      <c r="H20" s="287" t="e">
        <f t="shared" si="4"/>
        <v>#VALUE!</v>
      </c>
      <c r="I20" s="287" t="e">
        <f t="shared" si="5"/>
        <v>#VALUE!</v>
      </c>
      <c r="J20" s="287" t="e">
        <f t="shared" si="6"/>
        <v>#VALUE!</v>
      </c>
      <c r="K20" s="287" t="e">
        <f t="shared" si="7"/>
        <v>#VALUE!</v>
      </c>
      <c r="L20" s="287" t="e">
        <f t="shared" si="8"/>
        <v>#VALUE!</v>
      </c>
      <c r="M20" s="287" t="e">
        <f t="shared" si="9"/>
        <v>#VALUE!</v>
      </c>
      <c r="N20" s="287" t="e">
        <f t="shared" si="10"/>
        <v>#VALUE!</v>
      </c>
      <c r="O20" s="287" t="e">
        <f t="shared" si="11"/>
        <v>#VALUE!</v>
      </c>
      <c r="P20" s="288">
        <f t="shared" si="12"/>
        <v>1.0804979794105199E-2</v>
      </c>
      <c r="Q20" s="282" t="e">
        <f t="shared" si="13"/>
        <v>#VALUE!</v>
      </c>
      <c r="R20" s="282" t="e">
        <f t="shared" si="14"/>
        <v>#VALUE!</v>
      </c>
      <c r="S20" s="274">
        <v>9.8562956307075098E-3</v>
      </c>
      <c r="T20" s="274">
        <v>9.2482995674083909E-3</v>
      </c>
      <c r="U20" s="282">
        <v>31675056</v>
      </c>
    </row>
    <row r="21" spans="1:21" x14ac:dyDescent="0.25">
      <c r="A21" s="283">
        <v>10</v>
      </c>
      <c r="B21" s="284" t="s">
        <v>64</v>
      </c>
      <c r="C21" s="285">
        <v>23451148</v>
      </c>
      <c r="D21" s="286" t="e">
        <f t="shared" si="1"/>
        <v>#VALUE!</v>
      </c>
      <c r="E21" s="289" t="e">
        <f t="shared" si="2"/>
        <v>#VALUE!</v>
      </c>
      <c r="F21" s="287" t="e">
        <f t="shared" si="15"/>
        <v>#VALUE!</v>
      </c>
      <c r="G21" s="287" t="e">
        <f t="shared" si="3"/>
        <v>#VALUE!</v>
      </c>
      <c r="H21" s="287" t="e">
        <f t="shared" si="4"/>
        <v>#VALUE!</v>
      </c>
      <c r="I21" s="287" t="e">
        <f t="shared" si="5"/>
        <v>#VALUE!</v>
      </c>
      <c r="J21" s="287" t="e">
        <f t="shared" si="6"/>
        <v>#VALUE!</v>
      </c>
      <c r="K21" s="287" t="e">
        <f t="shared" si="7"/>
        <v>#VALUE!</v>
      </c>
      <c r="L21" s="287" t="e">
        <f t="shared" si="8"/>
        <v>#VALUE!</v>
      </c>
      <c r="M21" s="287" t="e">
        <f t="shared" si="9"/>
        <v>#VALUE!</v>
      </c>
      <c r="N21" s="287" t="e">
        <f t="shared" si="10"/>
        <v>#VALUE!</v>
      </c>
      <c r="O21" s="287" t="e">
        <f t="shared" si="11"/>
        <v>#VALUE!</v>
      </c>
      <c r="P21" s="288">
        <f t="shared" si="12"/>
        <v>1.2557480196274291E-2</v>
      </c>
      <c r="Q21" s="282" t="e">
        <f t="shared" si="13"/>
        <v>#VALUE!</v>
      </c>
      <c r="R21" s="282" t="e">
        <f t="shared" si="14"/>
        <v>#VALUE!</v>
      </c>
      <c r="S21" s="274">
        <v>1.0605565662928E-2</v>
      </c>
      <c r="T21" s="274">
        <v>9.6907742771108907E-3</v>
      </c>
      <c r="U21" s="282">
        <v>32160627</v>
      </c>
    </row>
    <row r="22" spans="1:21" x14ac:dyDescent="0.25">
      <c r="A22" s="283">
        <v>11</v>
      </c>
      <c r="B22" s="284" t="s">
        <v>343</v>
      </c>
      <c r="C22" s="285">
        <v>3443006</v>
      </c>
      <c r="D22" s="286" t="e">
        <f t="shared" si="1"/>
        <v>#VALUE!</v>
      </c>
      <c r="E22" s="285" t="e">
        <f t="shared" si="2"/>
        <v>#VALUE!</v>
      </c>
      <c r="F22" s="287" t="e">
        <f t="shared" si="15"/>
        <v>#VALUE!</v>
      </c>
      <c r="G22" s="287" t="e">
        <f t="shared" si="3"/>
        <v>#VALUE!</v>
      </c>
      <c r="H22" s="287" t="e">
        <f t="shared" si="4"/>
        <v>#VALUE!</v>
      </c>
      <c r="I22" s="287" t="e">
        <f t="shared" si="5"/>
        <v>#VALUE!</v>
      </c>
      <c r="J22" s="287" t="e">
        <f t="shared" si="6"/>
        <v>#VALUE!</v>
      </c>
      <c r="K22" s="287" t="e">
        <f t="shared" si="7"/>
        <v>#VALUE!</v>
      </c>
      <c r="L22" s="287" t="e">
        <f t="shared" si="8"/>
        <v>#VALUE!</v>
      </c>
      <c r="M22" s="287" t="e">
        <f t="shared" si="9"/>
        <v>#VALUE!</v>
      </c>
      <c r="N22" s="287" t="e">
        <f t="shared" si="10"/>
        <v>#VALUE!</v>
      </c>
      <c r="O22" s="287" t="e">
        <f t="shared" si="11"/>
        <v>#VALUE!</v>
      </c>
      <c r="P22" s="288">
        <f t="shared" si="12"/>
        <v>1.8436402201143229E-3</v>
      </c>
      <c r="Q22" s="282" t="e">
        <f t="shared" si="13"/>
        <v>#VALUE!</v>
      </c>
      <c r="R22" s="282" t="e">
        <f t="shared" si="14"/>
        <v>#VALUE!</v>
      </c>
      <c r="S22" s="274">
        <v>2.3049067485797301E-3</v>
      </c>
      <c r="T22" s="274">
        <v>2.1093877902380802E-3</v>
      </c>
      <c r="U22" s="282">
        <v>7742036</v>
      </c>
    </row>
    <row r="23" spans="1:21" x14ac:dyDescent="0.25">
      <c r="A23" s="283">
        <v>12</v>
      </c>
      <c r="B23" s="284" t="s">
        <v>384</v>
      </c>
      <c r="C23" s="285">
        <v>7795542</v>
      </c>
      <c r="D23" s="286" t="e">
        <f t="shared" si="1"/>
        <v>#VALUE!</v>
      </c>
      <c r="E23" s="289" t="e">
        <f t="shared" si="2"/>
        <v>#VALUE!</v>
      </c>
      <c r="F23" s="287" t="e">
        <f t="shared" si="15"/>
        <v>#VALUE!</v>
      </c>
      <c r="G23" s="287" t="e">
        <f t="shared" si="3"/>
        <v>#VALUE!</v>
      </c>
      <c r="H23" s="287" t="e">
        <f t="shared" si="4"/>
        <v>#VALUE!</v>
      </c>
      <c r="I23" s="287" t="e">
        <f t="shared" si="5"/>
        <v>#VALUE!</v>
      </c>
      <c r="J23" s="287" t="e">
        <f t="shared" si="6"/>
        <v>#VALUE!</v>
      </c>
      <c r="K23" s="287" t="e">
        <f t="shared" si="7"/>
        <v>#VALUE!</v>
      </c>
      <c r="L23" s="287" t="e">
        <f t="shared" si="8"/>
        <v>#VALUE!</v>
      </c>
      <c r="M23" s="287" t="e">
        <f t="shared" si="9"/>
        <v>#VALUE!</v>
      </c>
      <c r="N23" s="287" t="e">
        <f t="shared" si="10"/>
        <v>#VALUE!</v>
      </c>
      <c r="O23" s="287" t="e">
        <f t="shared" si="11"/>
        <v>#VALUE!</v>
      </c>
      <c r="P23" s="288">
        <f t="shared" si="12"/>
        <v>4.1743101141242418E-3</v>
      </c>
      <c r="Q23" s="282" t="e">
        <f t="shared" si="13"/>
        <v>#VALUE!</v>
      </c>
      <c r="R23" s="282" t="e">
        <f t="shared" si="14"/>
        <v>#VALUE!</v>
      </c>
      <c r="S23" s="274">
        <v>6.41545862944389E-3</v>
      </c>
      <c r="T23" s="274">
        <v>5.2744320468958101E-3</v>
      </c>
      <c r="U23" s="282">
        <v>19721742</v>
      </c>
    </row>
    <row r="24" spans="1:21" x14ac:dyDescent="0.25">
      <c r="A24" s="283">
        <v>13</v>
      </c>
      <c r="B24" s="284" t="s">
        <v>73</v>
      </c>
      <c r="C24" s="285">
        <v>17248307</v>
      </c>
      <c r="D24" s="286" t="e">
        <f t="shared" si="1"/>
        <v>#VALUE!</v>
      </c>
      <c r="E24" s="289" t="e">
        <f t="shared" si="2"/>
        <v>#VALUE!</v>
      </c>
      <c r="F24" s="287" t="e">
        <f t="shared" si="15"/>
        <v>#VALUE!</v>
      </c>
      <c r="G24" s="287" t="e">
        <f t="shared" si="3"/>
        <v>#VALUE!</v>
      </c>
      <c r="H24" s="287" t="e">
        <f t="shared" si="4"/>
        <v>#VALUE!</v>
      </c>
      <c r="I24" s="287" t="e">
        <f t="shared" si="5"/>
        <v>#VALUE!</v>
      </c>
      <c r="J24" s="287" t="e">
        <f t="shared" si="6"/>
        <v>#VALUE!</v>
      </c>
      <c r="K24" s="287" t="e">
        <f t="shared" si="7"/>
        <v>#VALUE!</v>
      </c>
      <c r="L24" s="287" t="e">
        <f t="shared" si="8"/>
        <v>#VALUE!</v>
      </c>
      <c r="M24" s="287" t="e">
        <f t="shared" si="9"/>
        <v>#VALUE!</v>
      </c>
      <c r="N24" s="287" t="e">
        <f t="shared" si="10"/>
        <v>#VALUE!</v>
      </c>
      <c r="O24" s="287" t="e">
        <f t="shared" si="11"/>
        <v>#VALUE!</v>
      </c>
      <c r="P24" s="288">
        <f t="shared" si="12"/>
        <v>9.2360200691138546E-3</v>
      </c>
      <c r="Q24" s="282" t="e">
        <f t="shared" si="13"/>
        <v>#VALUE!</v>
      </c>
      <c r="R24" s="282" t="e">
        <f t="shared" si="14"/>
        <v>#VALUE!</v>
      </c>
      <c r="S24" s="274">
        <v>8.1217637939788208E-3</v>
      </c>
      <c r="T24" s="274">
        <v>7.6336237764027103E-3</v>
      </c>
      <c r="U24" s="282">
        <v>25880205</v>
      </c>
    </row>
    <row r="25" spans="1:21" x14ac:dyDescent="0.25">
      <c r="A25" s="283">
        <v>14</v>
      </c>
      <c r="B25" s="284" t="s">
        <v>75</v>
      </c>
      <c r="C25" s="285">
        <v>3970986</v>
      </c>
      <c r="D25" s="286" t="e">
        <f t="shared" si="1"/>
        <v>#VALUE!</v>
      </c>
      <c r="E25" s="285" t="e">
        <f t="shared" si="2"/>
        <v>#VALUE!</v>
      </c>
      <c r="F25" s="287" t="e">
        <f t="shared" si="15"/>
        <v>#VALUE!</v>
      </c>
      <c r="G25" s="287" t="e">
        <f t="shared" si="3"/>
        <v>#VALUE!</v>
      </c>
      <c r="H25" s="287" t="e">
        <f t="shared" si="4"/>
        <v>#VALUE!</v>
      </c>
      <c r="I25" s="287" t="e">
        <f t="shared" si="5"/>
        <v>#VALUE!</v>
      </c>
      <c r="J25" s="287" t="e">
        <f t="shared" si="6"/>
        <v>#VALUE!</v>
      </c>
      <c r="K25" s="287" t="e">
        <f t="shared" si="7"/>
        <v>#VALUE!</v>
      </c>
      <c r="L25" s="287" t="e">
        <f t="shared" si="8"/>
        <v>#VALUE!</v>
      </c>
      <c r="M25" s="287" t="e">
        <f t="shared" si="9"/>
        <v>#VALUE!</v>
      </c>
      <c r="N25" s="287" t="e">
        <f t="shared" si="10"/>
        <v>#VALUE!</v>
      </c>
      <c r="O25" s="287" t="e">
        <f t="shared" si="11"/>
        <v>#VALUE!</v>
      </c>
      <c r="P25" s="288">
        <f t="shared" si="12"/>
        <v>2.1263597865094903E-3</v>
      </c>
      <c r="Q25" s="282" t="e">
        <f t="shared" si="13"/>
        <v>#VALUE!</v>
      </c>
      <c r="R25" s="282" t="e">
        <f t="shared" si="14"/>
        <v>#VALUE!</v>
      </c>
      <c r="S25" s="274">
        <v>2.9062978528180202E-3</v>
      </c>
      <c r="T25" s="274">
        <v>2.6528941809342301E-3</v>
      </c>
      <c r="U25" s="282">
        <v>9897157</v>
      </c>
    </row>
    <row r="26" spans="1:21" x14ac:dyDescent="0.25">
      <c r="A26" s="283">
        <v>15</v>
      </c>
      <c r="B26" s="284" t="s">
        <v>77</v>
      </c>
      <c r="C26" s="285">
        <v>23779492</v>
      </c>
      <c r="D26" s="286" t="e">
        <f t="shared" si="1"/>
        <v>#VALUE!</v>
      </c>
      <c r="E26" s="289" t="e">
        <f t="shared" si="2"/>
        <v>#VALUE!</v>
      </c>
      <c r="F26" s="287" t="e">
        <f t="shared" si="15"/>
        <v>#VALUE!</v>
      </c>
      <c r="G26" s="287" t="e">
        <f t="shared" si="3"/>
        <v>#VALUE!</v>
      </c>
      <c r="H26" s="287" t="e">
        <f t="shared" si="4"/>
        <v>#VALUE!</v>
      </c>
      <c r="I26" s="287" t="e">
        <f t="shared" si="5"/>
        <v>#VALUE!</v>
      </c>
      <c r="J26" s="287" t="e">
        <f t="shared" si="6"/>
        <v>#VALUE!</v>
      </c>
      <c r="K26" s="287" t="e">
        <f t="shared" si="7"/>
        <v>#VALUE!</v>
      </c>
      <c r="L26" s="287" t="e">
        <f t="shared" si="8"/>
        <v>#VALUE!</v>
      </c>
      <c r="M26" s="287" t="e">
        <f t="shared" si="9"/>
        <v>#VALUE!</v>
      </c>
      <c r="N26" s="287" t="e">
        <f t="shared" si="10"/>
        <v>#VALUE!</v>
      </c>
      <c r="O26" s="287" t="e">
        <f t="shared" si="11"/>
        <v>#VALUE!</v>
      </c>
      <c r="P26" s="288">
        <f t="shared" si="12"/>
        <v>1.2733299873740209E-2</v>
      </c>
      <c r="Q26" s="282" t="e">
        <f t="shared" si="13"/>
        <v>#VALUE!</v>
      </c>
      <c r="R26" s="282" t="e">
        <f t="shared" si="14"/>
        <v>#VALUE!</v>
      </c>
      <c r="S26" s="274">
        <v>1.0040527978511101E-2</v>
      </c>
      <c r="T26" s="274">
        <v>9.5385943027095094E-3</v>
      </c>
      <c r="U26" s="282">
        <v>31344662</v>
      </c>
    </row>
    <row r="27" spans="1:21" x14ac:dyDescent="0.25">
      <c r="A27" s="283">
        <v>16</v>
      </c>
      <c r="B27" s="284" t="s">
        <v>79</v>
      </c>
      <c r="C27" s="285">
        <v>18173786</v>
      </c>
      <c r="D27" s="286" t="e">
        <f t="shared" si="1"/>
        <v>#VALUE!</v>
      </c>
      <c r="E27" s="285" t="e">
        <f t="shared" si="2"/>
        <v>#VALUE!</v>
      </c>
      <c r="F27" s="287" t="e">
        <f t="shared" si="15"/>
        <v>#VALUE!</v>
      </c>
      <c r="G27" s="287" t="e">
        <f t="shared" si="3"/>
        <v>#VALUE!</v>
      </c>
      <c r="H27" s="287" t="e">
        <f t="shared" si="4"/>
        <v>#VALUE!</v>
      </c>
      <c r="I27" s="287" t="e">
        <f t="shared" si="5"/>
        <v>#VALUE!</v>
      </c>
      <c r="J27" s="287" t="e">
        <f t="shared" si="6"/>
        <v>#VALUE!</v>
      </c>
      <c r="K27" s="287" t="e">
        <f t="shared" si="7"/>
        <v>#VALUE!</v>
      </c>
      <c r="L27" s="287" t="e">
        <f t="shared" si="8"/>
        <v>#VALUE!</v>
      </c>
      <c r="M27" s="287" t="e">
        <f t="shared" si="9"/>
        <v>#VALUE!</v>
      </c>
      <c r="N27" s="287" t="e">
        <f t="shared" si="10"/>
        <v>#VALUE!</v>
      </c>
      <c r="O27" s="287" t="e">
        <f t="shared" si="11"/>
        <v>#VALUE!</v>
      </c>
      <c r="P27" s="288">
        <f t="shared" si="12"/>
        <v>9.731590017952511E-3</v>
      </c>
      <c r="Q27" s="282" t="e">
        <f t="shared" si="13"/>
        <v>#VALUE!</v>
      </c>
      <c r="R27" s="282" t="e">
        <f t="shared" si="14"/>
        <v>#VALUE!</v>
      </c>
      <c r="S27" s="274">
        <v>8.7980239841284006E-3</v>
      </c>
      <c r="T27" s="274">
        <v>8.6761208820732901E-3</v>
      </c>
      <c r="U27" s="282">
        <v>30052872</v>
      </c>
    </row>
    <row r="28" spans="1:21" x14ac:dyDescent="0.25">
      <c r="A28" s="283">
        <v>17</v>
      </c>
      <c r="B28" s="284" t="s">
        <v>81</v>
      </c>
      <c r="C28" s="285">
        <v>28266097</v>
      </c>
      <c r="D28" s="286" t="e">
        <f t="shared" si="1"/>
        <v>#VALUE!</v>
      </c>
      <c r="E28" s="285" t="e">
        <f t="shared" si="2"/>
        <v>#VALUE!</v>
      </c>
      <c r="F28" s="287" t="e">
        <f t="shared" si="15"/>
        <v>#VALUE!</v>
      </c>
      <c r="G28" s="287" t="e">
        <f t="shared" si="3"/>
        <v>#VALUE!</v>
      </c>
      <c r="H28" s="287" t="e">
        <f t="shared" si="4"/>
        <v>#VALUE!</v>
      </c>
      <c r="I28" s="287" t="e">
        <f t="shared" si="5"/>
        <v>#VALUE!</v>
      </c>
      <c r="J28" s="287" t="e">
        <f t="shared" si="6"/>
        <v>#VALUE!</v>
      </c>
      <c r="K28" s="287" t="e">
        <f t="shared" si="7"/>
        <v>#VALUE!</v>
      </c>
      <c r="L28" s="287" t="e">
        <f t="shared" si="8"/>
        <v>#VALUE!</v>
      </c>
      <c r="M28" s="287" t="e">
        <f t="shared" si="9"/>
        <v>#VALUE!</v>
      </c>
      <c r="N28" s="287" t="e">
        <f t="shared" si="10"/>
        <v>#VALUE!</v>
      </c>
      <c r="O28" s="287" t="e">
        <f t="shared" si="11"/>
        <v>#VALUE!</v>
      </c>
      <c r="P28" s="288">
        <f t="shared" si="12"/>
        <v>1.5135760232440142E-2</v>
      </c>
      <c r="Q28" s="282" t="e">
        <f t="shared" si="13"/>
        <v>#VALUE!</v>
      </c>
      <c r="R28" s="282" t="e">
        <f t="shared" si="14"/>
        <v>#VALUE!</v>
      </c>
      <c r="S28" s="274">
        <v>1.2721806608091E-2</v>
      </c>
      <c r="T28" s="274">
        <v>1.26135645730496E-2</v>
      </c>
      <c r="U28" s="282">
        <v>42868310</v>
      </c>
    </row>
    <row r="29" spans="1:21" x14ac:dyDescent="0.25">
      <c r="A29" s="283">
        <v>18</v>
      </c>
      <c r="B29" s="284" t="s">
        <v>82</v>
      </c>
      <c r="C29" s="285">
        <v>6064347</v>
      </c>
      <c r="D29" s="286" t="e">
        <f t="shared" si="1"/>
        <v>#VALUE!</v>
      </c>
      <c r="E29" s="285" t="e">
        <f t="shared" si="2"/>
        <v>#VALUE!</v>
      </c>
      <c r="F29" s="287" t="e">
        <f t="shared" si="15"/>
        <v>#VALUE!</v>
      </c>
      <c r="G29" s="287" t="e">
        <f t="shared" si="3"/>
        <v>#VALUE!</v>
      </c>
      <c r="H29" s="287" t="e">
        <f t="shared" si="4"/>
        <v>#VALUE!</v>
      </c>
      <c r="I29" s="287" t="e">
        <f t="shared" si="5"/>
        <v>#VALUE!</v>
      </c>
      <c r="J29" s="287" t="e">
        <f t="shared" si="6"/>
        <v>#VALUE!</v>
      </c>
      <c r="K29" s="287" t="e">
        <f t="shared" si="7"/>
        <v>#VALUE!</v>
      </c>
      <c r="L29" s="287" t="e">
        <f t="shared" si="8"/>
        <v>#VALUE!</v>
      </c>
      <c r="M29" s="287" t="e">
        <f t="shared" si="9"/>
        <v>#VALUE!</v>
      </c>
      <c r="N29" s="287" t="e">
        <f t="shared" si="10"/>
        <v>#VALUE!</v>
      </c>
      <c r="O29" s="287" t="e">
        <f t="shared" si="11"/>
        <v>#VALUE!</v>
      </c>
      <c r="P29" s="288">
        <f t="shared" si="12"/>
        <v>3.2473001899879449E-3</v>
      </c>
      <c r="Q29" s="282" t="e">
        <f t="shared" si="13"/>
        <v>#VALUE!</v>
      </c>
      <c r="R29" s="282" t="e">
        <f t="shared" si="14"/>
        <v>#VALUE!</v>
      </c>
      <c r="S29" s="274">
        <v>3.48395463943576E-3</v>
      </c>
      <c r="T29" s="274">
        <v>3.0902494251711602E-3</v>
      </c>
      <c r="U29" s="282">
        <v>10886643</v>
      </c>
    </row>
    <row r="30" spans="1:21" x14ac:dyDescent="0.25">
      <c r="A30" s="283">
        <v>19</v>
      </c>
      <c r="B30" s="284" t="s">
        <v>344</v>
      </c>
      <c r="C30" s="285">
        <v>9657817</v>
      </c>
      <c r="D30" s="286" t="e">
        <f t="shared" si="1"/>
        <v>#VALUE!</v>
      </c>
      <c r="E30" s="285" t="e">
        <f t="shared" si="2"/>
        <v>#VALUE!</v>
      </c>
      <c r="F30" s="287" t="e">
        <f t="shared" si="15"/>
        <v>#VALUE!</v>
      </c>
      <c r="G30" s="287" t="e">
        <f t="shared" si="3"/>
        <v>#VALUE!</v>
      </c>
      <c r="H30" s="287" t="e">
        <f t="shared" si="4"/>
        <v>#VALUE!</v>
      </c>
      <c r="I30" s="287" t="e">
        <f t="shared" si="5"/>
        <v>#VALUE!</v>
      </c>
      <c r="J30" s="287" t="e">
        <f t="shared" si="6"/>
        <v>#VALUE!</v>
      </c>
      <c r="K30" s="287" t="e">
        <f t="shared" si="7"/>
        <v>#VALUE!</v>
      </c>
      <c r="L30" s="287" t="e">
        <f t="shared" si="8"/>
        <v>#VALUE!</v>
      </c>
      <c r="M30" s="287" t="e">
        <f t="shared" si="9"/>
        <v>#VALUE!</v>
      </c>
      <c r="N30" s="287" t="e">
        <f t="shared" si="10"/>
        <v>#VALUE!</v>
      </c>
      <c r="O30" s="287" t="e">
        <f t="shared" si="11"/>
        <v>#VALUE!</v>
      </c>
      <c r="P30" s="288">
        <f t="shared" si="12"/>
        <v>5.1715099711426146E-3</v>
      </c>
      <c r="Q30" s="282" t="e">
        <f t="shared" si="13"/>
        <v>#VALUE!</v>
      </c>
      <c r="R30" s="282" t="e">
        <f t="shared" si="14"/>
        <v>#VALUE!</v>
      </c>
      <c r="S30" s="274">
        <v>4.9057388879436099E-3</v>
      </c>
      <c r="T30" s="274">
        <v>4.5585525634872703E-3</v>
      </c>
      <c r="U30" s="282">
        <v>15741511</v>
      </c>
    </row>
    <row r="31" spans="1:21" x14ac:dyDescent="0.25">
      <c r="A31" s="283">
        <v>20</v>
      </c>
      <c r="B31" s="284" t="s">
        <v>87</v>
      </c>
      <c r="C31" s="285">
        <v>12734474</v>
      </c>
      <c r="D31" s="286" t="e">
        <f t="shared" si="1"/>
        <v>#VALUE!</v>
      </c>
      <c r="E31" s="285" t="e">
        <f t="shared" si="2"/>
        <v>#VALUE!</v>
      </c>
      <c r="F31" s="287" t="e">
        <f t="shared" si="15"/>
        <v>#VALUE!</v>
      </c>
      <c r="G31" s="287" t="e">
        <f t="shared" si="3"/>
        <v>#VALUE!</v>
      </c>
      <c r="H31" s="287" t="e">
        <f t="shared" si="4"/>
        <v>#VALUE!</v>
      </c>
      <c r="I31" s="287" t="e">
        <f t="shared" si="5"/>
        <v>#VALUE!</v>
      </c>
      <c r="J31" s="287" t="e">
        <f t="shared" si="6"/>
        <v>#VALUE!</v>
      </c>
      <c r="K31" s="287" t="e">
        <f t="shared" si="7"/>
        <v>#VALUE!</v>
      </c>
      <c r="L31" s="287" t="e">
        <f t="shared" si="8"/>
        <v>#VALUE!</v>
      </c>
      <c r="M31" s="287" t="e">
        <f t="shared" si="9"/>
        <v>#VALUE!</v>
      </c>
      <c r="N31" s="287" t="e">
        <f t="shared" si="10"/>
        <v>#VALUE!</v>
      </c>
      <c r="O31" s="287" t="e">
        <f t="shared" si="11"/>
        <v>#VALUE!</v>
      </c>
      <c r="P31" s="288">
        <f t="shared" si="12"/>
        <v>6.8189798241420786E-3</v>
      </c>
      <c r="Q31" s="282" t="e">
        <f t="shared" si="13"/>
        <v>#VALUE!</v>
      </c>
      <c r="R31" s="282" t="e">
        <f t="shared" si="14"/>
        <v>#VALUE!</v>
      </c>
      <c r="S31" s="274">
        <v>7.5824034384328097E-3</v>
      </c>
      <c r="T31" s="274">
        <v>7.6709873254187603E-3</v>
      </c>
      <c r="U31" s="282">
        <v>28059278</v>
      </c>
    </row>
    <row r="32" spans="1:21" x14ac:dyDescent="0.25">
      <c r="A32" s="283">
        <v>21</v>
      </c>
      <c r="B32" s="284" t="s">
        <v>88</v>
      </c>
      <c r="C32" s="285">
        <v>10845363</v>
      </c>
      <c r="D32" s="286" t="e">
        <f t="shared" si="1"/>
        <v>#VALUE!</v>
      </c>
      <c r="E32" s="285" t="e">
        <f t="shared" si="2"/>
        <v>#VALUE!</v>
      </c>
      <c r="F32" s="287" t="e">
        <f t="shared" si="15"/>
        <v>#VALUE!</v>
      </c>
      <c r="G32" s="287" t="e">
        <f t="shared" si="3"/>
        <v>#VALUE!</v>
      </c>
      <c r="H32" s="287" t="e">
        <f t="shared" si="4"/>
        <v>#VALUE!</v>
      </c>
      <c r="I32" s="287" t="e">
        <f t="shared" si="5"/>
        <v>#VALUE!</v>
      </c>
      <c r="J32" s="287" t="e">
        <f t="shared" si="6"/>
        <v>#VALUE!</v>
      </c>
      <c r="K32" s="287" t="e">
        <f t="shared" si="7"/>
        <v>#VALUE!</v>
      </c>
      <c r="L32" s="287" t="e">
        <f t="shared" si="8"/>
        <v>#VALUE!</v>
      </c>
      <c r="M32" s="287" t="e">
        <f t="shared" si="9"/>
        <v>#VALUE!</v>
      </c>
      <c r="N32" s="287" t="e">
        <f t="shared" si="10"/>
        <v>#VALUE!</v>
      </c>
      <c r="O32" s="287" t="e">
        <f t="shared" si="11"/>
        <v>#VALUE!</v>
      </c>
      <c r="P32" s="288">
        <f t="shared" si="12"/>
        <v>5.8074099866627397E-3</v>
      </c>
      <c r="Q32" s="282" t="e">
        <f t="shared" si="13"/>
        <v>#VALUE!</v>
      </c>
      <c r="R32" s="282" t="e">
        <f t="shared" si="14"/>
        <v>#VALUE!</v>
      </c>
      <c r="S32" s="274">
        <v>6.3052351155177301E-3</v>
      </c>
      <c r="T32" s="274">
        <v>7.3652033300565002E-3</v>
      </c>
      <c r="U32" s="282">
        <v>27557384</v>
      </c>
    </row>
    <row r="33" spans="1:21" x14ac:dyDescent="0.25">
      <c r="A33" s="283">
        <v>22</v>
      </c>
      <c r="B33" s="284" t="s">
        <v>91</v>
      </c>
      <c r="C33" s="285">
        <v>7307768</v>
      </c>
      <c r="D33" s="286" t="e">
        <f t="shared" si="1"/>
        <v>#VALUE!</v>
      </c>
      <c r="E33" s="285" t="e">
        <f t="shared" si="2"/>
        <v>#VALUE!</v>
      </c>
      <c r="F33" s="287" t="e">
        <f t="shared" si="15"/>
        <v>#VALUE!</v>
      </c>
      <c r="G33" s="287" t="e">
        <f t="shared" si="3"/>
        <v>#VALUE!</v>
      </c>
      <c r="H33" s="287" t="e">
        <f t="shared" si="4"/>
        <v>#VALUE!</v>
      </c>
      <c r="I33" s="287" t="e">
        <f t="shared" si="5"/>
        <v>#VALUE!</v>
      </c>
      <c r="J33" s="287" t="e">
        <f t="shared" si="6"/>
        <v>#VALUE!</v>
      </c>
      <c r="K33" s="287" t="e">
        <f t="shared" si="7"/>
        <v>#VALUE!</v>
      </c>
      <c r="L33" s="287" t="e">
        <f t="shared" si="8"/>
        <v>#VALUE!</v>
      </c>
      <c r="M33" s="287" t="e">
        <f t="shared" si="9"/>
        <v>#VALUE!</v>
      </c>
      <c r="N33" s="287" t="e">
        <f t="shared" si="10"/>
        <v>#VALUE!</v>
      </c>
      <c r="O33" s="287" t="e">
        <f t="shared" si="11"/>
        <v>#VALUE!</v>
      </c>
      <c r="P33" s="288">
        <f t="shared" si="12"/>
        <v>3.9131198156681707E-3</v>
      </c>
      <c r="Q33" s="282" t="e">
        <f t="shared" si="13"/>
        <v>#VALUE!</v>
      </c>
      <c r="R33" s="282" t="e">
        <f t="shared" si="14"/>
        <v>#VALUE!</v>
      </c>
      <c r="S33" s="274">
        <v>3.9424977685335498E-3</v>
      </c>
      <c r="T33" s="274">
        <v>4.2131948041532899E-3</v>
      </c>
      <c r="U33" s="282">
        <v>15271275</v>
      </c>
    </row>
    <row r="34" spans="1:21" x14ac:dyDescent="0.25">
      <c r="A34" s="283">
        <v>23</v>
      </c>
      <c r="B34" s="284" t="s">
        <v>60</v>
      </c>
      <c r="C34" s="285">
        <v>4451682</v>
      </c>
      <c r="D34" s="286" t="e">
        <f t="shared" si="1"/>
        <v>#VALUE!</v>
      </c>
      <c r="E34" s="285" t="e">
        <f t="shared" si="2"/>
        <v>#VALUE!</v>
      </c>
      <c r="F34" s="287" t="e">
        <f t="shared" si="15"/>
        <v>#VALUE!</v>
      </c>
      <c r="G34" s="287" t="e">
        <f t="shared" si="3"/>
        <v>#VALUE!</v>
      </c>
      <c r="H34" s="287" t="e">
        <f t="shared" si="4"/>
        <v>#VALUE!</v>
      </c>
      <c r="I34" s="287" t="e">
        <f t="shared" si="5"/>
        <v>#VALUE!</v>
      </c>
      <c r="J34" s="287" t="e">
        <f t="shared" si="6"/>
        <v>#VALUE!</v>
      </c>
      <c r="K34" s="287" t="e">
        <f t="shared" si="7"/>
        <v>#VALUE!</v>
      </c>
      <c r="L34" s="287" t="e">
        <f t="shared" si="8"/>
        <v>#VALUE!</v>
      </c>
      <c r="M34" s="287" t="e">
        <f t="shared" si="9"/>
        <v>#VALUE!</v>
      </c>
      <c r="N34" s="287" t="e">
        <f t="shared" si="10"/>
        <v>#VALUE!</v>
      </c>
      <c r="O34" s="287" t="e">
        <f t="shared" si="11"/>
        <v>#VALUE!</v>
      </c>
      <c r="P34" s="288">
        <f t="shared" si="12"/>
        <v>2.3837599999416118E-3</v>
      </c>
      <c r="Q34" s="282" t="e">
        <f t="shared" si="13"/>
        <v>#VALUE!</v>
      </c>
      <c r="R34" s="282" t="e">
        <f t="shared" si="14"/>
        <v>#VALUE!</v>
      </c>
      <c r="S34" s="274">
        <v>2.7451182307800998E-3</v>
      </c>
      <c r="T34" s="274">
        <v>2.62123569584194E-3</v>
      </c>
      <c r="U34" s="282">
        <v>9543343</v>
      </c>
    </row>
    <row r="35" spans="1:21" x14ac:dyDescent="0.25">
      <c r="A35" s="283">
        <v>24</v>
      </c>
      <c r="B35" s="284" t="s">
        <v>95</v>
      </c>
      <c r="C35" s="285">
        <v>14090992</v>
      </c>
      <c r="D35" s="286" t="e">
        <f t="shared" si="1"/>
        <v>#VALUE!</v>
      </c>
      <c r="E35" s="285" t="e">
        <f t="shared" si="2"/>
        <v>#VALUE!</v>
      </c>
      <c r="F35" s="287" t="e">
        <f t="shared" si="15"/>
        <v>#VALUE!</v>
      </c>
      <c r="G35" s="287" t="e">
        <f t="shared" si="3"/>
        <v>#VALUE!</v>
      </c>
      <c r="H35" s="287" t="e">
        <f t="shared" si="4"/>
        <v>#VALUE!</v>
      </c>
      <c r="I35" s="287" t="e">
        <f t="shared" si="5"/>
        <v>#VALUE!</v>
      </c>
      <c r="J35" s="287" t="e">
        <f t="shared" si="6"/>
        <v>#VALUE!</v>
      </c>
      <c r="K35" s="287" t="e">
        <f t="shared" si="7"/>
        <v>#VALUE!</v>
      </c>
      <c r="L35" s="287" t="e">
        <f t="shared" si="8"/>
        <v>#VALUE!</v>
      </c>
      <c r="M35" s="287" t="e">
        <f t="shared" si="9"/>
        <v>#VALUE!</v>
      </c>
      <c r="N35" s="287" t="e">
        <f t="shared" si="10"/>
        <v>#VALUE!</v>
      </c>
      <c r="O35" s="287" t="e">
        <f t="shared" si="11"/>
        <v>#VALUE!</v>
      </c>
      <c r="P35" s="288">
        <f t="shared" si="12"/>
        <v>7.5453599536303931E-3</v>
      </c>
      <c r="Q35" s="282" t="e">
        <f t="shared" si="13"/>
        <v>#VALUE!</v>
      </c>
      <c r="R35" s="282" t="e">
        <f t="shared" si="14"/>
        <v>#VALUE!</v>
      </c>
      <c r="S35" s="274">
        <v>8.4490581164779199E-3</v>
      </c>
      <c r="T35" s="274">
        <v>9.2790420068496107E-3</v>
      </c>
      <c r="U35" s="282">
        <v>34527333</v>
      </c>
    </row>
    <row r="36" spans="1:21" x14ac:dyDescent="0.25">
      <c r="A36" s="283">
        <v>25</v>
      </c>
      <c r="B36" s="284" t="s">
        <v>97</v>
      </c>
      <c r="C36" s="285">
        <v>19202669</v>
      </c>
      <c r="D36" s="286" t="e">
        <f t="shared" si="1"/>
        <v>#VALUE!</v>
      </c>
      <c r="E36" s="289" t="e">
        <f t="shared" si="2"/>
        <v>#VALUE!</v>
      </c>
      <c r="F36" s="287" t="e">
        <f t="shared" si="15"/>
        <v>#VALUE!</v>
      </c>
      <c r="G36" s="287" t="e">
        <f t="shared" si="3"/>
        <v>#VALUE!</v>
      </c>
      <c r="H36" s="287" t="e">
        <f t="shared" si="4"/>
        <v>#VALUE!</v>
      </c>
      <c r="I36" s="287" t="e">
        <f t="shared" si="5"/>
        <v>#VALUE!</v>
      </c>
      <c r="J36" s="287" t="e">
        <f t="shared" si="6"/>
        <v>#VALUE!</v>
      </c>
      <c r="K36" s="287" t="e">
        <f t="shared" si="7"/>
        <v>#VALUE!</v>
      </c>
      <c r="L36" s="287" t="e">
        <f t="shared" si="8"/>
        <v>#VALUE!</v>
      </c>
      <c r="M36" s="287" t="e">
        <f t="shared" si="9"/>
        <v>#VALUE!</v>
      </c>
      <c r="N36" s="287" t="e">
        <f t="shared" si="10"/>
        <v>#VALUE!</v>
      </c>
      <c r="O36" s="287" t="e">
        <f t="shared" si="11"/>
        <v>#VALUE!</v>
      </c>
      <c r="P36" s="288">
        <f t="shared" si="12"/>
        <v>1.028253012104611E-2</v>
      </c>
      <c r="Q36" s="282" t="e">
        <f t="shared" si="13"/>
        <v>#VALUE!</v>
      </c>
      <c r="R36" s="282" t="e">
        <f t="shared" si="14"/>
        <v>#VALUE!</v>
      </c>
      <c r="S36" s="274">
        <v>1.3466251506613699E-2</v>
      </c>
      <c r="T36" s="274">
        <v>1.36915766962753E-2</v>
      </c>
      <c r="U36" s="282">
        <v>51655677</v>
      </c>
    </row>
    <row r="37" spans="1:21" x14ac:dyDescent="0.25">
      <c r="A37" s="283">
        <v>26</v>
      </c>
      <c r="B37" s="284" t="s">
        <v>345</v>
      </c>
      <c r="C37" s="285">
        <v>14303215</v>
      </c>
      <c r="D37" s="286" t="e">
        <f t="shared" si="1"/>
        <v>#VALUE!</v>
      </c>
      <c r="E37" s="285" t="e">
        <f t="shared" si="2"/>
        <v>#VALUE!</v>
      </c>
      <c r="F37" s="287" t="e">
        <f t="shared" si="15"/>
        <v>#VALUE!</v>
      </c>
      <c r="G37" s="287" t="e">
        <f t="shared" si="3"/>
        <v>#VALUE!</v>
      </c>
      <c r="H37" s="287" t="e">
        <f t="shared" si="4"/>
        <v>#VALUE!</v>
      </c>
      <c r="I37" s="287" t="e">
        <f t="shared" si="5"/>
        <v>#VALUE!</v>
      </c>
      <c r="J37" s="287" t="e">
        <f t="shared" si="6"/>
        <v>#VALUE!</v>
      </c>
      <c r="K37" s="287" t="e">
        <f t="shared" si="7"/>
        <v>#VALUE!</v>
      </c>
      <c r="L37" s="287" t="e">
        <f t="shared" si="8"/>
        <v>#VALUE!</v>
      </c>
      <c r="M37" s="287" t="e">
        <f t="shared" si="9"/>
        <v>#VALUE!</v>
      </c>
      <c r="N37" s="287" t="e">
        <f t="shared" si="10"/>
        <v>#VALUE!</v>
      </c>
      <c r="O37" s="287" t="e">
        <f t="shared" si="11"/>
        <v>#VALUE!</v>
      </c>
      <c r="P37" s="288">
        <f t="shared" si="12"/>
        <v>7.6589998538900269E-3</v>
      </c>
      <c r="Q37" s="282" t="e">
        <f t="shared" si="13"/>
        <v>#VALUE!</v>
      </c>
      <c r="R37" s="282" t="e">
        <f t="shared" si="14"/>
        <v>#VALUE!</v>
      </c>
      <c r="S37" s="274">
        <v>6.5294408786735897E-3</v>
      </c>
      <c r="T37" s="274">
        <v>6.69404535315846E-3</v>
      </c>
      <c r="U37" s="282">
        <v>23061698</v>
      </c>
    </row>
    <row r="38" spans="1:21" x14ac:dyDescent="0.25">
      <c r="A38" s="283">
        <v>27</v>
      </c>
      <c r="B38" s="284" t="s">
        <v>71</v>
      </c>
      <c r="C38" s="285">
        <v>3675342</v>
      </c>
      <c r="D38" s="286" t="e">
        <f t="shared" si="1"/>
        <v>#VALUE!</v>
      </c>
      <c r="E38" s="285" t="e">
        <f t="shared" si="2"/>
        <v>#VALUE!</v>
      </c>
      <c r="F38" s="287" t="e">
        <f t="shared" si="15"/>
        <v>#VALUE!</v>
      </c>
      <c r="G38" s="287" t="e">
        <f t="shared" si="3"/>
        <v>#VALUE!</v>
      </c>
      <c r="H38" s="287" t="e">
        <f t="shared" si="4"/>
        <v>#VALUE!</v>
      </c>
      <c r="I38" s="287" t="e">
        <f t="shared" si="5"/>
        <v>#VALUE!</v>
      </c>
      <c r="J38" s="287" t="e">
        <f t="shared" si="6"/>
        <v>#VALUE!</v>
      </c>
      <c r="K38" s="287" t="e">
        <f t="shared" si="7"/>
        <v>#VALUE!</v>
      </c>
      <c r="L38" s="287" t="e">
        <f t="shared" si="8"/>
        <v>#VALUE!</v>
      </c>
      <c r="M38" s="287" t="e">
        <f t="shared" si="9"/>
        <v>#VALUE!</v>
      </c>
      <c r="N38" s="287" t="e">
        <f t="shared" si="10"/>
        <v>#VALUE!</v>
      </c>
      <c r="O38" s="287" t="e">
        <f t="shared" si="11"/>
        <v>#VALUE!</v>
      </c>
      <c r="P38" s="288">
        <f t="shared" si="12"/>
        <v>1.9680501090835788E-3</v>
      </c>
      <c r="Q38" s="282" t="e">
        <f t="shared" si="13"/>
        <v>#VALUE!</v>
      </c>
      <c r="R38" s="282" t="e">
        <f t="shared" si="14"/>
        <v>#VALUE!</v>
      </c>
      <c r="S38" s="274">
        <v>2.0489289230487002E-3</v>
      </c>
      <c r="T38" s="274">
        <v>2.5975891577631098E-3</v>
      </c>
      <c r="U38" s="282">
        <v>9785839</v>
      </c>
    </row>
    <row r="39" spans="1:21" x14ac:dyDescent="0.25">
      <c r="A39" s="283">
        <v>28</v>
      </c>
      <c r="B39" s="284" t="s">
        <v>72</v>
      </c>
      <c r="C39" s="285">
        <v>2039483</v>
      </c>
      <c r="D39" s="286" t="e">
        <f t="shared" si="1"/>
        <v>#VALUE!</v>
      </c>
      <c r="E39" s="285" t="e">
        <f t="shared" si="2"/>
        <v>#VALUE!</v>
      </c>
      <c r="F39" s="287" t="e">
        <f t="shared" si="15"/>
        <v>#VALUE!</v>
      </c>
      <c r="G39" s="287" t="e">
        <f t="shared" si="3"/>
        <v>#VALUE!</v>
      </c>
      <c r="H39" s="287" t="e">
        <f t="shared" si="4"/>
        <v>#VALUE!</v>
      </c>
      <c r="I39" s="287" t="e">
        <f t="shared" si="5"/>
        <v>#VALUE!</v>
      </c>
      <c r="J39" s="287" t="e">
        <f t="shared" si="6"/>
        <v>#VALUE!</v>
      </c>
      <c r="K39" s="287" t="e">
        <f t="shared" si="7"/>
        <v>#VALUE!</v>
      </c>
      <c r="L39" s="287" t="e">
        <f t="shared" si="8"/>
        <v>#VALUE!</v>
      </c>
      <c r="M39" s="287" t="e">
        <f t="shared" si="9"/>
        <v>#VALUE!</v>
      </c>
      <c r="N39" s="287" t="e">
        <f t="shared" si="10"/>
        <v>#VALUE!</v>
      </c>
      <c r="O39" s="287" t="e">
        <f t="shared" si="11"/>
        <v>#VALUE!</v>
      </c>
      <c r="P39" s="288">
        <f t="shared" si="12"/>
        <v>1.0920901349110107E-3</v>
      </c>
      <c r="Q39" s="282" t="e">
        <f t="shared" si="13"/>
        <v>#VALUE!</v>
      </c>
      <c r="R39" s="282" t="e">
        <f t="shared" si="14"/>
        <v>#VALUE!</v>
      </c>
      <c r="S39" s="274">
        <v>1.5713957875661999E-3</v>
      </c>
      <c r="T39" s="274">
        <v>2.4910572572249602E-3</v>
      </c>
      <c r="U39" s="282">
        <v>10047380</v>
      </c>
    </row>
    <row r="40" spans="1:21" x14ac:dyDescent="0.25">
      <c r="A40" s="283">
        <v>29</v>
      </c>
      <c r="B40" s="284" t="s">
        <v>61</v>
      </c>
      <c r="C40" s="285">
        <v>14434893</v>
      </c>
      <c r="D40" s="286" t="e">
        <f t="shared" si="1"/>
        <v>#VALUE!</v>
      </c>
      <c r="E40" s="285" t="e">
        <f t="shared" si="2"/>
        <v>#VALUE!</v>
      </c>
      <c r="F40" s="287" t="e">
        <f t="shared" si="15"/>
        <v>#VALUE!</v>
      </c>
      <c r="G40" s="287" t="e">
        <f t="shared" si="3"/>
        <v>#VALUE!</v>
      </c>
      <c r="H40" s="287" t="e">
        <f t="shared" si="4"/>
        <v>#VALUE!</v>
      </c>
      <c r="I40" s="287" t="e">
        <f t="shared" si="5"/>
        <v>#VALUE!</v>
      </c>
      <c r="J40" s="287" t="e">
        <f t="shared" si="6"/>
        <v>#VALUE!</v>
      </c>
      <c r="K40" s="287" t="e">
        <f t="shared" si="7"/>
        <v>#VALUE!</v>
      </c>
      <c r="L40" s="287" t="e">
        <f t="shared" si="8"/>
        <v>#VALUE!</v>
      </c>
      <c r="M40" s="287" t="e">
        <f t="shared" si="9"/>
        <v>#VALUE!</v>
      </c>
      <c r="N40" s="287" t="e">
        <f t="shared" si="10"/>
        <v>#VALUE!</v>
      </c>
      <c r="O40" s="287" t="e">
        <f t="shared" si="11"/>
        <v>#VALUE!</v>
      </c>
      <c r="P40" s="288">
        <f t="shared" si="12"/>
        <v>7.7295100002284919E-3</v>
      </c>
      <c r="Q40" s="282" t="e">
        <f t="shared" si="13"/>
        <v>#VALUE!</v>
      </c>
      <c r="R40" s="282" t="e">
        <f t="shared" si="14"/>
        <v>#VALUE!</v>
      </c>
      <c r="S40" s="274">
        <v>7.5176711907707196E-3</v>
      </c>
      <c r="T40" s="274">
        <v>6.9843463357199403E-3</v>
      </c>
      <c r="U40" s="282">
        <v>24279904</v>
      </c>
    </row>
    <row r="41" spans="1:21" x14ac:dyDescent="0.25">
      <c r="A41" s="283">
        <v>30</v>
      </c>
      <c r="B41" s="284" t="s">
        <v>104</v>
      </c>
      <c r="C41" s="285">
        <v>7750834</v>
      </c>
      <c r="D41" s="286" t="e">
        <f t="shared" si="1"/>
        <v>#VALUE!</v>
      </c>
      <c r="E41" s="285" t="e">
        <f t="shared" si="2"/>
        <v>#VALUE!</v>
      </c>
      <c r="F41" s="287" t="e">
        <f t="shared" si="15"/>
        <v>#VALUE!</v>
      </c>
      <c r="G41" s="287" t="e">
        <f t="shared" si="3"/>
        <v>#VALUE!</v>
      </c>
      <c r="H41" s="287" t="e">
        <f t="shared" si="4"/>
        <v>#VALUE!</v>
      </c>
      <c r="I41" s="287" t="e">
        <f t="shared" si="5"/>
        <v>#VALUE!</v>
      </c>
      <c r="J41" s="287" t="e">
        <f t="shared" si="6"/>
        <v>#VALUE!</v>
      </c>
      <c r="K41" s="287" t="e">
        <f t="shared" si="7"/>
        <v>#VALUE!</v>
      </c>
      <c r="L41" s="287" t="e">
        <f t="shared" si="8"/>
        <v>#VALUE!</v>
      </c>
      <c r="M41" s="287" t="e">
        <f t="shared" si="9"/>
        <v>#VALUE!</v>
      </c>
      <c r="N41" s="287" t="e">
        <f t="shared" si="10"/>
        <v>#VALUE!</v>
      </c>
      <c r="O41" s="287" t="e">
        <f t="shared" si="11"/>
        <v>#VALUE!</v>
      </c>
      <c r="P41" s="288">
        <f t="shared" si="12"/>
        <v>4.1503701422041022E-3</v>
      </c>
      <c r="Q41" s="282" t="e">
        <f t="shared" si="13"/>
        <v>#VALUE!</v>
      </c>
      <c r="R41" s="282" t="e">
        <f t="shared" si="14"/>
        <v>#VALUE!</v>
      </c>
      <c r="S41" s="274">
        <v>3.9297055688332898E-3</v>
      </c>
      <c r="T41" s="274">
        <v>3.72908966660707E-3</v>
      </c>
      <c r="U41" s="282">
        <v>12944029</v>
      </c>
    </row>
    <row r="42" spans="1:21" x14ac:dyDescent="0.25">
      <c r="A42" s="283">
        <v>31</v>
      </c>
      <c r="B42" s="284" t="s">
        <v>410</v>
      </c>
      <c r="C42" s="285">
        <v>20186022</v>
      </c>
      <c r="D42" s="286" t="e">
        <f t="shared" si="1"/>
        <v>#VALUE!</v>
      </c>
      <c r="E42" s="285" t="e">
        <f t="shared" si="2"/>
        <v>#VALUE!</v>
      </c>
      <c r="F42" s="287" t="e">
        <f t="shared" si="15"/>
        <v>#VALUE!</v>
      </c>
      <c r="G42" s="287" t="e">
        <f t="shared" si="3"/>
        <v>#VALUE!</v>
      </c>
      <c r="H42" s="287" t="e">
        <f t="shared" si="4"/>
        <v>#VALUE!</v>
      </c>
      <c r="I42" s="287" t="e">
        <f t="shared" si="5"/>
        <v>#VALUE!</v>
      </c>
      <c r="J42" s="287" t="e">
        <f t="shared" si="6"/>
        <v>#VALUE!</v>
      </c>
      <c r="K42" s="287" t="e">
        <f t="shared" si="7"/>
        <v>#VALUE!</v>
      </c>
      <c r="L42" s="287" t="e">
        <f t="shared" si="8"/>
        <v>#VALUE!</v>
      </c>
      <c r="M42" s="287" t="e">
        <f t="shared" si="9"/>
        <v>#VALUE!</v>
      </c>
      <c r="N42" s="287" t="e">
        <f t="shared" si="10"/>
        <v>#VALUE!</v>
      </c>
      <c r="O42" s="287" t="e">
        <f t="shared" si="11"/>
        <v>#VALUE!</v>
      </c>
      <c r="P42" s="288">
        <f t="shared" si="12"/>
        <v>1.0809090092585539E-2</v>
      </c>
      <c r="Q42" s="282" t="e">
        <f t="shared" si="13"/>
        <v>#VALUE!</v>
      </c>
      <c r="R42" s="282" t="e">
        <f t="shared" si="14"/>
        <v>#VALUE!</v>
      </c>
      <c r="S42" s="274">
        <v>8.7721035334388901E-3</v>
      </c>
      <c r="T42" s="274">
        <v>8.4342292624553106E-3</v>
      </c>
      <c r="U42" s="282">
        <v>28090689</v>
      </c>
    </row>
    <row r="43" spans="1:21" x14ac:dyDescent="0.25">
      <c r="A43" s="283">
        <v>32</v>
      </c>
      <c r="B43" s="284" t="s">
        <v>83</v>
      </c>
      <c r="C43" s="285">
        <v>10246903</v>
      </c>
      <c r="D43" s="286" t="e">
        <f t="shared" si="1"/>
        <v>#VALUE!</v>
      </c>
      <c r="E43" s="285" t="e">
        <f t="shared" si="2"/>
        <v>#VALUE!</v>
      </c>
      <c r="F43" s="287" t="e">
        <f t="shared" si="15"/>
        <v>#VALUE!</v>
      </c>
      <c r="G43" s="287" t="e">
        <f t="shared" si="3"/>
        <v>#VALUE!</v>
      </c>
      <c r="H43" s="287" t="e">
        <f t="shared" si="4"/>
        <v>#VALUE!</v>
      </c>
      <c r="I43" s="287" t="e">
        <f t="shared" si="5"/>
        <v>#VALUE!</v>
      </c>
      <c r="J43" s="287" t="e">
        <f t="shared" si="6"/>
        <v>#VALUE!</v>
      </c>
      <c r="K43" s="287" t="e">
        <f t="shared" si="7"/>
        <v>#VALUE!</v>
      </c>
      <c r="L43" s="287" t="e">
        <f t="shared" si="8"/>
        <v>#VALUE!</v>
      </c>
      <c r="M43" s="287" t="e">
        <f t="shared" si="9"/>
        <v>#VALUE!</v>
      </c>
      <c r="N43" s="287" t="e">
        <f t="shared" si="10"/>
        <v>#VALUE!</v>
      </c>
      <c r="O43" s="287" t="e">
        <f t="shared" si="11"/>
        <v>#VALUE!</v>
      </c>
      <c r="P43" s="288">
        <f t="shared" si="12"/>
        <v>5.4869502122302767E-3</v>
      </c>
      <c r="Q43" s="282" t="e">
        <f t="shared" si="13"/>
        <v>#VALUE!</v>
      </c>
      <c r="R43" s="282" t="e">
        <f t="shared" si="14"/>
        <v>#VALUE!</v>
      </c>
      <c r="S43" s="274">
        <v>5.5820177294305497E-3</v>
      </c>
      <c r="T43" s="274">
        <v>5.6181405294940603E-3</v>
      </c>
      <c r="U43" s="282">
        <v>20139503</v>
      </c>
    </row>
    <row r="44" spans="1:21" x14ac:dyDescent="0.25">
      <c r="A44" s="283">
        <v>33</v>
      </c>
      <c r="B44" s="284" t="s">
        <v>108</v>
      </c>
      <c r="C44" s="285">
        <v>7314286</v>
      </c>
      <c r="D44" s="286" t="e">
        <f t="shared" ref="D44:D75" si="16">R44</f>
        <v>#VALUE!</v>
      </c>
      <c r="E44" s="285" t="e">
        <f t="shared" ref="E44:E75" si="17">C44+D44</f>
        <v>#VALUE!</v>
      </c>
      <c r="F44" s="287" t="e">
        <f t="shared" si="15"/>
        <v>#VALUE!</v>
      </c>
      <c r="G44" s="287" t="e">
        <f t="shared" ref="G44:G75" si="18">E44/10</f>
        <v>#VALUE!</v>
      </c>
      <c r="H44" s="287" t="e">
        <f t="shared" ref="H44:H75" si="19">E44/10</f>
        <v>#VALUE!</v>
      </c>
      <c r="I44" s="287" t="e">
        <f t="shared" ref="I44:I75" si="20">E44/10</f>
        <v>#VALUE!</v>
      </c>
      <c r="J44" s="287" t="e">
        <f t="shared" ref="J44:J75" si="21">E44/10</f>
        <v>#VALUE!</v>
      </c>
      <c r="K44" s="287" t="e">
        <f t="shared" ref="K44:K75" si="22">E44/10</f>
        <v>#VALUE!</v>
      </c>
      <c r="L44" s="287" t="e">
        <f t="shared" ref="L44:L75" si="23">E44/10</f>
        <v>#VALUE!</v>
      </c>
      <c r="M44" s="287" t="e">
        <f t="shared" ref="M44:M75" si="24">E44/10</f>
        <v>#VALUE!</v>
      </c>
      <c r="N44" s="287" t="e">
        <f t="shared" ref="N44:N75" si="25">E44/10</f>
        <v>#VALUE!</v>
      </c>
      <c r="O44" s="287" t="e">
        <f t="shared" ref="O44:O75" si="26">E44/10</f>
        <v>#VALUE!</v>
      </c>
      <c r="P44" s="288">
        <f t="shared" ref="P44:P75" si="27">C44/$C$11</f>
        <v>3.9166100352480103E-3</v>
      </c>
      <c r="Q44" s="282" t="e">
        <f t="shared" ref="Q44:Q75" si="28">$Q$11*T44</f>
        <v>#VALUE!</v>
      </c>
      <c r="R44" s="282" t="e">
        <f t="shared" ref="R44:R75" si="29">$R$11*P44</f>
        <v>#VALUE!</v>
      </c>
      <c r="S44" s="274">
        <v>4.6174415669249496E-3</v>
      </c>
      <c r="T44" s="274">
        <v>4.2156529367043897E-3</v>
      </c>
      <c r="U44" s="282">
        <v>15279179</v>
      </c>
    </row>
    <row r="45" spans="1:21" x14ac:dyDescent="0.25">
      <c r="A45" s="283">
        <v>34</v>
      </c>
      <c r="B45" s="284" t="s">
        <v>110</v>
      </c>
      <c r="C45" s="285">
        <v>50048816</v>
      </c>
      <c r="D45" s="286" t="e">
        <f t="shared" si="16"/>
        <v>#VALUE!</v>
      </c>
      <c r="E45" s="285" t="e">
        <f t="shared" si="17"/>
        <v>#VALUE!</v>
      </c>
      <c r="F45" s="287" t="e">
        <f t="shared" ref="F45:F76" si="30">E45/10</f>
        <v>#VALUE!</v>
      </c>
      <c r="G45" s="287" t="e">
        <f t="shared" si="18"/>
        <v>#VALUE!</v>
      </c>
      <c r="H45" s="287" t="e">
        <f t="shared" si="19"/>
        <v>#VALUE!</v>
      </c>
      <c r="I45" s="287" t="e">
        <f t="shared" si="20"/>
        <v>#VALUE!</v>
      </c>
      <c r="J45" s="287" t="e">
        <f t="shared" si="21"/>
        <v>#VALUE!</v>
      </c>
      <c r="K45" s="287" t="e">
        <f t="shared" si="22"/>
        <v>#VALUE!</v>
      </c>
      <c r="L45" s="287" t="e">
        <f t="shared" si="23"/>
        <v>#VALUE!</v>
      </c>
      <c r="M45" s="287" t="e">
        <f t="shared" si="24"/>
        <v>#VALUE!</v>
      </c>
      <c r="N45" s="287" t="e">
        <f t="shared" si="25"/>
        <v>#VALUE!</v>
      </c>
      <c r="O45" s="287" t="e">
        <f t="shared" si="26"/>
        <v>#VALUE!</v>
      </c>
      <c r="P45" s="288">
        <f t="shared" si="27"/>
        <v>2.6799840066122814E-2</v>
      </c>
      <c r="Q45" s="282" t="e">
        <f t="shared" si="28"/>
        <v>#VALUE!</v>
      </c>
      <c r="R45" s="282" t="e">
        <f t="shared" si="29"/>
        <v>#VALUE!</v>
      </c>
      <c r="S45" s="274">
        <v>2.89268077318161E-2</v>
      </c>
      <c r="T45" s="274">
        <v>3.3566497705586403E-2</v>
      </c>
      <c r="U45" s="282">
        <v>125313730</v>
      </c>
    </row>
    <row r="46" spans="1:21" x14ac:dyDescent="0.25">
      <c r="A46" s="283">
        <v>35</v>
      </c>
      <c r="B46" s="284" t="s">
        <v>112</v>
      </c>
      <c r="C46" s="285">
        <v>29910154</v>
      </c>
      <c r="D46" s="286" t="e">
        <f t="shared" si="16"/>
        <v>#VALUE!</v>
      </c>
      <c r="E46" s="285" t="e">
        <f t="shared" si="17"/>
        <v>#VALUE!</v>
      </c>
      <c r="F46" s="287" t="e">
        <f t="shared" si="30"/>
        <v>#VALUE!</v>
      </c>
      <c r="G46" s="287" t="e">
        <f t="shared" si="18"/>
        <v>#VALUE!</v>
      </c>
      <c r="H46" s="287" t="e">
        <f t="shared" si="19"/>
        <v>#VALUE!</v>
      </c>
      <c r="I46" s="287" t="e">
        <f t="shared" si="20"/>
        <v>#VALUE!</v>
      </c>
      <c r="J46" s="287" t="e">
        <f t="shared" si="21"/>
        <v>#VALUE!</v>
      </c>
      <c r="K46" s="287" t="e">
        <f t="shared" si="22"/>
        <v>#VALUE!</v>
      </c>
      <c r="L46" s="287" t="e">
        <f t="shared" si="23"/>
        <v>#VALUE!</v>
      </c>
      <c r="M46" s="287" t="e">
        <f t="shared" si="24"/>
        <v>#VALUE!</v>
      </c>
      <c r="N46" s="287" t="e">
        <f t="shared" si="25"/>
        <v>#VALUE!</v>
      </c>
      <c r="O46" s="287" t="e">
        <f t="shared" si="26"/>
        <v>#VALUE!</v>
      </c>
      <c r="P46" s="288">
        <f t="shared" si="27"/>
        <v>1.6016110022524881E-2</v>
      </c>
      <c r="Q46" s="282" t="e">
        <f t="shared" si="28"/>
        <v>#VALUE!</v>
      </c>
      <c r="R46" s="282" t="e">
        <f t="shared" si="29"/>
        <v>#VALUE!</v>
      </c>
      <c r="S46" s="274">
        <v>1.42956646994057E-2</v>
      </c>
      <c r="T46" s="274">
        <v>1.34725944380133E-2</v>
      </c>
      <c r="U46" s="282">
        <v>45913206</v>
      </c>
    </row>
    <row r="47" spans="1:21" x14ac:dyDescent="0.25">
      <c r="A47" s="283">
        <v>36</v>
      </c>
      <c r="B47" s="284" t="s">
        <v>114</v>
      </c>
      <c r="C47" s="285">
        <v>4426247</v>
      </c>
      <c r="D47" s="286" t="e">
        <f t="shared" si="16"/>
        <v>#VALUE!</v>
      </c>
      <c r="E47" s="285" t="e">
        <f t="shared" si="17"/>
        <v>#VALUE!</v>
      </c>
      <c r="F47" s="287" t="e">
        <f t="shared" si="30"/>
        <v>#VALUE!</v>
      </c>
      <c r="G47" s="287" t="e">
        <f t="shared" si="18"/>
        <v>#VALUE!</v>
      </c>
      <c r="H47" s="287" t="e">
        <f t="shared" si="19"/>
        <v>#VALUE!</v>
      </c>
      <c r="I47" s="287" t="e">
        <f t="shared" si="20"/>
        <v>#VALUE!</v>
      </c>
      <c r="J47" s="287" t="e">
        <f t="shared" si="21"/>
        <v>#VALUE!</v>
      </c>
      <c r="K47" s="287" t="e">
        <f t="shared" si="22"/>
        <v>#VALUE!</v>
      </c>
      <c r="L47" s="287" t="e">
        <f t="shared" si="23"/>
        <v>#VALUE!</v>
      </c>
      <c r="M47" s="287" t="e">
        <f t="shared" si="24"/>
        <v>#VALUE!</v>
      </c>
      <c r="N47" s="287" t="e">
        <f t="shared" si="25"/>
        <v>#VALUE!</v>
      </c>
      <c r="O47" s="287" t="e">
        <f t="shared" si="26"/>
        <v>#VALUE!</v>
      </c>
      <c r="P47" s="288">
        <f t="shared" si="27"/>
        <v>2.3701402185649289E-3</v>
      </c>
      <c r="Q47" s="282" t="e">
        <f t="shared" si="28"/>
        <v>#VALUE!</v>
      </c>
      <c r="R47" s="282" t="e">
        <f t="shared" si="29"/>
        <v>#VALUE!</v>
      </c>
      <c r="S47" s="274">
        <v>2.6227363354076401E-3</v>
      </c>
      <c r="T47" s="274">
        <v>2.6076893337535702E-3</v>
      </c>
      <c r="U47" s="282">
        <v>9495107</v>
      </c>
    </row>
    <row r="48" spans="1:21" x14ac:dyDescent="0.25">
      <c r="A48" s="283">
        <v>37</v>
      </c>
      <c r="B48" s="284" t="s">
        <v>92</v>
      </c>
      <c r="C48" s="285">
        <v>7740637</v>
      </c>
      <c r="D48" s="286" t="e">
        <f t="shared" si="16"/>
        <v>#VALUE!</v>
      </c>
      <c r="E48" s="285" t="e">
        <f t="shared" si="17"/>
        <v>#VALUE!</v>
      </c>
      <c r="F48" s="287" t="e">
        <f t="shared" si="30"/>
        <v>#VALUE!</v>
      </c>
      <c r="G48" s="287" t="e">
        <f t="shared" si="18"/>
        <v>#VALUE!</v>
      </c>
      <c r="H48" s="287" t="e">
        <f t="shared" si="19"/>
        <v>#VALUE!</v>
      </c>
      <c r="I48" s="287" t="e">
        <f t="shared" si="20"/>
        <v>#VALUE!</v>
      </c>
      <c r="J48" s="287" t="e">
        <f t="shared" si="21"/>
        <v>#VALUE!</v>
      </c>
      <c r="K48" s="287" t="e">
        <f t="shared" si="22"/>
        <v>#VALUE!</v>
      </c>
      <c r="L48" s="287" t="e">
        <f t="shared" si="23"/>
        <v>#VALUE!</v>
      </c>
      <c r="M48" s="287" t="e">
        <f t="shared" si="24"/>
        <v>#VALUE!</v>
      </c>
      <c r="N48" s="287" t="e">
        <f t="shared" si="25"/>
        <v>#VALUE!</v>
      </c>
      <c r="O48" s="287" t="e">
        <f t="shared" si="26"/>
        <v>#VALUE!</v>
      </c>
      <c r="P48" s="288">
        <f t="shared" si="27"/>
        <v>4.1449099137512609E-3</v>
      </c>
      <c r="Q48" s="282" t="e">
        <f t="shared" si="28"/>
        <v>#VALUE!</v>
      </c>
      <c r="R48" s="282" t="e">
        <f t="shared" si="29"/>
        <v>#VALUE!</v>
      </c>
      <c r="S48" s="274">
        <v>4.2197119413441104E-3</v>
      </c>
      <c r="T48" s="274">
        <v>4.1308927385299296E-3</v>
      </c>
      <c r="U48" s="282">
        <v>14716036</v>
      </c>
    </row>
    <row r="49" spans="1:21" x14ac:dyDescent="0.25">
      <c r="A49" s="283">
        <v>38</v>
      </c>
      <c r="B49" s="284" t="s">
        <v>51</v>
      </c>
      <c r="C49" s="285">
        <v>40334189</v>
      </c>
      <c r="D49" s="286" t="e">
        <f t="shared" si="16"/>
        <v>#VALUE!</v>
      </c>
      <c r="E49" s="285" t="e">
        <f t="shared" si="17"/>
        <v>#VALUE!</v>
      </c>
      <c r="F49" s="287" t="e">
        <f t="shared" si="30"/>
        <v>#VALUE!</v>
      </c>
      <c r="G49" s="287" t="e">
        <f t="shared" si="18"/>
        <v>#VALUE!</v>
      </c>
      <c r="H49" s="287" t="e">
        <f t="shared" si="19"/>
        <v>#VALUE!</v>
      </c>
      <c r="I49" s="287" t="e">
        <f t="shared" si="20"/>
        <v>#VALUE!</v>
      </c>
      <c r="J49" s="287" t="e">
        <f t="shared" si="21"/>
        <v>#VALUE!</v>
      </c>
      <c r="K49" s="287" t="e">
        <f t="shared" si="22"/>
        <v>#VALUE!</v>
      </c>
      <c r="L49" s="287" t="e">
        <f t="shared" si="23"/>
        <v>#VALUE!</v>
      </c>
      <c r="M49" s="287" t="e">
        <f t="shared" si="24"/>
        <v>#VALUE!</v>
      </c>
      <c r="N49" s="287" t="e">
        <f t="shared" si="25"/>
        <v>#VALUE!</v>
      </c>
      <c r="O49" s="287" t="e">
        <f t="shared" si="26"/>
        <v>#VALUE!</v>
      </c>
      <c r="P49" s="288">
        <f t="shared" si="27"/>
        <v>2.1597909816623236E-2</v>
      </c>
      <c r="Q49" s="282" t="e">
        <f t="shared" si="28"/>
        <v>#VALUE!</v>
      </c>
      <c r="R49" s="282" t="e">
        <f t="shared" si="29"/>
        <v>#VALUE!</v>
      </c>
      <c r="S49" s="274">
        <v>1.8330248374319898E-2</v>
      </c>
      <c r="T49" s="274">
        <v>1.6499007712783498E-2</v>
      </c>
      <c r="U49" s="282">
        <v>54573131</v>
      </c>
    </row>
    <row r="50" spans="1:21" x14ac:dyDescent="0.25">
      <c r="A50" s="283">
        <v>39</v>
      </c>
      <c r="B50" s="284" t="s">
        <v>105</v>
      </c>
      <c r="C50" s="285">
        <v>6297561</v>
      </c>
      <c r="D50" s="286" t="e">
        <f t="shared" si="16"/>
        <v>#VALUE!</v>
      </c>
      <c r="E50" s="285" t="e">
        <f t="shared" si="17"/>
        <v>#VALUE!</v>
      </c>
      <c r="F50" s="287" t="e">
        <f t="shared" si="30"/>
        <v>#VALUE!</v>
      </c>
      <c r="G50" s="287" t="e">
        <f t="shared" si="18"/>
        <v>#VALUE!</v>
      </c>
      <c r="H50" s="287" t="e">
        <f t="shared" si="19"/>
        <v>#VALUE!</v>
      </c>
      <c r="I50" s="287" t="e">
        <f t="shared" si="20"/>
        <v>#VALUE!</v>
      </c>
      <c r="J50" s="287" t="e">
        <f t="shared" si="21"/>
        <v>#VALUE!</v>
      </c>
      <c r="K50" s="287" t="e">
        <f t="shared" si="22"/>
        <v>#VALUE!</v>
      </c>
      <c r="L50" s="287" t="e">
        <f t="shared" si="23"/>
        <v>#VALUE!</v>
      </c>
      <c r="M50" s="287" t="e">
        <f t="shared" si="24"/>
        <v>#VALUE!</v>
      </c>
      <c r="N50" s="287" t="e">
        <f t="shared" si="25"/>
        <v>#VALUE!</v>
      </c>
      <c r="O50" s="287" t="e">
        <f t="shared" si="26"/>
        <v>#VALUE!</v>
      </c>
      <c r="P50" s="288">
        <f t="shared" si="27"/>
        <v>3.3721802251356447E-3</v>
      </c>
      <c r="Q50" s="282" t="e">
        <f t="shared" si="28"/>
        <v>#VALUE!</v>
      </c>
      <c r="R50" s="282" t="e">
        <f t="shared" si="29"/>
        <v>#VALUE!</v>
      </c>
      <c r="S50" s="274">
        <v>3.3748220651371899E-3</v>
      </c>
      <c r="T50" s="274">
        <v>3.2969015642963701E-3</v>
      </c>
      <c r="U50" s="282">
        <v>11691574</v>
      </c>
    </row>
    <row r="51" spans="1:21" x14ac:dyDescent="0.25">
      <c r="A51" s="283">
        <v>40</v>
      </c>
      <c r="B51" s="284" t="s">
        <v>96</v>
      </c>
      <c r="C51" s="285">
        <v>7987428</v>
      </c>
      <c r="D51" s="286" t="e">
        <f t="shared" si="16"/>
        <v>#VALUE!</v>
      </c>
      <c r="E51" s="285" t="e">
        <f t="shared" si="17"/>
        <v>#VALUE!</v>
      </c>
      <c r="F51" s="287" t="e">
        <f t="shared" si="30"/>
        <v>#VALUE!</v>
      </c>
      <c r="G51" s="287" t="e">
        <f t="shared" si="18"/>
        <v>#VALUE!</v>
      </c>
      <c r="H51" s="287" t="e">
        <f t="shared" si="19"/>
        <v>#VALUE!</v>
      </c>
      <c r="I51" s="287" t="e">
        <f t="shared" si="20"/>
        <v>#VALUE!</v>
      </c>
      <c r="J51" s="287" t="e">
        <f t="shared" si="21"/>
        <v>#VALUE!</v>
      </c>
      <c r="K51" s="287" t="e">
        <f t="shared" si="22"/>
        <v>#VALUE!</v>
      </c>
      <c r="L51" s="287" t="e">
        <f t="shared" si="23"/>
        <v>#VALUE!</v>
      </c>
      <c r="M51" s="287" t="e">
        <f t="shared" si="24"/>
        <v>#VALUE!</v>
      </c>
      <c r="N51" s="287" t="e">
        <f t="shared" si="25"/>
        <v>#VALUE!</v>
      </c>
      <c r="O51" s="287" t="e">
        <f t="shared" si="26"/>
        <v>#VALUE!</v>
      </c>
      <c r="P51" s="288">
        <f t="shared" si="27"/>
        <v>4.2770600794966107E-3</v>
      </c>
      <c r="Q51" s="282" t="e">
        <f t="shared" si="28"/>
        <v>#VALUE!</v>
      </c>
      <c r="R51" s="282" t="e">
        <f t="shared" si="29"/>
        <v>#VALUE!</v>
      </c>
      <c r="S51" s="274">
        <v>4.9365643131434401E-3</v>
      </c>
      <c r="T51" s="274">
        <v>5.5750712589478797E-3</v>
      </c>
      <c r="U51" s="282">
        <v>20958550</v>
      </c>
    </row>
    <row r="52" spans="1:21" x14ac:dyDescent="0.25">
      <c r="A52" s="283">
        <v>41</v>
      </c>
      <c r="B52" s="284" t="s">
        <v>98</v>
      </c>
      <c r="C52" s="285">
        <v>9743218</v>
      </c>
      <c r="D52" s="286" t="e">
        <f t="shared" si="16"/>
        <v>#VALUE!</v>
      </c>
      <c r="E52" s="285" t="e">
        <f t="shared" si="17"/>
        <v>#VALUE!</v>
      </c>
      <c r="F52" s="287" t="e">
        <f t="shared" si="30"/>
        <v>#VALUE!</v>
      </c>
      <c r="G52" s="287" t="e">
        <f t="shared" si="18"/>
        <v>#VALUE!</v>
      </c>
      <c r="H52" s="287" t="e">
        <f t="shared" si="19"/>
        <v>#VALUE!</v>
      </c>
      <c r="I52" s="287" t="e">
        <f t="shared" si="20"/>
        <v>#VALUE!</v>
      </c>
      <c r="J52" s="287" t="e">
        <f t="shared" si="21"/>
        <v>#VALUE!</v>
      </c>
      <c r="K52" s="287" t="e">
        <f t="shared" si="22"/>
        <v>#VALUE!</v>
      </c>
      <c r="L52" s="287" t="e">
        <f t="shared" si="23"/>
        <v>#VALUE!</v>
      </c>
      <c r="M52" s="287" t="e">
        <f t="shared" si="24"/>
        <v>#VALUE!</v>
      </c>
      <c r="N52" s="287" t="e">
        <f t="shared" si="25"/>
        <v>#VALUE!</v>
      </c>
      <c r="O52" s="287" t="e">
        <f t="shared" si="26"/>
        <v>#VALUE!</v>
      </c>
      <c r="P52" s="288">
        <f t="shared" si="27"/>
        <v>5.2172399868434249E-3</v>
      </c>
      <c r="Q52" s="282" t="e">
        <f t="shared" si="28"/>
        <v>#VALUE!</v>
      </c>
      <c r="R52" s="282" t="e">
        <f t="shared" si="29"/>
        <v>#VALUE!</v>
      </c>
      <c r="S52" s="274">
        <v>4.9749094994654798E-3</v>
      </c>
      <c r="T52" s="274">
        <v>5.1344667817160398E-3</v>
      </c>
      <c r="U52" s="282">
        <v>18236730</v>
      </c>
    </row>
    <row r="53" spans="1:21" x14ac:dyDescent="0.25">
      <c r="A53" s="283">
        <v>42</v>
      </c>
      <c r="B53" s="284" t="s">
        <v>122</v>
      </c>
      <c r="C53" s="285">
        <v>3150648</v>
      </c>
      <c r="D53" s="286" t="e">
        <f t="shared" si="16"/>
        <v>#VALUE!</v>
      </c>
      <c r="E53" s="285" t="e">
        <f t="shared" si="17"/>
        <v>#VALUE!</v>
      </c>
      <c r="F53" s="287" t="e">
        <f t="shared" si="30"/>
        <v>#VALUE!</v>
      </c>
      <c r="G53" s="287" t="e">
        <f t="shared" si="18"/>
        <v>#VALUE!</v>
      </c>
      <c r="H53" s="287" t="e">
        <f t="shared" si="19"/>
        <v>#VALUE!</v>
      </c>
      <c r="I53" s="287" t="e">
        <f t="shared" si="20"/>
        <v>#VALUE!</v>
      </c>
      <c r="J53" s="287" t="e">
        <f t="shared" si="21"/>
        <v>#VALUE!</v>
      </c>
      <c r="K53" s="287" t="e">
        <f t="shared" si="22"/>
        <v>#VALUE!</v>
      </c>
      <c r="L53" s="287" t="e">
        <f t="shared" si="23"/>
        <v>#VALUE!</v>
      </c>
      <c r="M53" s="287" t="e">
        <f t="shared" si="24"/>
        <v>#VALUE!</v>
      </c>
      <c r="N53" s="287" t="e">
        <f t="shared" si="25"/>
        <v>#VALUE!</v>
      </c>
      <c r="O53" s="287" t="e">
        <f t="shared" si="26"/>
        <v>#VALUE!</v>
      </c>
      <c r="P53" s="288">
        <f t="shared" si="27"/>
        <v>1.687090110276529E-3</v>
      </c>
      <c r="Q53" s="282" t="e">
        <f t="shared" si="28"/>
        <v>#VALUE!</v>
      </c>
      <c r="R53" s="282" t="e">
        <f t="shared" si="29"/>
        <v>#VALUE!</v>
      </c>
      <c r="S53" s="274">
        <v>2.3230885303453302E-3</v>
      </c>
      <c r="T53" s="274">
        <v>2.3941004340036201E-3</v>
      </c>
      <c r="U53" s="282">
        <v>9124925</v>
      </c>
    </row>
    <row r="54" spans="1:21" x14ac:dyDescent="0.25">
      <c r="A54" s="283">
        <v>43</v>
      </c>
      <c r="B54" s="284" t="s">
        <v>346</v>
      </c>
      <c r="C54" s="285">
        <v>9445258</v>
      </c>
      <c r="D54" s="286" t="e">
        <f t="shared" si="16"/>
        <v>#VALUE!</v>
      </c>
      <c r="E54" s="285" t="e">
        <f t="shared" si="17"/>
        <v>#VALUE!</v>
      </c>
      <c r="F54" s="287" t="e">
        <f t="shared" si="30"/>
        <v>#VALUE!</v>
      </c>
      <c r="G54" s="287" t="e">
        <f t="shared" si="18"/>
        <v>#VALUE!</v>
      </c>
      <c r="H54" s="287" t="e">
        <f t="shared" si="19"/>
        <v>#VALUE!</v>
      </c>
      <c r="I54" s="287" t="e">
        <f t="shared" si="20"/>
        <v>#VALUE!</v>
      </c>
      <c r="J54" s="287" t="e">
        <f t="shared" si="21"/>
        <v>#VALUE!</v>
      </c>
      <c r="K54" s="287" t="e">
        <f t="shared" si="22"/>
        <v>#VALUE!</v>
      </c>
      <c r="L54" s="287" t="e">
        <f t="shared" si="23"/>
        <v>#VALUE!</v>
      </c>
      <c r="M54" s="287" t="e">
        <f t="shared" si="24"/>
        <v>#VALUE!</v>
      </c>
      <c r="N54" s="287" t="e">
        <f t="shared" si="25"/>
        <v>#VALUE!</v>
      </c>
      <c r="O54" s="287" t="e">
        <f t="shared" si="26"/>
        <v>#VALUE!</v>
      </c>
      <c r="P54" s="288">
        <f t="shared" si="27"/>
        <v>5.0576901516165146E-3</v>
      </c>
      <c r="Q54" s="282" t="e">
        <f t="shared" si="28"/>
        <v>#VALUE!</v>
      </c>
      <c r="R54" s="282" t="e">
        <f t="shared" si="29"/>
        <v>#VALUE!</v>
      </c>
      <c r="S54" s="274">
        <v>6.4123955563023796E-3</v>
      </c>
      <c r="T54" s="274">
        <v>7.9791373884425705E-3</v>
      </c>
      <c r="U54" s="282">
        <v>30882889</v>
      </c>
    </row>
    <row r="55" spans="1:21" x14ac:dyDescent="0.25">
      <c r="A55" s="283">
        <v>44</v>
      </c>
      <c r="B55" s="284" t="s">
        <v>102</v>
      </c>
      <c r="C55" s="285">
        <v>10358449</v>
      </c>
      <c r="D55" s="286" t="e">
        <f t="shared" si="16"/>
        <v>#VALUE!</v>
      </c>
      <c r="E55" s="285" t="e">
        <f t="shared" si="17"/>
        <v>#VALUE!</v>
      </c>
      <c r="F55" s="287" t="e">
        <f t="shared" si="30"/>
        <v>#VALUE!</v>
      </c>
      <c r="G55" s="287" t="e">
        <f t="shared" si="18"/>
        <v>#VALUE!</v>
      </c>
      <c r="H55" s="287" t="e">
        <f t="shared" si="19"/>
        <v>#VALUE!</v>
      </c>
      <c r="I55" s="287" t="e">
        <f t="shared" si="20"/>
        <v>#VALUE!</v>
      </c>
      <c r="J55" s="287" t="e">
        <f t="shared" si="21"/>
        <v>#VALUE!</v>
      </c>
      <c r="K55" s="287" t="e">
        <f t="shared" si="22"/>
        <v>#VALUE!</v>
      </c>
      <c r="L55" s="287" t="e">
        <f t="shared" si="23"/>
        <v>#VALUE!</v>
      </c>
      <c r="M55" s="287" t="e">
        <f t="shared" si="24"/>
        <v>#VALUE!</v>
      </c>
      <c r="N55" s="287" t="e">
        <f t="shared" si="25"/>
        <v>#VALUE!</v>
      </c>
      <c r="O55" s="287" t="e">
        <f t="shared" si="26"/>
        <v>#VALUE!</v>
      </c>
      <c r="P55" s="288">
        <f t="shared" si="27"/>
        <v>5.5466801958529805E-3</v>
      </c>
      <c r="Q55" s="282" t="e">
        <f t="shared" si="28"/>
        <v>#VALUE!</v>
      </c>
      <c r="R55" s="282" t="e">
        <f t="shared" si="29"/>
        <v>#VALUE!</v>
      </c>
      <c r="S55" s="274">
        <v>4.9892893533567996E-3</v>
      </c>
      <c r="T55" s="274">
        <v>4.8768504789622E-3</v>
      </c>
      <c r="U55" s="282">
        <v>16828921</v>
      </c>
    </row>
    <row r="56" spans="1:21" x14ac:dyDescent="0.25">
      <c r="A56" s="283">
        <v>45</v>
      </c>
      <c r="B56" s="284" t="s">
        <v>127</v>
      </c>
      <c r="C56" s="285">
        <v>5680612</v>
      </c>
      <c r="D56" s="286" t="e">
        <f t="shared" si="16"/>
        <v>#VALUE!</v>
      </c>
      <c r="E56" s="285" t="e">
        <f t="shared" si="17"/>
        <v>#VALUE!</v>
      </c>
      <c r="F56" s="287" t="e">
        <f t="shared" si="30"/>
        <v>#VALUE!</v>
      </c>
      <c r="G56" s="287" t="e">
        <f t="shared" si="18"/>
        <v>#VALUE!</v>
      </c>
      <c r="H56" s="287" t="e">
        <f t="shared" si="19"/>
        <v>#VALUE!</v>
      </c>
      <c r="I56" s="287" t="e">
        <f t="shared" si="20"/>
        <v>#VALUE!</v>
      </c>
      <c r="J56" s="287" t="e">
        <f t="shared" si="21"/>
        <v>#VALUE!</v>
      </c>
      <c r="K56" s="287" t="e">
        <f t="shared" si="22"/>
        <v>#VALUE!</v>
      </c>
      <c r="L56" s="287" t="e">
        <f t="shared" si="23"/>
        <v>#VALUE!</v>
      </c>
      <c r="M56" s="287" t="e">
        <f t="shared" si="24"/>
        <v>#VALUE!</v>
      </c>
      <c r="N56" s="287" t="e">
        <f t="shared" si="25"/>
        <v>#VALUE!</v>
      </c>
      <c r="O56" s="287" t="e">
        <f t="shared" si="26"/>
        <v>#VALUE!</v>
      </c>
      <c r="P56" s="288">
        <f t="shared" si="27"/>
        <v>3.0418200717814794E-3</v>
      </c>
      <c r="Q56" s="282" t="e">
        <f t="shared" si="28"/>
        <v>#VALUE!</v>
      </c>
      <c r="R56" s="282" t="e">
        <f t="shared" si="29"/>
        <v>#VALUE!</v>
      </c>
      <c r="S56" s="274">
        <v>3.7556090776295899E-3</v>
      </c>
      <c r="T56" s="274">
        <v>3.7424693254847199E-3</v>
      </c>
      <c r="U56" s="282">
        <v>13926913</v>
      </c>
    </row>
    <row r="57" spans="1:21" x14ac:dyDescent="0.25">
      <c r="A57" s="283">
        <v>46</v>
      </c>
      <c r="B57" s="284" t="s">
        <v>119</v>
      </c>
      <c r="C57" s="285">
        <v>11889036</v>
      </c>
      <c r="D57" s="286" t="e">
        <f t="shared" si="16"/>
        <v>#VALUE!</v>
      </c>
      <c r="E57" s="285" t="e">
        <f t="shared" si="17"/>
        <v>#VALUE!</v>
      </c>
      <c r="F57" s="287" t="e">
        <f t="shared" si="30"/>
        <v>#VALUE!</v>
      </c>
      <c r="G57" s="287" t="e">
        <f t="shared" si="18"/>
        <v>#VALUE!</v>
      </c>
      <c r="H57" s="287" t="e">
        <f t="shared" si="19"/>
        <v>#VALUE!</v>
      </c>
      <c r="I57" s="287" t="e">
        <f t="shared" si="20"/>
        <v>#VALUE!</v>
      </c>
      <c r="J57" s="287" t="e">
        <f t="shared" si="21"/>
        <v>#VALUE!</v>
      </c>
      <c r="K57" s="287" t="e">
        <f t="shared" si="22"/>
        <v>#VALUE!</v>
      </c>
      <c r="L57" s="287" t="e">
        <f t="shared" si="23"/>
        <v>#VALUE!</v>
      </c>
      <c r="M57" s="287" t="e">
        <f t="shared" si="24"/>
        <v>#VALUE!</v>
      </c>
      <c r="N57" s="287" t="e">
        <f t="shared" si="25"/>
        <v>#VALUE!</v>
      </c>
      <c r="O57" s="287" t="e">
        <f t="shared" si="26"/>
        <v>#VALUE!</v>
      </c>
      <c r="P57" s="288">
        <f t="shared" si="27"/>
        <v>6.3662697503248933E-3</v>
      </c>
      <c r="Q57" s="282" t="e">
        <f t="shared" si="28"/>
        <v>#VALUE!</v>
      </c>
      <c r="R57" s="282" t="e">
        <f t="shared" si="29"/>
        <v>#VALUE!</v>
      </c>
      <c r="S57" s="274">
        <v>5.9154794274847398E-3</v>
      </c>
      <c r="T57" s="274">
        <v>5.76066092416214E-3</v>
      </c>
      <c r="U57" s="282">
        <v>20033469</v>
      </c>
    </row>
    <row r="58" spans="1:21" x14ac:dyDescent="0.25">
      <c r="A58" s="283">
        <v>47</v>
      </c>
      <c r="B58" s="284" t="s">
        <v>121</v>
      </c>
      <c r="C58" s="285">
        <v>22828858</v>
      </c>
      <c r="D58" s="286" t="e">
        <f t="shared" si="16"/>
        <v>#VALUE!</v>
      </c>
      <c r="E58" s="285" t="e">
        <f t="shared" si="17"/>
        <v>#VALUE!</v>
      </c>
      <c r="F58" s="287" t="e">
        <f t="shared" si="30"/>
        <v>#VALUE!</v>
      </c>
      <c r="G58" s="287" t="e">
        <f t="shared" si="18"/>
        <v>#VALUE!</v>
      </c>
      <c r="H58" s="287" t="e">
        <f t="shared" si="19"/>
        <v>#VALUE!</v>
      </c>
      <c r="I58" s="287" t="e">
        <f t="shared" si="20"/>
        <v>#VALUE!</v>
      </c>
      <c r="J58" s="287" t="e">
        <f t="shared" si="21"/>
        <v>#VALUE!</v>
      </c>
      <c r="K58" s="287" t="e">
        <f t="shared" si="22"/>
        <v>#VALUE!</v>
      </c>
      <c r="L58" s="287" t="e">
        <f t="shared" si="23"/>
        <v>#VALUE!</v>
      </c>
      <c r="M58" s="287" t="e">
        <f t="shared" si="24"/>
        <v>#VALUE!</v>
      </c>
      <c r="N58" s="287" t="e">
        <f t="shared" si="25"/>
        <v>#VALUE!</v>
      </c>
      <c r="O58" s="287" t="e">
        <f t="shared" si="26"/>
        <v>#VALUE!</v>
      </c>
      <c r="P58" s="288">
        <f t="shared" si="27"/>
        <v>1.2224260076246926E-2</v>
      </c>
      <c r="Q58" s="282" t="e">
        <f t="shared" si="28"/>
        <v>#VALUE!</v>
      </c>
      <c r="R58" s="282" t="e">
        <f t="shared" si="29"/>
        <v>#VALUE!</v>
      </c>
      <c r="S58" s="274">
        <v>1.0353092652739201E-2</v>
      </c>
      <c r="T58" s="274">
        <v>9.7534717821100396E-3</v>
      </c>
      <c r="U58" s="282">
        <v>32714176</v>
      </c>
    </row>
    <row r="59" spans="1:21" x14ac:dyDescent="0.25">
      <c r="A59" s="283">
        <v>48</v>
      </c>
      <c r="B59" s="284" t="s">
        <v>47</v>
      </c>
      <c r="C59" s="285">
        <v>3453314</v>
      </c>
      <c r="D59" s="286" t="e">
        <f t="shared" si="16"/>
        <v>#VALUE!</v>
      </c>
      <c r="E59" s="285" t="e">
        <f t="shared" si="17"/>
        <v>#VALUE!</v>
      </c>
      <c r="F59" s="287" t="e">
        <f t="shared" si="30"/>
        <v>#VALUE!</v>
      </c>
      <c r="G59" s="287" t="e">
        <f t="shared" si="18"/>
        <v>#VALUE!</v>
      </c>
      <c r="H59" s="287" t="e">
        <f t="shared" si="19"/>
        <v>#VALUE!</v>
      </c>
      <c r="I59" s="287" t="e">
        <f t="shared" si="20"/>
        <v>#VALUE!</v>
      </c>
      <c r="J59" s="287" t="e">
        <f t="shared" si="21"/>
        <v>#VALUE!</v>
      </c>
      <c r="K59" s="287" t="e">
        <f t="shared" si="22"/>
        <v>#VALUE!</v>
      </c>
      <c r="L59" s="287" t="e">
        <f t="shared" si="23"/>
        <v>#VALUE!</v>
      </c>
      <c r="M59" s="287" t="e">
        <f t="shared" si="24"/>
        <v>#VALUE!</v>
      </c>
      <c r="N59" s="287" t="e">
        <f t="shared" si="25"/>
        <v>#VALUE!</v>
      </c>
      <c r="O59" s="287" t="e">
        <f t="shared" si="26"/>
        <v>#VALUE!</v>
      </c>
      <c r="P59" s="288">
        <f t="shared" si="27"/>
        <v>1.8491598861819798E-3</v>
      </c>
      <c r="Q59" s="282" t="e">
        <f t="shared" si="28"/>
        <v>#VALUE!</v>
      </c>
      <c r="R59" s="282" t="e">
        <f t="shared" si="29"/>
        <v>#VALUE!</v>
      </c>
      <c r="S59" s="274">
        <v>2.0372924518321399E-3</v>
      </c>
      <c r="T59" s="274">
        <v>2.0644048852018798E-3</v>
      </c>
      <c r="U59" s="282">
        <v>7539564</v>
      </c>
    </row>
    <row r="60" spans="1:21" x14ac:dyDescent="0.25">
      <c r="A60" s="283">
        <v>49</v>
      </c>
      <c r="B60" s="284" t="s">
        <v>115</v>
      </c>
      <c r="C60" s="285">
        <v>29178653</v>
      </c>
      <c r="D60" s="286" t="e">
        <f t="shared" si="16"/>
        <v>#VALUE!</v>
      </c>
      <c r="E60" s="285" t="e">
        <f t="shared" si="17"/>
        <v>#VALUE!</v>
      </c>
      <c r="F60" s="287" t="e">
        <f t="shared" si="30"/>
        <v>#VALUE!</v>
      </c>
      <c r="G60" s="287" t="e">
        <f t="shared" si="18"/>
        <v>#VALUE!</v>
      </c>
      <c r="H60" s="287" t="e">
        <f t="shared" si="19"/>
        <v>#VALUE!</v>
      </c>
      <c r="I60" s="287" t="e">
        <f t="shared" si="20"/>
        <v>#VALUE!</v>
      </c>
      <c r="J60" s="287" t="e">
        <f t="shared" si="21"/>
        <v>#VALUE!</v>
      </c>
      <c r="K60" s="287" t="e">
        <f t="shared" si="22"/>
        <v>#VALUE!</v>
      </c>
      <c r="L60" s="287" t="e">
        <f t="shared" si="23"/>
        <v>#VALUE!</v>
      </c>
      <c r="M60" s="287" t="e">
        <f t="shared" si="24"/>
        <v>#VALUE!</v>
      </c>
      <c r="N60" s="287" t="e">
        <f t="shared" si="25"/>
        <v>#VALUE!</v>
      </c>
      <c r="O60" s="287" t="e">
        <f t="shared" si="26"/>
        <v>#VALUE!</v>
      </c>
      <c r="P60" s="288">
        <f t="shared" si="27"/>
        <v>1.5624410250681947E-2</v>
      </c>
      <c r="Q60" s="282" t="e">
        <f t="shared" si="28"/>
        <v>#VALUE!</v>
      </c>
      <c r="R60" s="282" t="e">
        <f t="shared" si="29"/>
        <v>#VALUE!</v>
      </c>
      <c r="S60" s="274">
        <v>1.2750796676250901E-2</v>
      </c>
      <c r="T60" s="274">
        <v>1.26967208693268E-2</v>
      </c>
      <c r="U60" s="282">
        <v>42826785</v>
      </c>
    </row>
    <row r="61" spans="1:21" x14ac:dyDescent="0.25">
      <c r="A61" s="283">
        <v>50</v>
      </c>
      <c r="B61" s="284" t="s">
        <v>69</v>
      </c>
      <c r="C61" s="285">
        <v>60810832</v>
      </c>
      <c r="D61" s="286" t="e">
        <f t="shared" si="16"/>
        <v>#VALUE!</v>
      </c>
      <c r="E61" s="285" t="e">
        <f t="shared" si="17"/>
        <v>#VALUE!</v>
      </c>
      <c r="F61" s="287" t="e">
        <f t="shared" si="30"/>
        <v>#VALUE!</v>
      </c>
      <c r="G61" s="287" t="e">
        <f t="shared" si="18"/>
        <v>#VALUE!</v>
      </c>
      <c r="H61" s="287" t="e">
        <f t="shared" si="19"/>
        <v>#VALUE!</v>
      </c>
      <c r="I61" s="287" t="e">
        <f t="shared" si="20"/>
        <v>#VALUE!</v>
      </c>
      <c r="J61" s="287" t="e">
        <f t="shared" si="21"/>
        <v>#VALUE!</v>
      </c>
      <c r="K61" s="287" t="e">
        <f t="shared" si="22"/>
        <v>#VALUE!</v>
      </c>
      <c r="L61" s="287" t="e">
        <f t="shared" si="23"/>
        <v>#VALUE!</v>
      </c>
      <c r="M61" s="287" t="e">
        <f t="shared" si="24"/>
        <v>#VALUE!</v>
      </c>
      <c r="N61" s="287" t="e">
        <f t="shared" si="25"/>
        <v>#VALUE!</v>
      </c>
      <c r="O61" s="287" t="e">
        <f t="shared" si="26"/>
        <v>#VALUE!</v>
      </c>
      <c r="P61" s="288">
        <f t="shared" si="27"/>
        <v>3.2562619900695818E-2</v>
      </c>
      <c r="Q61" s="282" t="e">
        <f t="shared" si="28"/>
        <v>#VALUE!</v>
      </c>
      <c r="R61" s="282" t="e">
        <f t="shared" si="29"/>
        <v>#VALUE!</v>
      </c>
      <c r="S61" s="274">
        <v>2.9760493716946699E-2</v>
      </c>
      <c r="T61" s="274">
        <v>2.74689013154686E-2</v>
      </c>
      <c r="U61" s="282">
        <v>93688010</v>
      </c>
    </row>
    <row r="62" spans="1:21" x14ac:dyDescent="0.25">
      <c r="A62" s="283">
        <v>51</v>
      </c>
      <c r="B62" s="284" t="s">
        <v>126</v>
      </c>
      <c r="C62" s="285">
        <v>3160228</v>
      </c>
      <c r="D62" s="286" t="e">
        <f t="shared" si="16"/>
        <v>#VALUE!</v>
      </c>
      <c r="E62" s="285" t="e">
        <f t="shared" si="17"/>
        <v>#VALUE!</v>
      </c>
      <c r="F62" s="287" t="e">
        <f t="shared" si="30"/>
        <v>#VALUE!</v>
      </c>
      <c r="G62" s="287" t="e">
        <f t="shared" si="18"/>
        <v>#VALUE!</v>
      </c>
      <c r="H62" s="287" t="e">
        <f t="shared" si="19"/>
        <v>#VALUE!</v>
      </c>
      <c r="I62" s="287" t="e">
        <f t="shared" si="20"/>
        <v>#VALUE!</v>
      </c>
      <c r="J62" s="287" t="e">
        <f t="shared" si="21"/>
        <v>#VALUE!</v>
      </c>
      <c r="K62" s="287" t="e">
        <f t="shared" si="22"/>
        <v>#VALUE!</v>
      </c>
      <c r="L62" s="287" t="e">
        <f t="shared" si="23"/>
        <v>#VALUE!</v>
      </c>
      <c r="M62" s="287" t="e">
        <f t="shared" si="24"/>
        <v>#VALUE!</v>
      </c>
      <c r="N62" s="287" t="e">
        <f t="shared" si="25"/>
        <v>#VALUE!</v>
      </c>
      <c r="O62" s="287" t="e">
        <f t="shared" si="26"/>
        <v>#VALUE!</v>
      </c>
      <c r="P62" s="288">
        <f t="shared" si="27"/>
        <v>1.6922199512668427E-3</v>
      </c>
      <c r="Q62" s="282" t="e">
        <f t="shared" si="28"/>
        <v>#VALUE!</v>
      </c>
      <c r="R62" s="282" t="e">
        <f t="shared" si="29"/>
        <v>#VALUE!</v>
      </c>
      <c r="S62" s="274">
        <v>1.9930583511496998E-3</v>
      </c>
      <c r="T62" s="274">
        <v>1.94253990611165E-3</v>
      </c>
      <c r="U62" s="282">
        <v>7134320</v>
      </c>
    </row>
    <row r="63" spans="1:21" x14ac:dyDescent="0.25">
      <c r="A63" s="283">
        <v>52</v>
      </c>
      <c r="B63" s="284" t="s">
        <v>58</v>
      </c>
      <c r="C63" s="285">
        <v>14360118</v>
      </c>
      <c r="D63" s="286" t="e">
        <f t="shared" si="16"/>
        <v>#VALUE!</v>
      </c>
      <c r="E63" s="285" t="e">
        <f t="shared" si="17"/>
        <v>#VALUE!</v>
      </c>
      <c r="F63" s="287" t="e">
        <f t="shared" si="30"/>
        <v>#VALUE!</v>
      </c>
      <c r="G63" s="287" t="e">
        <f t="shared" si="18"/>
        <v>#VALUE!</v>
      </c>
      <c r="H63" s="287" t="e">
        <f t="shared" si="19"/>
        <v>#VALUE!</v>
      </c>
      <c r="I63" s="287" t="e">
        <f t="shared" si="20"/>
        <v>#VALUE!</v>
      </c>
      <c r="J63" s="287" t="e">
        <f t="shared" si="21"/>
        <v>#VALUE!</v>
      </c>
      <c r="K63" s="287" t="e">
        <f t="shared" si="22"/>
        <v>#VALUE!</v>
      </c>
      <c r="L63" s="287" t="e">
        <f t="shared" si="23"/>
        <v>#VALUE!</v>
      </c>
      <c r="M63" s="287" t="e">
        <f t="shared" si="24"/>
        <v>#VALUE!</v>
      </c>
      <c r="N63" s="287" t="e">
        <f t="shared" si="25"/>
        <v>#VALUE!</v>
      </c>
      <c r="O63" s="287" t="e">
        <f t="shared" si="26"/>
        <v>#VALUE!</v>
      </c>
      <c r="P63" s="288">
        <f t="shared" si="27"/>
        <v>7.6894699313296731E-3</v>
      </c>
      <c r="Q63" s="282" t="e">
        <f t="shared" si="28"/>
        <v>#VALUE!</v>
      </c>
      <c r="R63" s="282" t="e">
        <f t="shared" si="29"/>
        <v>#VALUE!</v>
      </c>
      <c r="S63" s="274">
        <v>1.07681856917567E-2</v>
      </c>
      <c r="T63" s="274">
        <v>1.2036993077270099E-2</v>
      </c>
      <c r="U63" s="282">
        <v>46538916</v>
      </c>
    </row>
    <row r="64" spans="1:21" x14ac:dyDescent="0.25">
      <c r="A64" s="283">
        <v>53</v>
      </c>
      <c r="B64" s="284" t="s">
        <v>103</v>
      </c>
      <c r="C64" s="285">
        <v>113285829</v>
      </c>
      <c r="D64" s="286" t="e">
        <f t="shared" si="16"/>
        <v>#VALUE!</v>
      </c>
      <c r="E64" s="285" t="e">
        <f t="shared" si="17"/>
        <v>#VALUE!</v>
      </c>
      <c r="F64" s="287" t="e">
        <f t="shared" si="30"/>
        <v>#VALUE!</v>
      </c>
      <c r="G64" s="287" t="e">
        <f t="shared" si="18"/>
        <v>#VALUE!</v>
      </c>
      <c r="H64" s="287" t="e">
        <f t="shared" si="19"/>
        <v>#VALUE!</v>
      </c>
      <c r="I64" s="287" t="e">
        <f t="shared" si="20"/>
        <v>#VALUE!</v>
      </c>
      <c r="J64" s="287" t="e">
        <f t="shared" si="21"/>
        <v>#VALUE!</v>
      </c>
      <c r="K64" s="287" t="e">
        <f t="shared" si="22"/>
        <v>#VALUE!</v>
      </c>
      <c r="L64" s="287" t="e">
        <f t="shared" si="23"/>
        <v>#VALUE!</v>
      </c>
      <c r="M64" s="287" t="e">
        <f t="shared" si="24"/>
        <v>#VALUE!</v>
      </c>
      <c r="N64" s="287" t="e">
        <f t="shared" si="25"/>
        <v>#VALUE!</v>
      </c>
      <c r="O64" s="287" t="e">
        <f t="shared" si="26"/>
        <v>#VALUE!</v>
      </c>
      <c r="P64" s="288">
        <f t="shared" si="27"/>
        <v>6.0661616829419861E-2</v>
      </c>
      <c r="Q64" s="282" t="e">
        <f t="shared" si="28"/>
        <v>#VALUE!</v>
      </c>
      <c r="R64" s="282" t="e">
        <f t="shared" si="29"/>
        <v>#VALUE!</v>
      </c>
      <c r="S64" s="274">
        <v>6.20868025053972E-2</v>
      </c>
      <c r="T64" s="274">
        <v>5.9378524301512699E-2</v>
      </c>
      <c r="U64" s="282">
        <v>210630562</v>
      </c>
    </row>
    <row r="65" spans="1:21" x14ac:dyDescent="0.25">
      <c r="A65" s="283">
        <v>54</v>
      </c>
      <c r="B65" s="284" t="s">
        <v>94</v>
      </c>
      <c r="C65" s="285">
        <v>10975846</v>
      </c>
      <c r="D65" s="286" t="e">
        <f t="shared" si="16"/>
        <v>#VALUE!</v>
      </c>
      <c r="E65" s="285" t="e">
        <f t="shared" si="17"/>
        <v>#VALUE!</v>
      </c>
      <c r="F65" s="287" t="e">
        <f t="shared" si="30"/>
        <v>#VALUE!</v>
      </c>
      <c r="G65" s="287" t="e">
        <f t="shared" si="18"/>
        <v>#VALUE!</v>
      </c>
      <c r="H65" s="287" t="e">
        <f t="shared" si="19"/>
        <v>#VALUE!</v>
      </c>
      <c r="I65" s="287" t="e">
        <f t="shared" si="20"/>
        <v>#VALUE!</v>
      </c>
      <c r="J65" s="287" t="e">
        <f t="shared" si="21"/>
        <v>#VALUE!</v>
      </c>
      <c r="K65" s="287" t="e">
        <f t="shared" si="22"/>
        <v>#VALUE!</v>
      </c>
      <c r="L65" s="287" t="e">
        <f t="shared" si="23"/>
        <v>#VALUE!</v>
      </c>
      <c r="M65" s="287" t="e">
        <f t="shared" si="24"/>
        <v>#VALUE!</v>
      </c>
      <c r="N65" s="287" t="e">
        <f t="shared" si="25"/>
        <v>#VALUE!</v>
      </c>
      <c r="O65" s="287" t="e">
        <f t="shared" si="26"/>
        <v>#VALUE!</v>
      </c>
      <c r="P65" s="288">
        <f t="shared" si="27"/>
        <v>5.8772802415624345E-3</v>
      </c>
      <c r="Q65" s="282" t="e">
        <f t="shared" si="28"/>
        <v>#VALUE!</v>
      </c>
      <c r="R65" s="282" t="e">
        <f t="shared" si="29"/>
        <v>#VALUE!</v>
      </c>
      <c r="S65" s="274">
        <v>4.9392628671652301E-3</v>
      </c>
      <c r="T65" s="274">
        <v>5.8209371225660103E-3</v>
      </c>
      <c r="U65" s="282">
        <v>20706209</v>
      </c>
    </row>
    <row r="66" spans="1:21" x14ac:dyDescent="0.25">
      <c r="A66" s="283">
        <v>55</v>
      </c>
      <c r="B66" s="284" t="s">
        <v>347</v>
      </c>
      <c r="C66" s="285">
        <v>16076280</v>
      </c>
      <c r="D66" s="286" t="e">
        <f t="shared" si="16"/>
        <v>#VALUE!</v>
      </c>
      <c r="E66" s="285" t="e">
        <f t="shared" si="17"/>
        <v>#VALUE!</v>
      </c>
      <c r="F66" s="287" t="e">
        <f t="shared" si="30"/>
        <v>#VALUE!</v>
      </c>
      <c r="G66" s="287" t="e">
        <f t="shared" si="18"/>
        <v>#VALUE!</v>
      </c>
      <c r="H66" s="287" t="e">
        <f t="shared" si="19"/>
        <v>#VALUE!</v>
      </c>
      <c r="I66" s="287" t="e">
        <f t="shared" si="20"/>
        <v>#VALUE!</v>
      </c>
      <c r="J66" s="287" t="e">
        <f t="shared" si="21"/>
        <v>#VALUE!</v>
      </c>
      <c r="K66" s="287" t="e">
        <f t="shared" si="22"/>
        <v>#VALUE!</v>
      </c>
      <c r="L66" s="287" t="e">
        <f t="shared" si="23"/>
        <v>#VALUE!</v>
      </c>
      <c r="M66" s="287" t="e">
        <f t="shared" si="24"/>
        <v>#VALUE!</v>
      </c>
      <c r="N66" s="287" t="e">
        <f t="shared" si="25"/>
        <v>#VALUE!</v>
      </c>
      <c r="O66" s="287" t="e">
        <f t="shared" si="26"/>
        <v>#VALUE!</v>
      </c>
      <c r="P66" s="288">
        <f t="shared" si="27"/>
        <v>8.6084300747136331E-3</v>
      </c>
      <c r="Q66" s="282" t="e">
        <f t="shared" si="28"/>
        <v>#VALUE!</v>
      </c>
      <c r="R66" s="282" t="e">
        <f t="shared" si="29"/>
        <v>#VALUE!</v>
      </c>
      <c r="S66" s="274">
        <v>9.5981601399382499E-3</v>
      </c>
      <c r="T66" s="274">
        <v>9.5467525671367199E-3</v>
      </c>
      <c r="U66" s="282">
        <v>34818823</v>
      </c>
    </row>
    <row r="67" spans="1:21" x14ac:dyDescent="0.25">
      <c r="A67" s="283">
        <v>56</v>
      </c>
      <c r="B67" s="284" t="s">
        <v>348</v>
      </c>
      <c r="C67" s="285">
        <v>23247496</v>
      </c>
      <c r="D67" s="286" t="e">
        <f t="shared" si="16"/>
        <v>#VALUE!</v>
      </c>
      <c r="E67" s="285" t="e">
        <f t="shared" si="17"/>
        <v>#VALUE!</v>
      </c>
      <c r="F67" s="287" t="e">
        <f t="shared" si="30"/>
        <v>#VALUE!</v>
      </c>
      <c r="G67" s="287" t="e">
        <f t="shared" si="18"/>
        <v>#VALUE!</v>
      </c>
      <c r="H67" s="287" t="e">
        <f t="shared" si="19"/>
        <v>#VALUE!</v>
      </c>
      <c r="I67" s="287" t="e">
        <f t="shared" si="20"/>
        <v>#VALUE!</v>
      </c>
      <c r="J67" s="287" t="e">
        <f t="shared" si="21"/>
        <v>#VALUE!</v>
      </c>
      <c r="K67" s="287" t="e">
        <f t="shared" si="22"/>
        <v>#VALUE!</v>
      </c>
      <c r="L67" s="287" t="e">
        <f t="shared" si="23"/>
        <v>#VALUE!</v>
      </c>
      <c r="M67" s="287" t="e">
        <f t="shared" si="24"/>
        <v>#VALUE!</v>
      </c>
      <c r="N67" s="287" t="e">
        <f t="shared" si="25"/>
        <v>#VALUE!</v>
      </c>
      <c r="O67" s="287" t="e">
        <f t="shared" si="26"/>
        <v>#VALUE!</v>
      </c>
      <c r="P67" s="288">
        <f t="shared" si="27"/>
        <v>1.2448429843731566E-2</v>
      </c>
      <c r="Q67" s="282" t="e">
        <f t="shared" si="28"/>
        <v>#VALUE!</v>
      </c>
      <c r="R67" s="282" t="e">
        <f t="shared" si="29"/>
        <v>#VALUE!</v>
      </c>
      <c r="S67" s="274">
        <v>1.4643210447685E-2</v>
      </c>
      <c r="T67" s="274">
        <v>1.55950554425681E-2</v>
      </c>
      <c r="U67" s="282">
        <v>58223339</v>
      </c>
    </row>
    <row r="68" spans="1:21" x14ac:dyDescent="0.25">
      <c r="A68" s="283">
        <v>57</v>
      </c>
      <c r="B68" s="284" t="s">
        <v>65</v>
      </c>
      <c r="C68" s="285">
        <v>22282426</v>
      </c>
      <c r="D68" s="286" t="e">
        <f t="shared" si="16"/>
        <v>#VALUE!</v>
      </c>
      <c r="E68" s="285" t="e">
        <f t="shared" si="17"/>
        <v>#VALUE!</v>
      </c>
      <c r="F68" s="287" t="e">
        <f t="shared" si="30"/>
        <v>#VALUE!</v>
      </c>
      <c r="G68" s="287" t="e">
        <f t="shared" si="18"/>
        <v>#VALUE!</v>
      </c>
      <c r="H68" s="287" t="e">
        <f t="shared" si="19"/>
        <v>#VALUE!</v>
      </c>
      <c r="I68" s="287" t="e">
        <f t="shared" si="20"/>
        <v>#VALUE!</v>
      </c>
      <c r="J68" s="287" t="e">
        <f t="shared" si="21"/>
        <v>#VALUE!</v>
      </c>
      <c r="K68" s="287" t="e">
        <f t="shared" si="22"/>
        <v>#VALUE!</v>
      </c>
      <c r="L68" s="287" t="e">
        <f t="shared" si="23"/>
        <v>#VALUE!</v>
      </c>
      <c r="M68" s="287" t="e">
        <f t="shared" si="24"/>
        <v>#VALUE!</v>
      </c>
      <c r="N68" s="287" t="e">
        <f t="shared" si="25"/>
        <v>#VALUE!</v>
      </c>
      <c r="O68" s="287" t="e">
        <f t="shared" si="26"/>
        <v>#VALUE!</v>
      </c>
      <c r="P68" s="288">
        <f t="shared" si="27"/>
        <v>1.1931659943468328E-2</v>
      </c>
      <c r="Q68" s="282" t="e">
        <f t="shared" si="28"/>
        <v>#VALUE!</v>
      </c>
      <c r="R68" s="282" t="e">
        <f t="shared" si="29"/>
        <v>#VALUE!</v>
      </c>
      <c r="S68" s="274">
        <v>9.7410611241428493E-3</v>
      </c>
      <c r="T68" s="274">
        <v>9.2097013624627792E-3</v>
      </c>
      <c r="U68" s="282">
        <v>30566129</v>
      </c>
    </row>
    <row r="69" spans="1:21" x14ac:dyDescent="0.25">
      <c r="A69" s="283">
        <v>58</v>
      </c>
      <c r="B69" s="284" t="s">
        <v>134</v>
      </c>
      <c r="C69" s="285">
        <v>3821437</v>
      </c>
      <c r="D69" s="286" t="e">
        <f t="shared" si="16"/>
        <v>#VALUE!</v>
      </c>
      <c r="E69" s="285" t="e">
        <f t="shared" si="17"/>
        <v>#VALUE!</v>
      </c>
      <c r="F69" s="287" t="e">
        <f t="shared" si="30"/>
        <v>#VALUE!</v>
      </c>
      <c r="G69" s="287" t="e">
        <f t="shared" si="18"/>
        <v>#VALUE!</v>
      </c>
      <c r="H69" s="287" t="e">
        <f t="shared" si="19"/>
        <v>#VALUE!</v>
      </c>
      <c r="I69" s="287" t="e">
        <f t="shared" si="20"/>
        <v>#VALUE!</v>
      </c>
      <c r="J69" s="287" t="e">
        <f t="shared" si="21"/>
        <v>#VALUE!</v>
      </c>
      <c r="K69" s="287" t="e">
        <f t="shared" si="22"/>
        <v>#VALUE!</v>
      </c>
      <c r="L69" s="287" t="e">
        <f t="shared" si="23"/>
        <v>#VALUE!</v>
      </c>
      <c r="M69" s="287" t="e">
        <f t="shared" si="24"/>
        <v>#VALUE!</v>
      </c>
      <c r="N69" s="287" t="e">
        <f t="shared" si="25"/>
        <v>#VALUE!</v>
      </c>
      <c r="O69" s="287" t="e">
        <f t="shared" si="26"/>
        <v>#VALUE!</v>
      </c>
      <c r="P69" s="288">
        <f t="shared" si="27"/>
        <v>2.046280184185859E-3</v>
      </c>
      <c r="Q69" s="282" t="e">
        <f t="shared" si="28"/>
        <v>#VALUE!</v>
      </c>
      <c r="R69" s="282" t="e">
        <f t="shared" si="29"/>
        <v>#VALUE!</v>
      </c>
      <c r="S69" s="274">
        <v>3.2211317730920898E-3</v>
      </c>
      <c r="T69" s="274">
        <v>3.1176476074993198E-3</v>
      </c>
      <c r="U69" s="282">
        <v>12008270</v>
      </c>
    </row>
    <row r="70" spans="1:21" x14ac:dyDescent="0.25">
      <c r="A70" s="283">
        <v>59</v>
      </c>
      <c r="B70" s="284" t="s">
        <v>136</v>
      </c>
      <c r="C70" s="285">
        <v>6240676</v>
      </c>
      <c r="D70" s="286" t="e">
        <f t="shared" si="16"/>
        <v>#VALUE!</v>
      </c>
      <c r="E70" s="285" t="e">
        <f t="shared" si="17"/>
        <v>#VALUE!</v>
      </c>
      <c r="F70" s="287" t="e">
        <f t="shared" si="30"/>
        <v>#VALUE!</v>
      </c>
      <c r="G70" s="287" t="e">
        <f t="shared" si="18"/>
        <v>#VALUE!</v>
      </c>
      <c r="H70" s="287" t="e">
        <f t="shared" si="19"/>
        <v>#VALUE!</v>
      </c>
      <c r="I70" s="287" t="e">
        <f t="shared" si="20"/>
        <v>#VALUE!</v>
      </c>
      <c r="J70" s="287" t="e">
        <f t="shared" si="21"/>
        <v>#VALUE!</v>
      </c>
      <c r="K70" s="287" t="e">
        <f t="shared" si="22"/>
        <v>#VALUE!</v>
      </c>
      <c r="L70" s="287" t="e">
        <f t="shared" si="23"/>
        <v>#VALUE!</v>
      </c>
      <c r="M70" s="287" t="e">
        <f t="shared" si="24"/>
        <v>#VALUE!</v>
      </c>
      <c r="N70" s="287" t="e">
        <f t="shared" si="25"/>
        <v>#VALUE!</v>
      </c>
      <c r="O70" s="287" t="e">
        <f t="shared" si="26"/>
        <v>#VALUE!</v>
      </c>
      <c r="P70" s="288">
        <f t="shared" si="27"/>
        <v>3.3417197862281312E-3</v>
      </c>
      <c r="Q70" s="282" t="e">
        <f t="shared" si="28"/>
        <v>#VALUE!</v>
      </c>
      <c r="R70" s="282" t="e">
        <f t="shared" si="29"/>
        <v>#VALUE!</v>
      </c>
      <c r="S70" s="274">
        <v>3.3217577014703899E-3</v>
      </c>
      <c r="T70" s="274">
        <v>3.2362972203218801E-3</v>
      </c>
      <c r="U70" s="282">
        <v>11450377</v>
      </c>
    </row>
    <row r="71" spans="1:21" x14ac:dyDescent="0.25">
      <c r="A71" s="283">
        <v>60</v>
      </c>
      <c r="B71" s="284" t="s">
        <v>137</v>
      </c>
      <c r="C71" s="285">
        <v>3642436</v>
      </c>
      <c r="D71" s="286" t="e">
        <f t="shared" si="16"/>
        <v>#VALUE!</v>
      </c>
      <c r="E71" s="285" t="e">
        <f t="shared" si="17"/>
        <v>#VALUE!</v>
      </c>
      <c r="F71" s="287" t="e">
        <f t="shared" si="30"/>
        <v>#VALUE!</v>
      </c>
      <c r="G71" s="287" t="e">
        <f t="shared" si="18"/>
        <v>#VALUE!</v>
      </c>
      <c r="H71" s="287" t="e">
        <f t="shared" si="19"/>
        <v>#VALUE!</v>
      </c>
      <c r="I71" s="287" t="e">
        <f t="shared" si="20"/>
        <v>#VALUE!</v>
      </c>
      <c r="J71" s="287" t="e">
        <f t="shared" si="21"/>
        <v>#VALUE!</v>
      </c>
      <c r="K71" s="287" t="e">
        <f t="shared" si="22"/>
        <v>#VALUE!</v>
      </c>
      <c r="L71" s="287" t="e">
        <f t="shared" si="23"/>
        <v>#VALUE!</v>
      </c>
      <c r="M71" s="287" t="e">
        <f t="shared" si="24"/>
        <v>#VALUE!</v>
      </c>
      <c r="N71" s="287" t="e">
        <f t="shared" si="25"/>
        <v>#VALUE!</v>
      </c>
      <c r="O71" s="287" t="e">
        <f t="shared" si="26"/>
        <v>#VALUE!</v>
      </c>
      <c r="P71" s="288">
        <f t="shared" si="27"/>
        <v>1.9504298013980615E-3</v>
      </c>
      <c r="Q71" s="282" t="e">
        <f t="shared" si="28"/>
        <v>#VALUE!</v>
      </c>
      <c r="R71" s="282" t="e">
        <f t="shared" si="29"/>
        <v>#VALUE!</v>
      </c>
      <c r="S71" s="274">
        <v>2.4243616928518001E-3</v>
      </c>
      <c r="T71" s="274">
        <v>2.7025585856042598E-3</v>
      </c>
      <c r="U71" s="282">
        <v>10262268</v>
      </c>
    </row>
    <row r="72" spans="1:21" x14ac:dyDescent="0.25">
      <c r="A72" s="283">
        <v>61</v>
      </c>
      <c r="B72" s="284" t="s">
        <v>135</v>
      </c>
      <c r="C72" s="285">
        <v>20670191</v>
      </c>
      <c r="D72" s="286" t="e">
        <f t="shared" si="16"/>
        <v>#VALUE!</v>
      </c>
      <c r="E72" s="285" t="e">
        <f t="shared" si="17"/>
        <v>#VALUE!</v>
      </c>
      <c r="F72" s="287" t="e">
        <f t="shared" si="30"/>
        <v>#VALUE!</v>
      </c>
      <c r="G72" s="287" t="e">
        <f t="shared" si="18"/>
        <v>#VALUE!</v>
      </c>
      <c r="H72" s="287" t="e">
        <f t="shared" si="19"/>
        <v>#VALUE!</v>
      </c>
      <c r="I72" s="287" t="e">
        <f t="shared" si="20"/>
        <v>#VALUE!</v>
      </c>
      <c r="J72" s="287" t="e">
        <f t="shared" si="21"/>
        <v>#VALUE!</v>
      </c>
      <c r="K72" s="287" t="e">
        <f t="shared" si="22"/>
        <v>#VALUE!</v>
      </c>
      <c r="L72" s="287" t="e">
        <f t="shared" si="23"/>
        <v>#VALUE!</v>
      </c>
      <c r="M72" s="287" t="e">
        <f t="shared" si="24"/>
        <v>#VALUE!</v>
      </c>
      <c r="N72" s="287" t="e">
        <f t="shared" si="25"/>
        <v>#VALUE!</v>
      </c>
      <c r="O72" s="287" t="e">
        <f t="shared" si="26"/>
        <v>#VALUE!</v>
      </c>
      <c r="P72" s="288">
        <f t="shared" si="27"/>
        <v>1.106835000724515E-2</v>
      </c>
      <c r="Q72" s="282" t="e">
        <f t="shared" si="28"/>
        <v>#VALUE!</v>
      </c>
      <c r="R72" s="282" t="e">
        <f t="shared" si="29"/>
        <v>#VALUE!</v>
      </c>
      <c r="S72" s="274">
        <v>1.0869806358127799E-2</v>
      </c>
      <c r="T72" s="274">
        <v>1.24352500069292E-2</v>
      </c>
      <c r="U72" s="282">
        <v>45474316</v>
      </c>
    </row>
    <row r="73" spans="1:21" x14ac:dyDescent="0.25">
      <c r="A73" s="283">
        <v>62</v>
      </c>
      <c r="B73" s="284" t="s">
        <v>113</v>
      </c>
      <c r="C73" s="285">
        <v>8753628</v>
      </c>
      <c r="D73" s="286" t="e">
        <f t="shared" si="16"/>
        <v>#VALUE!</v>
      </c>
      <c r="E73" s="285" t="e">
        <f t="shared" si="17"/>
        <v>#VALUE!</v>
      </c>
      <c r="F73" s="287" t="e">
        <f t="shared" si="30"/>
        <v>#VALUE!</v>
      </c>
      <c r="G73" s="287" t="e">
        <f t="shared" si="18"/>
        <v>#VALUE!</v>
      </c>
      <c r="H73" s="287" t="e">
        <f t="shared" si="19"/>
        <v>#VALUE!</v>
      </c>
      <c r="I73" s="287" t="e">
        <f t="shared" si="20"/>
        <v>#VALUE!</v>
      </c>
      <c r="J73" s="287" t="e">
        <f t="shared" si="21"/>
        <v>#VALUE!</v>
      </c>
      <c r="K73" s="287" t="e">
        <f t="shared" si="22"/>
        <v>#VALUE!</v>
      </c>
      <c r="L73" s="287" t="e">
        <f t="shared" si="23"/>
        <v>#VALUE!</v>
      </c>
      <c r="M73" s="287" t="e">
        <f t="shared" si="24"/>
        <v>#VALUE!</v>
      </c>
      <c r="N73" s="287" t="e">
        <f t="shared" si="25"/>
        <v>#VALUE!</v>
      </c>
      <c r="O73" s="287" t="e">
        <f t="shared" si="26"/>
        <v>#VALUE!</v>
      </c>
      <c r="P73" s="288">
        <f t="shared" si="27"/>
        <v>4.6873402639202198E-3</v>
      </c>
      <c r="Q73" s="282" t="e">
        <f t="shared" si="28"/>
        <v>#VALUE!</v>
      </c>
      <c r="R73" s="282" t="e">
        <f t="shared" si="29"/>
        <v>#VALUE!</v>
      </c>
      <c r="S73" s="274">
        <v>5.0705542119017597E-3</v>
      </c>
      <c r="T73" s="274">
        <v>6.0469399862628096E-3</v>
      </c>
      <c r="U73" s="282">
        <v>22692224</v>
      </c>
    </row>
    <row r="74" spans="1:21" x14ac:dyDescent="0.25">
      <c r="A74" s="283">
        <v>63</v>
      </c>
      <c r="B74" s="284" t="s">
        <v>123</v>
      </c>
      <c r="C74" s="285">
        <v>19492823</v>
      </c>
      <c r="D74" s="286" t="e">
        <f t="shared" si="16"/>
        <v>#VALUE!</v>
      </c>
      <c r="E74" s="285" t="e">
        <f t="shared" si="17"/>
        <v>#VALUE!</v>
      </c>
      <c r="F74" s="287" t="e">
        <f t="shared" si="30"/>
        <v>#VALUE!</v>
      </c>
      <c r="G74" s="287" t="e">
        <f t="shared" si="18"/>
        <v>#VALUE!</v>
      </c>
      <c r="H74" s="287" t="e">
        <f t="shared" si="19"/>
        <v>#VALUE!</v>
      </c>
      <c r="I74" s="287" t="e">
        <f t="shared" si="20"/>
        <v>#VALUE!</v>
      </c>
      <c r="J74" s="287" t="e">
        <f t="shared" si="21"/>
        <v>#VALUE!</v>
      </c>
      <c r="K74" s="287" t="e">
        <f t="shared" si="22"/>
        <v>#VALUE!</v>
      </c>
      <c r="L74" s="287" t="e">
        <f t="shared" si="23"/>
        <v>#VALUE!</v>
      </c>
      <c r="M74" s="287" t="e">
        <f t="shared" si="24"/>
        <v>#VALUE!</v>
      </c>
      <c r="N74" s="287" t="e">
        <f t="shared" si="25"/>
        <v>#VALUE!</v>
      </c>
      <c r="O74" s="287" t="e">
        <f t="shared" si="26"/>
        <v>#VALUE!</v>
      </c>
      <c r="P74" s="288">
        <f t="shared" si="27"/>
        <v>1.0437900046171728E-2</v>
      </c>
      <c r="Q74" s="282" t="e">
        <f t="shared" si="28"/>
        <v>#VALUE!</v>
      </c>
      <c r="R74" s="282" t="e">
        <f t="shared" si="29"/>
        <v>#VALUE!</v>
      </c>
      <c r="S74" s="274">
        <v>8.5801024127984907E-3</v>
      </c>
      <c r="T74" s="274">
        <v>8.1268525445037498E-3</v>
      </c>
      <c r="U74" s="282">
        <v>27048002</v>
      </c>
    </row>
    <row r="75" spans="1:21" x14ac:dyDescent="0.25">
      <c r="A75" s="283">
        <v>64</v>
      </c>
      <c r="B75" s="284" t="s">
        <v>74</v>
      </c>
      <c r="C75" s="285">
        <v>20911659</v>
      </c>
      <c r="D75" s="286" t="e">
        <f t="shared" si="16"/>
        <v>#VALUE!</v>
      </c>
      <c r="E75" s="285" t="e">
        <f t="shared" si="17"/>
        <v>#VALUE!</v>
      </c>
      <c r="F75" s="287" t="e">
        <f t="shared" si="30"/>
        <v>#VALUE!</v>
      </c>
      <c r="G75" s="287" t="e">
        <f t="shared" si="18"/>
        <v>#VALUE!</v>
      </c>
      <c r="H75" s="287" t="e">
        <f t="shared" si="19"/>
        <v>#VALUE!</v>
      </c>
      <c r="I75" s="287" t="e">
        <f t="shared" si="20"/>
        <v>#VALUE!</v>
      </c>
      <c r="J75" s="287" t="e">
        <f t="shared" si="21"/>
        <v>#VALUE!</v>
      </c>
      <c r="K75" s="287" t="e">
        <f t="shared" si="22"/>
        <v>#VALUE!</v>
      </c>
      <c r="L75" s="287" t="e">
        <f t="shared" si="23"/>
        <v>#VALUE!</v>
      </c>
      <c r="M75" s="287" t="e">
        <f t="shared" si="24"/>
        <v>#VALUE!</v>
      </c>
      <c r="N75" s="287" t="e">
        <f t="shared" si="25"/>
        <v>#VALUE!</v>
      </c>
      <c r="O75" s="287" t="e">
        <f t="shared" si="26"/>
        <v>#VALUE!</v>
      </c>
      <c r="P75" s="288">
        <f t="shared" si="27"/>
        <v>1.1197649844849432E-2</v>
      </c>
      <c r="Q75" s="282" t="e">
        <f t="shared" si="28"/>
        <v>#VALUE!</v>
      </c>
      <c r="R75" s="282" t="e">
        <f t="shared" si="29"/>
        <v>#VALUE!</v>
      </c>
      <c r="S75" s="274">
        <v>1.0754396790765E-2</v>
      </c>
      <c r="T75" s="274">
        <v>1.02945098473566E-2</v>
      </c>
      <c r="U75" s="282">
        <v>35949828</v>
      </c>
    </row>
    <row r="76" spans="1:21" x14ac:dyDescent="0.25">
      <c r="A76" s="283">
        <v>65</v>
      </c>
      <c r="B76" s="284" t="s">
        <v>89</v>
      </c>
      <c r="C76" s="285">
        <v>23469617</v>
      </c>
      <c r="D76" s="286" t="e">
        <f t="shared" ref="D76:D107" si="31">R76</f>
        <v>#VALUE!</v>
      </c>
      <c r="E76" s="285" t="e">
        <f t="shared" ref="E76:E107" si="32">C76+D76</f>
        <v>#VALUE!</v>
      </c>
      <c r="F76" s="287" t="e">
        <f t="shared" si="30"/>
        <v>#VALUE!</v>
      </c>
      <c r="G76" s="287" t="e">
        <f t="shared" ref="G76:G107" si="33">E76/10</f>
        <v>#VALUE!</v>
      </c>
      <c r="H76" s="287" t="e">
        <f t="shared" ref="H76:H107" si="34">E76/10</f>
        <v>#VALUE!</v>
      </c>
      <c r="I76" s="287" t="e">
        <f t="shared" ref="I76:I107" si="35">E76/10</f>
        <v>#VALUE!</v>
      </c>
      <c r="J76" s="287" t="e">
        <f t="shared" ref="J76:J107" si="36">E76/10</f>
        <v>#VALUE!</v>
      </c>
      <c r="K76" s="287" t="e">
        <f t="shared" ref="K76:K107" si="37">E76/10</f>
        <v>#VALUE!</v>
      </c>
      <c r="L76" s="287" t="e">
        <f t="shared" ref="L76:L107" si="38">E76/10</f>
        <v>#VALUE!</v>
      </c>
      <c r="M76" s="287" t="e">
        <f t="shared" ref="M76:M107" si="39">E76/10</f>
        <v>#VALUE!</v>
      </c>
      <c r="N76" s="287" t="e">
        <f t="shared" ref="N76:N107" si="40">E76/10</f>
        <v>#VALUE!</v>
      </c>
      <c r="O76" s="287" t="e">
        <f t="shared" ref="O76:O107" si="41">E76/10</f>
        <v>#VALUE!</v>
      </c>
      <c r="P76" s="288">
        <f t="shared" ref="P76:P107" si="42">C76/$C$11</f>
        <v>1.2567369865715846E-2</v>
      </c>
      <c r="Q76" s="282" t="e">
        <f t="shared" ref="Q76:Q107" si="43">$Q$11*T76</f>
        <v>#VALUE!</v>
      </c>
      <c r="R76" s="282" t="e">
        <f t="shared" ref="R76:R107" si="44">$R$11*P76</f>
        <v>#VALUE!</v>
      </c>
      <c r="S76" s="274">
        <v>1.4048829628564E-2</v>
      </c>
      <c r="T76" s="274">
        <v>1.37423771159218E-2</v>
      </c>
      <c r="U76" s="282">
        <v>49974617</v>
      </c>
    </row>
    <row r="77" spans="1:21" x14ac:dyDescent="0.25">
      <c r="A77" s="283">
        <v>66</v>
      </c>
      <c r="B77" s="284" t="s">
        <v>118</v>
      </c>
      <c r="C77" s="285">
        <v>40708250</v>
      </c>
      <c r="D77" s="286" t="e">
        <f t="shared" si="31"/>
        <v>#VALUE!</v>
      </c>
      <c r="E77" s="285" t="e">
        <f t="shared" si="32"/>
        <v>#VALUE!</v>
      </c>
      <c r="F77" s="287" t="e">
        <f t="shared" ref="F77:F108" si="45">E77/10</f>
        <v>#VALUE!</v>
      </c>
      <c r="G77" s="287" t="e">
        <f t="shared" si="33"/>
        <v>#VALUE!</v>
      </c>
      <c r="H77" s="287" t="e">
        <f t="shared" si="34"/>
        <v>#VALUE!</v>
      </c>
      <c r="I77" s="287" t="e">
        <f t="shared" si="35"/>
        <v>#VALUE!</v>
      </c>
      <c r="J77" s="287" t="e">
        <f t="shared" si="36"/>
        <v>#VALUE!</v>
      </c>
      <c r="K77" s="287" t="e">
        <f t="shared" si="37"/>
        <v>#VALUE!</v>
      </c>
      <c r="L77" s="287" t="e">
        <f t="shared" si="38"/>
        <v>#VALUE!</v>
      </c>
      <c r="M77" s="287" t="e">
        <f t="shared" si="39"/>
        <v>#VALUE!</v>
      </c>
      <c r="N77" s="287" t="e">
        <f t="shared" si="40"/>
        <v>#VALUE!</v>
      </c>
      <c r="O77" s="287" t="e">
        <f t="shared" si="41"/>
        <v>#VALUE!</v>
      </c>
      <c r="P77" s="288">
        <f t="shared" si="42"/>
        <v>2.1798209759282698E-2</v>
      </c>
      <c r="Q77" s="282" t="e">
        <f t="shared" si="43"/>
        <v>#VALUE!</v>
      </c>
      <c r="R77" s="282" t="e">
        <f t="shared" si="44"/>
        <v>#VALUE!</v>
      </c>
      <c r="S77" s="274">
        <v>2.1819763730021698E-2</v>
      </c>
      <c r="T77" s="274">
        <v>2.3479527437129701E-2</v>
      </c>
      <c r="U77" s="282">
        <v>85112155</v>
      </c>
    </row>
    <row r="78" spans="1:21" x14ac:dyDescent="0.25">
      <c r="A78" s="283">
        <v>67</v>
      </c>
      <c r="B78" s="284" t="s">
        <v>120</v>
      </c>
      <c r="C78" s="285">
        <v>16153819</v>
      </c>
      <c r="D78" s="286" t="e">
        <f t="shared" si="31"/>
        <v>#VALUE!</v>
      </c>
      <c r="E78" s="285" t="e">
        <f t="shared" si="32"/>
        <v>#VALUE!</v>
      </c>
      <c r="F78" s="287" t="e">
        <f t="shared" si="45"/>
        <v>#VALUE!</v>
      </c>
      <c r="G78" s="287" t="e">
        <f t="shared" si="33"/>
        <v>#VALUE!</v>
      </c>
      <c r="H78" s="287" t="e">
        <f t="shared" si="34"/>
        <v>#VALUE!</v>
      </c>
      <c r="I78" s="287" t="e">
        <f t="shared" si="35"/>
        <v>#VALUE!</v>
      </c>
      <c r="J78" s="287" t="e">
        <f t="shared" si="36"/>
        <v>#VALUE!</v>
      </c>
      <c r="K78" s="287" t="e">
        <f t="shared" si="37"/>
        <v>#VALUE!</v>
      </c>
      <c r="L78" s="287" t="e">
        <f t="shared" si="38"/>
        <v>#VALUE!</v>
      </c>
      <c r="M78" s="287" t="e">
        <f t="shared" si="39"/>
        <v>#VALUE!</v>
      </c>
      <c r="N78" s="287" t="e">
        <f t="shared" si="40"/>
        <v>#VALUE!</v>
      </c>
      <c r="O78" s="287" t="e">
        <f t="shared" si="41"/>
        <v>#VALUE!</v>
      </c>
      <c r="P78" s="288">
        <f t="shared" si="42"/>
        <v>8.6499501937687389E-3</v>
      </c>
      <c r="Q78" s="282" t="e">
        <f t="shared" si="43"/>
        <v>#VALUE!</v>
      </c>
      <c r="R78" s="282" t="e">
        <f t="shared" si="44"/>
        <v>#VALUE!</v>
      </c>
      <c r="S78" s="274">
        <v>7.3394514451437598E-3</v>
      </c>
      <c r="T78" s="274">
        <v>7.1887096759302004E-3</v>
      </c>
      <c r="U78" s="282">
        <v>24411630</v>
      </c>
    </row>
    <row r="79" spans="1:21" x14ac:dyDescent="0.25">
      <c r="A79" s="283">
        <v>68</v>
      </c>
      <c r="B79" s="284" t="s">
        <v>144</v>
      </c>
      <c r="C79" s="285">
        <v>2972899</v>
      </c>
      <c r="D79" s="286" t="e">
        <f t="shared" si="31"/>
        <v>#VALUE!</v>
      </c>
      <c r="E79" s="285" t="e">
        <f t="shared" si="32"/>
        <v>#VALUE!</v>
      </c>
      <c r="F79" s="287" t="e">
        <f t="shared" si="45"/>
        <v>#VALUE!</v>
      </c>
      <c r="G79" s="287" t="e">
        <f t="shared" si="33"/>
        <v>#VALUE!</v>
      </c>
      <c r="H79" s="287" t="e">
        <f t="shared" si="34"/>
        <v>#VALUE!</v>
      </c>
      <c r="I79" s="287" t="e">
        <f t="shared" si="35"/>
        <v>#VALUE!</v>
      </c>
      <c r="J79" s="287" t="e">
        <f t="shared" si="36"/>
        <v>#VALUE!</v>
      </c>
      <c r="K79" s="287" t="e">
        <f t="shared" si="37"/>
        <v>#VALUE!</v>
      </c>
      <c r="L79" s="287" t="e">
        <f t="shared" si="38"/>
        <v>#VALUE!</v>
      </c>
      <c r="M79" s="287" t="e">
        <f t="shared" si="39"/>
        <v>#VALUE!</v>
      </c>
      <c r="N79" s="287" t="e">
        <f t="shared" si="40"/>
        <v>#VALUE!</v>
      </c>
      <c r="O79" s="287" t="e">
        <f t="shared" si="41"/>
        <v>#VALUE!</v>
      </c>
      <c r="P79" s="288">
        <f t="shared" si="42"/>
        <v>1.5919101409459207E-3</v>
      </c>
      <c r="Q79" s="282" t="e">
        <f t="shared" si="43"/>
        <v>#VALUE!</v>
      </c>
      <c r="R79" s="282" t="e">
        <f t="shared" si="44"/>
        <v>#VALUE!</v>
      </c>
      <c r="S79" s="274">
        <v>2.8223622536490901E-3</v>
      </c>
      <c r="T79" s="274">
        <v>2.5116426377261099E-3</v>
      </c>
      <c r="U79" s="282">
        <v>9721308</v>
      </c>
    </row>
    <row r="80" spans="1:21" x14ac:dyDescent="0.25">
      <c r="A80" s="283">
        <v>69</v>
      </c>
      <c r="B80" s="284" t="s">
        <v>84</v>
      </c>
      <c r="C80" s="285">
        <v>15449247</v>
      </c>
      <c r="D80" s="286" t="e">
        <f t="shared" si="31"/>
        <v>#VALUE!</v>
      </c>
      <c r="E80" s="285" t="e">
        <f t="shared" si="32"/>
        <v>#VALUE!</v>
      </c>
      <c r="F80" s="287" t="e">
        <f t="shared" si="45"/>
        <v>#VALUE!</v>
      </c>
      <c r="G80" s="287" t="e">
        <f t="shared" si="33"/>
        <v>#VALUE!</v>
      </c>
      <c r="H80" s="287" t="e">
        <f t="shared" si="34"/>
        <v>#VALUE!</v>
      </c>
      <c r="I80" s="287" t="e">
        <f t="shared" si="35"/>
        <v>#VALUE!</v>
      </c>
      <c r="J80" s="287" t="e">
        <f t="shared" si="36"/>
        <v>#VALUE!</v>
      </c>
      <c r="K80" s="287" t="e">
        <f t="shared" si="37"/>
        <v>#VALUE!</v>
      </c>
      <c r="L80" s="287" t="e">
        <f t="shared" si="38"/>
        <v>#VALUE!</v>
      </c>
      <c r="M80" s="287" t="e">
        <f t="shared" si="39"/>
        <v>#VALUE!</v>
      </c>
      <c r="N80" s="287" t="e">
        <f t="shared" si="40"/>
        <v>#VALUE!</v>
      </c>
      <c r="O80" s="287" t="e">
        <f t="shared" si="41"/>
        <v>#VALUE!</v>
      </c>
      <c r="P80" s="288">
        <f t="shared" si="42"/>
        <v>8.272670201469455E-3</v>
      </c>
      <c r="Q80" s="282" t="e">
        <f t="shared" si="43"/>
        <v>#VALUE!</v>
      </c>
      <c r="R80" s="282" t="e">
        <f t="shared" si="44"/>
        <v>#VALUE!</v>
      </c>
      <c r="S80" s="274">
        <v>8.2907157882344696E-3</v>
      </c>
      <c r="T80" s="274">
        <v>8.3442259688207305E-3</v>
      </c>
      <c r="U80" s="282">
        <v>29809007</v>
      </c>
    </row>
    <row r="81" spans="1:21" x14ac:dyDescent="0.25">
      <c r="A81" s="283">
        <v>70</v>
      </c>
      <c r="B81" s="284" t="s">
        <v>53</v>
      </c>
      <c r="C81" s="285">
        <v>2576484</v>
      </c>
      <c r="D81" s="286" t="e">
        <f t="shared" si="31"/>
        <v>#VALUE!</v>
      </c>
      <c r="E81" s="285" t="e">
        <f t="shared" si="32"/>
        <v>#VALUE!</v>
      </c>
      <c r="F81" s="287" t="e">
        <f t="shared" si="45"/>
        <v>#VALUE!</v>
      </c>
      <c r="G81" s="287" t="e">
        <f t="shared" si="33"/>
        <v>#VALUE!</v>
      </c>
      <c r="H81" s="287" t="e">
        <f t="shared" si="34"/>
        <v>#VALUE!</v>
      </c>
      <c r="I81" s="287" t="e">
        <f t="shared" si="35"/>
        <v>#VALUE!</v>
      </c>
      <c r="J81" s="287" t="e">
        <f t="shared" si="36"/>
        <v>#VALUE!</v>
      </c>
      <c r="K81" s="287" t="e">
        <f t="shared" si="37"/>
        <v>#VALUE!</v>
      </c>
      <c r="L81" s="287" t="e">
        <f t="shared" si="38"/>
        <v>#VALUE!</v>
      </c>
      <c r="M81" s="287" t="e">
        <f t="shared" si="39"/>
        <v>#VALUE!</v>
      </c>
      <c r="N81" s="287" t="e">
        <f t="shared" si="40"/>
        <v>#VALUE!</v>
      </c>
      <c r="O81" s="287" t="e">
        <f t="shared" si="41"/>
        <v>#VALUE!</v>
      </c>
      <c r="P81" s="288">
        <f t="shared" si="42"/>
        <v>1.379640212326389E-3</v>
      </c>
      <c r="Q81" s="282" t="e">
        <f t="shared" si="43"/>
        <v>#VALUE!</v>
      </c>
      <c r="R81" s="282" t="e">
        <f t="shared" si="44"/>
        <v>#VALUE!</v>
      </c>
      <c r="S81" s="274">
        <v>2.0854430061446002E-3</v>
      </c>
      <c r="T81" s="274">
        <v>1.9499159477808299E-3</v>
      </c>
      <c r="U81" s="282">
        <v>7427316</v>
      </c>
    </row>
    <row r="82" spans="1:21" x14ac:dyDescent="0.25">
      <c r="A82" s="283">
        <v>71</v>
      </c>
      <c r="B82" s="284" t="s">
        <v>143</v>
      </c>
      <c r="C82" s="285">
        <v>59436965</v>
      </c>
      <c r="D82" s="286" t="e">
        <f t="shared" si="31"/>
        <v>#VALUE!</v>
      </c>
      <c r="E82" s="285" t="e">
        <f t="shared" si="32"/>
        <v>#VALUE!</v>
      </c>
      <c r="F82" s="287" t="e">
        <f t="shared" si="45"/>
        <v>#VALUE!</v>
      </c>
      <c r="G82" s="287" t="e">
        <f t="shared" si="33"/>
        <v>#VALUE!</v>
      </c>
      <c r="H82" s="287" t="e">
        <f t="shared" si="34"/>
        <v>#VALUE!</v>
      </c>
      <c r="I82" s="287" t="e">
        <f t="shared" si="35"/>
        <v>#VALUE!</v>
      </c>
      <c r="J82" s="287" t="e">
        <f t="shared" si="36"/>
        <v>#VALUE!</v>
      </c>
      <c r="K82" s="287" t="e">
        <f t="shared" si="37"/>
        <v>#VALUE!</v>
      </c>
      <c r="L82" s="287" t="e">
        <f t="shared" si="38"/>
        <v>#VALUE!</v>
      </c>
      <c r="M82" s="287" t="e">
        <f t="shared" si="39"/>
        <v>#VALUE!</v>
      </c>
      <c r="N82" s="287" t="e">
        <f t="shared" si="40"/>
        <v>#VALUE!</v>
      </c>
      <c r="O82" s="287" t="e">
        <f t="shared" si="41"/>
        <v>#VALUE!</v>
      </c>
      <c r="P82" s="288">
        <f t="shared" si="42"/>
        <v>3.1826949832654175E-2</v>
      </c>
      <c r="Q82" s="282" t="e">
        <f t="shared" si="43"/>
        <v>#VALUE!</v>
      </c>
      <c r="R82" s="282" t="e">
        <f t="shared" si="44"/>
        <v>#VALUE!</v>
      </c>
      <c r="S82" s="274">
        <v>2.5712704240745801E-2</v>
      </c>
      <c r="T82" s="274">
        <v>2.35696142467712E-2</v>
      </c>
      <c r="U82" s="282">
        <v>77149001</v>
      </c>
    </row>
    <row r="83" spans="1:21" x14ac:dyDescent="0.25">
      <c r="A83" s="283">
        <v>72</v>
      </c>
      <c r="B83" s="284" t="s">
        <v>132</v>
      </c>
      <c r="C83" s="285">
        <v>11212066</v>
      </c>
      <c r="D83" s="286" t="e">
        <f t="shared" si="31"/>
        <v>#VALUE!</v>
      </c>
      <c r="E83" s="285" t="e">
        <f t="shared" si="32"/>
        <v>#VALUE!</v>
      </c>
      <c r="F83" s="287" t="e">
        <f t="shared" si="45"/>
        <v>#VALUE!</v>
      </c>
      <c r="G83" s="287" t="e">
        <f t="shared" si="33"/>
        <v>#VALUE!</v>
      </c>
      <c r="H83" s="287" t="e">
        <f t="shared" si="34"/>
        <v>#VALUE!</v>
      </c>
      <c r="I83" s="287" t="e">
        <f t="shared" si="35"/>
        <v>#VALUE!</v>
      </c>
      <c r="J83" s="287" t="e">
        <f t="shared" si="36"/>
        <v>#VALUE!</v>
      </c>
      <c r="K83" s="287" t="e">
        <f t="shared" si="37"/>
        <v>#VALUE!</v>
      </c>
      <c r="L83" s="287" t="e">
        <f t="shared" si="38"/>
        <v>#VALUE!</v>
      </c>
      <c r="M83" s="287" t="e">
        <f t="shared" si="39"/>
        <v>#VALUE!</v>
      </c>
      <c r="N83" s="287" t="e">
        <f t="shared" si="40"/>
        <v>#VALUE!</v>
      </c>
      <c r="O83" s="287" t="e">
        <f t="shared" si="41"/>
        <v>#VALUE!</v>
      </c>
      <c r="P83" s="288">
        <f t="shared" si="42"/>
        <v>6.0037699115761973E-3</v>
      </c>
      <c r="Q83" s="282" t="e">
        <f t="shared" si="43"/>
        <v>#VALUE!</v>
      </c>
      <c r="R83" s="282" t="e">
        <f t="shared" si="44"/>
        <v>#VALUE!</v>
      </c>
      <c r="S83" s="274">
        <v>5.48328834756739E-3</v>
      </c>
      <c r="T83" s="274">
        <v>5.2800351818347198E-3</v>
      </c>
      <c r="U83" s="282">
        <v>18221449</v>
      </c>
    </row>
    <row r="84" spans="1:21" x14ac:dyDescent="0.25">
      <c r="A84" s="283">
        <v>73</v>
      </c>
      <c r="B84" s="284" t="s">
        <v>85</v>
      </c>
      <c r="C84" s="285">
        <v>11151708</v>
      </c>
      <c r="D84" s="286" t="e">
        <f t="shared" si="31"/>
        <v>#VALUE!</v>
      </c>
      <c r="E84" s="285" t="e">
        <f t="shared" si="32"/>
        <v>#VALUE!</v>
      </c>
      <c r="F84" s="287" t="e">
        <f t="shared" si="45"/>
        <v>#VALUE!</v>
      </c>
      <c r="G84" s="287" t="e">
        <f t="shared" si="33"/>
        <v>#VALUE!</v>
      </c>
      <c r="H84" s="287" t="e">
        <f t="shared" si="34"/>
        <v>#VALUE!</v>
      </c>
      <c r="I84" s="287" t="e">
        <f t="shared" si="35"/>
        <v>#VALUE!</v>
      </c>
      <c r="J84" s="287" t="e">
        <f t="shared" si="36"/>
        <v>#VALUE!</v>
      </c>
      <c r="K84" s="287" t="e">
        <f t="shared" si="37"/>
        <v>#VALUE!</v>
      </c>
      <c r="L84" s="287" t="e">
        <f t="shared" si="38"/>
        <v>#VALUE!</v>
      </c>
      <c r="M84" s="287" t="e">
        <f t="shared" si="39"/>
        <v>#VALUE!</v>
      </c>
      <c r="N84" s="287" t="e">
        <f t="shared" si="40"/>
        <v>#VALUE!</v>
      </c>
      <c r="O84" s="287" t="e">
        <f t="shared" si="41"/>
        <v>#VALUE!</v>
      </c>
      <c r="P84" s="288">
        <f t="shared" si="42"/>
        <v>5.9714497714411932E-3</v>
      </c>
      <c r="Q84" s="282" t="e">
        <f t="shared" si="43"/>
        <v>#VALUE!</v>
      </c>
      <c r="R84" s="282" t="e">
        <f t="shared" si="44"/>
        <v>#VALUE!</v>
      </c>
      <c r="S84" s="274">
        <v>6.8539640051001102E-3</v>
      </c>
      <c r="T84" s="274">
        <v>6.84037920707315E-3</v>
      </c>
      <c r="U84" s="282">
        <v>25112046</v>
      </c>
    </row>
    <row r="85" spans="1:21" x14ac:dyDescent="0.25">
      <c r="A85" s="283">
        <v>74</v>
      </c>
      <c r="B85" s="284" t="s">
        <v>427</v>
      </c>
      <c r="C85" s="285">
        <v>4508996</v>
      </c>
      <c r="D85" s="286" t="e">
        <f t="shared" si="31"/>
        <v>#VALUE!</v>
      </c>
      <c r="E85" s="285" t="e">
        <f t="shared" si="32"/>
        <v>#VALUE!</v>
      </c>
      <c r="F85" s="287" t="e">
        <f t="shared" si="45"/>
        <v>#VALUE!</v>
      </c>
      <c r="G85" s="287" t="e">
        <f t="shared" si="33"/>
        <v>#VALUE!</v>
      </c>
      <c r="H85" s="287" t="e">
        <f t="shared" si="34"/>
        <v>#VALUE!</v>
      </c>
      <c r="I85" s="287" t="e">
        <f t="shared" si="35"/>
        <v>#VALUE!</v>
      </c>
      <c r="J85" s="287" t="e">
        <f t="shared" si="36"/>
        <v>#VALUE!</v>
      </c>
      <c r="K85" s="287" t="e">
        <f t="shared" si="37"/>
        <v>#VALUE!</v>
      </c>
      <c r="L85" s="287" t="e">
        <f t="shared" si="38"/>
        <v>#VALUE!</v>
      </c>
      <c r="M85" s="287" t="e">
        <f t="shared" si="39"/>
        <v>#VALUE!</v>
      </c>
      <c r="N85" s="287" t="e">
        <f t="shared" si="40"/>
        <v>#VALUE!</v>
      </c>
      <c r="O85" s="287" t="e">
        <f t="shared" si="41"/>
        <v>#VALUE!</v>
      </c>
      <c r="P85" s="288">
        <f t="shared" si="42"/>
        <v>2.4144501571982742E-3</v>
      </c>
      <c r="Q85" s="282" t="e">
        <f t="shared" si="43"/>
        <v>#VALUE!</v>
      </c>
      <c r="R85" s="282" t="e">
        <f t="shared" si="44"/>
        <v>#VALUE!</v>
      </c>
      <c r="S85" s="274">
        <v>2.8540135731560598E-3</v>
      </c>
      <c r="T85" s="274">
        <v>2.7433725951595401E-3</v>
      </c>
      <c r="U85" s="282">
        <v>10055019</v>
      </c>
    </row>
    <row r="86" spans="1:21" x14ac:dyDescent="0.25">
      <c r="A86" s="283">
        <v>75</v>
      </c>
      <c r="B86" s="284" t="s">
        <v>146</v>
      </c>
      <c r="C86" s="285">
        <v>20307447</v>
      </c>
      <c r="D86" s="286" t="e">
        <f t="shared" si="31"/>
        <v>#VALUE!</v>
      </c>
      <c r="E86" s="285" t="e">
        <f t="shared" si="32"/>
        <v>#VALUE!</v>
      </c>
      <c r="F86" s="287" t="e">
        <f t="shared" si="45"/>
        <v>#VALUE!</v>
      </c>
      <c r="G86" s="287" t="e">
        <f t="shared" si="33"/>
        <v>#VALUE!</v>
      </c>
      <c r="H86" s="287" t="e">
        <f t="shared" si="34"/>
        <v>#VALUE!</v>
      </c>
      <c r="I86" s="287" t="e">
        <f t="shared" si="35"/>
        <v>#VALUE!</v>
      </c>
      <c r="J86" s="287" t="e">
        <f t="shared" si="36"/>
        <v>#VALUE!</v>
      </c>
      <c r="K86" s="287" t="e">
        <f t="shared" si="37"/>
        <v>#VALUE!</v>
      </c>
      <c r="L86" s="287" t="e">
        <f t="shared" si="38"/>
        <v>#VALUE!</v>
      </c>
      <c r="M86" s="287" t="e">
        <f t="shared" si="39"/>
        <v>#VALUE!</v>
      </c>
      <c r="N86" s="287" t="e">
        <f t="shared" si="40"/>
        <v>#VALUE!</v>
      </c>
      <c r="O86" s="287" t="e">
        <f t="shared" si="41"/>
        <v>#VALUE!</v>
      </c>
      <c r="P86" s="288">
        <f t="shared" si="42"/>
        <v>1.0874110023926751E-2</v>
      </c>
      <c r="Q86" s="282" t="e">
        <f t="shared" si="43"/>
        <v>#VALUE!</v>
      </c>
      <c r="R86" s="282" t="e">
        <f t="shared" si="44"/>
        <v>#VALUE!</v>
      </c>
      <c r="S86" s="274">
        <v>1.17091917992971E-2</v>
      </c>
      <c r="T86" s="274">
        <v>1.16080634144432E-2</v>
      </c>
      <c r="U86" s="282">
        <v>41997586</v>
      </c>
    </row>
    <row r="87" spans="1:21" x14ac:dyDescent="0.25">
      <c r="A87" s="283">
        <v>76</v>
      </c>
      <c r="B87" s="284" t="s">
        <v>148</v>
      </c>
      <c r="C87" s="285">
        <v>8504801</v>
      </c>
      <c r="D87" s="286" t="e">
        <f t="shared" si="31"/>
        <v>#VALUE!</v>
      </c>
      <c r="E87" s="285" t="e">
        <f t="shared" si="32"/>
        <v>#VALUE!</v>
      </c>
      <c r="F87" s="287" t="e">
        <f t="shared" si="45"/>
        <v>#VALUE!</v>
      </c>
      <c r="G87" s="287" t="e">
        <f t="shared" si="33"/>
        <v>#VALUE!</v>
      </c>
      <c r="H87" s="287" t="e">
        <f t="shared" si="34"/>
        <v>#VALUE!</v>
      </c>
      <c r="I87" s="287" t="e">
        <f t="shared" si="35"/>
        <v>#VALUE!</v>
      </c>
      <c r="J87" s="287" t="e">
        <f t="shared" si="36"/>
        <v>#VALUE!</v>
      </c>
      <c r="K87" s="287" t="e">
        <f t="shared" si="37"/>
        <v>#VALUE!</v>
      </c>
      <c r="L87" s="287" t="e">
        <f t="shared" si="38"/>
        <v>#VALUE!</v>
      </c>
      <c r="M87" s="287" t="e">
        <f t="shared" si="39"/>
        <v>#VALUE!</v>
      </c>
      <c r="N87" s="287" t="e">
        <f t="shared" si="40"/>
        <v>#VALUE!</v>
      </c>
      <c r="O87" s="287" t="e">
        <f t="shared" si="41"/>
        <v>#VALUE!</v>
      </c>
      <c r="P87" s="288">
        <f t="shared" si="42"/>
        <v>4.554099873095927E-3</v>
      </c>
      <c r="Q87" s="282" t="e">
        <f t="shared" si="43"/>
        <v>#VALUE!</v>
      </c>
      <c r="R87" s="282" t="e">
        <f t="shared" si="44"/>
        <v>#VALUE!</v>
      </c>
      <c r="S87" s="274">
        <v>6.0772032104706702E-3</v>
      </c>
      <c r="T87" s="274">
        <v>6.8401493736524399E-3</v>
      </c>
      <c r="U87" s="282">
        <v>26292463</v>
      </c>
    </row>
    <row r="88" spans="1:21" x14ac:dyDescent="0.25">
      <c r="A88" s="283">
        <v>77</v>
      </c>
      <c r="B88" s="284" t="s">
        <v>45</v>
      </c>
      <c r="C88" s="285">
        <v>15971233</v>
      </c>
      <c r="D88" s="286" t="e">
        <f t="shared" si="31"/>
        <v>#VALUE!</v>
      </c>
      <c r="E88" s="285" t="e">
        <f t="shared" si="32"/>
        <v>#VALUE!</v>
      </c>
      <c r="F88" s="287" t="e">
        <f t="shared" si="45"/>
        <v>#VALUE!</v>
      </c>
      <c r="G88" s="287" t="e">
        <f t="shared" si="33"/>
        <v>#VALUE!</v>
      </c>
      <c r="H88" s="287" t="e">
        <f t="shared" si="34"/>
        <v>#VALUE!</v>
      </c>
      <c r="I88" s="287" t="e">
        <f t="shared" si="35"/>
        <v>#VALUE!</v>
      </c>
      <c r="J88" s="287" t="e">
        <f t="shared" si="36"/>
        <v>#VALUE!</v>
      </c>
      <c r="K88" s="287" t="e">
        <f t="shared" si="37"/>
        <v>#VALUE!</v>
      </c>
      <c r="L88" s="287" t="e">
        <f t="shared" si="38"/>
        <v>#VALUE!</v>
      </c>
      <c r="M88" s="287" t="e">
        <f t="shared" si="39"/>
        <v>#VALUE!</v>
      </c>
      <c r="N88" s="287" t="e">
        <f t="shared" si="40"/>
        <v>#VALUE!</v>
      </c>
      <c r="O88" s="287" t="e">
        <f t="shared" si="41"/>
        <v>#VALUE!</v>
      </c>
      <c r="P88" s="288">
        <f t="shared" si="42"/>
        <v>8.5521801366646288E-3</v>
      </c>
      <c r="Q88" s="282" t="e">
        <f t="shared" si="43"/>
        <v>#VALUE!</v>
      </c>
      <c r="R88" s="282" t="e">
        <f t="shared" si="44"/>
        <v>#VALUE!</v>
      </c>
      <c r="S88" s="274">
        <v>8.24870872267661E-3</v>
      </c>
      <c r="T88" s="274">
        <v>7.7842685687707696E-3</v>
      </c>
      <c r="U88" s="282">
        <v>27112877</v>
      </c>
    </row>
    <row r="89" spans="1:21" x14ac:dyDescent="0.25">
      <c r="A89" s="283">
        <v>78</v>
      </c>
      <c r="B89" s="284" t="s">
        <v>349</v>
      </c>
      <c r="C89" s="285">
        <v>7955027</v>
      </c>
      <c r="D89" s="286" t="e">
        <f t="shared" si="31"/>
        <v>#VALUE!</v>
      </c>
      <c r="E89" s="285" t="e">
        <f t="shared" si="32"/>
        <v>#VALUE!</v>
      </c>
      <c r="F89" s="287" t="e">
        <f t="shared" si="45"/>
        <v>#VALUE!</v>
      </c>
      <c r="G89" s="287" t="e">
        <f t="shared" si="33"/>
        <v>#VALUE!</v>
      </c>
      <c r="H89" s="287" t="e">
        <f t="shared" si="34"/>
        <v>#VALUE!</v>
      </c>
      <c r="I89" s="287" t="e">
        <f t="shared" si="35"/>
        <v>#VALUE!</v>
      </c>
      <c r="J89" s="287" t="e">
        <f t="shared" si="36"/>
        <v>#VALUE!</v>
      </c>
      <c r="K89" s="287" t="e">
        <f t="shared" si="37"/>
        <v>#VALUE!</v>
      </c>
      <c r="L89" s="287" t="e">
        <f t="shared" si="38"/>
        <v>#VALUE!</v>
      </c>
      <c r="M89" s="287" t="e">
        <f t="shared" si="39"/>
        <v>#VALUE!</v>
      </c>
      <c r="N89" s="287" t="e">
        <f t="shared" si="40"/>
        <v>#VALUE!</v>
      </c>
      <c r="O89" s="287" t="e">
        <f t="shared" si="41"/>
        <v>#VALUE!</v>
      </c>
      <c r="P89" s="288">
        <f t="shared" si="42"/>
        <v>4.2597101861847992E-3</v>
      </c>
      <c r="Q89" s="282" t="e">
        <f t="shared" si="43"/>
        <v>#VALUE!</v>
      </c>
      <c r="R89" s="282" t="e">
        <f t="shared" si="44"/>
        <v>#VALUE!</v>
      </c>
      <c r="S89" s="274">
        <v>4.3964765554402301E-3</v>
      </c>
      <c r="T89" s="274">
        <v>4.0754170665099603E-3</v>
      </c>
      <c r="U89" s="282">
        <v>14376318</v>
      </c>
    </row>
    <row r="90" spans="1:21" x14ac:dyDescent="0.25">
      <c r="A90" s="283">
        <v>79</v>
      </c>
      <c r="B90" s="284" t="s">
        <v>138</v>
      </c>
      <c r="C90" s="285">
        <v>25444148</v>
      </c>
      <c r="D90" s="286" t="e">
        <f t="shared" si="31"/>
        <v>#VALUE!</v>
      </c>
      <c r="E90" s="285" t="e">
        <f t="shared" si="32"/>
        <v>#VALUE!</v>
      </c>
      <c r="F90" s="287" t="e">
        <f t="shared" si="45"/>
        <v>#VALUE!</v>
      </c>
      <c r="G90" s="287" t="e">
        <f t="shared" si="33"/>
        <v>#VALUE!</v>
      </c>
      <c r="H90" s="287" t="e">
        <f t="shared" si="34"/>
        <v>#VALUE!</v>
      </c>
      <c r="I90" s="287" t="e">
        <f t="shared" si="35"/>
        <v>#VALUE!</v>
      </c>
      <c r="J90" s="287" t="e">
        <f t="shared" si="36"/>
        <v>#VALUE!</v>
      </c>
      <c r="K90" s="287" t="e">
        <f t="shared" si="37"/>
        <v>#VALUE!</v>
      </c>
      <c r="L90" s="287" t="e">
        <f t="shared" si="38"/>
        <v>#VALUE!</v>
      </c>
      <c r="M90" s="287" t="e">
        <f t="shared" si="39"/>
        <v>#VALUE!</v>
      </c>
      <c r="N90" s="287" t="e">
        <f t="shared" si="40"/>
        <v>#VALUE!</v>
      </c>
      <c r="O90" s="287" t="e">
        <f t="shared" si="41"/>
        <v>#VALUE!</v>
      </c>
      <c r="P90" s="288">
        <f t="shared" si="42"/>
        <v>1.3624679892902135E-2</v>
      </c>
      <c r="Q90" s="282" t="e">
        <f t="shared" si="43"/>
        <v>#VALUE!</v>
      </c>
      <c r="R90" s="282" t="e">
        <f t="shared" si="44"/>
        <v>#VALUE!</v>
      </c>
      <c r="S90" s="274">
        <v>1.6308224496243699E-2</v>
      </c>
      <c r="T90" s="274">
        <v>1.47489738467138E-2</v>
      </c>
      <c r="U90" s="282">
        <v>53521127</v>
      </c>
    </row>
    <row r="91" spans="1:21" x14ac:dyDescent="0.25">
      <c r="A91" s="283">
        <v>80</v>
      </c>
      <c r="B91" s="284" t="s">
        <v>93</v>
      </c>
      <c r="C91" s="285">
        <v>17366931</v>
      </c>
      <c r="D91" s="286" t="e">
        <f t="shared" si="31"/>
        <v>#VALUE!</v>
      </c>
      <c r="E91" s="285" t="e">
        <f t="shared" si="32"/>
        <v>#VALUE!</v>
      </c>
      <c r="F91" s="287" t="e">
        <f t="shared" si="45"/>
        <v>#VALUE!</v>
      </c>
      <c r="G91" s="287" t="e">
        <f t="shared" si="33"/>
        <v>#VALUE!</v>
      </c>
      <c r="H91" s="287" t="e">
        <f t="shared" si="34"/>
        <v>#VALUE!</v>
      </c>
      <c r="I91" s="287" t="e">
        <f t="shared" si="35"/>
        <v>#VALUE!</v>
      </c>
      <c r="J91" s="287" t="e">
        <f t="shared" si="36"/>
        <v>#VALUE!</v>
      </c>
      <c r="K91" s="287" t="e">
        <f t="shared" si="37"/>
        <v>#VALUE!</v>
      </c>
      <c r="L91" s="287" t="e">
        <f t="shared" si="38"/>
        <v>#VALUE!</v>
      </c>
      <c r="M91" s="287" t="e">
        <f t="shared" si="39"/>
        <v>#VALUE!</v>
      </c>
      <c r="N91" s="287" t="e">
        <f t="shared" si="40"/>
        <v>#VALUE!</v>
      </c>
      <c r="O91" s="287" t="e">
        <f t="shared" si="41"/>
        <v>#VALUE!</v>
      </c>
      <c r="P91" s="288">
        <f t="shared" si="42"/>
        <v>9.2995401377605098E-3</v>
      </c>
      <c r="Q91" s="282" t="e">
        <f t="shared" si="43"/>
        <v>#VALUE!</v>
      </c>
      <c r="R91" s="282" t="e">
        <f t="shared" si="44"/>
        <v>#VALUE!</v>
      </c>
      <c r="S91" s="274">
        <v>8.3982937572029195E-3</v>
      </c>
      <c r="T91" s="274">
        <v>8.3055380006077997E-3</v>
      </c>
      <c r="U91" s="282">
        <v>28782882</v>
      </c>
    </row>
    <row r="92" spans="1:21" x14ac:dyDescent="0.25">
      <c r="A92" s="283">
        <v>81</v>
      </c>
      <c r="B92" s="284" t="s">
        <v>116</v>
      </c>
      <c r="C92" s="285">
        <v>15442617</v>
      </c>
      <c r="D92" s="286" t="e">
        <f t="shared" si="31"/>
        <v>#VALUE!</v>
      </c>
      <c r="E92" s="285" t="e">
        <f t="shared" si="32"/>
        <v>#VALUE!</v>
      </c>
      <c r="F92" s="287" t="e">
        <f t="shared" si="45"/>
        <v>#VALUE!</v>
      </c>
      <c r="G92" s="287" t="e">
        <f t="shared" si="33"/>
        <v>#VALUE!</v>
      </c>
      <c r="H92" s="287" t="e">
        <f t="shared" si="34"/>
        <v>#VALUE!</v>
      </c>
      <c r="I92" s="287" t="e">
        <f t="shared" si="35"/>
        <v>#VALUE!</v>
      </c>
      <c r="J92" s="287" t="e">
        <f t="shared" si="36"/>
        <v>#VALUE!</v>
      </c>
      <c r="K92" s="287" t="e">
        <f t="shared" si="37"/>
        <v>#VALUE!</v>
      </c>
      <c r="L92" s="287" t="e">
        <f t="shared" si="38"/>
        <v>#VALUE!</v>
      </c>
      <c r="M92" s="287" t="e">
        <f t="shared" si="39"/>
        <v>#VALUE!</v>
      </c>
      <c r="N92" s="287" t="e">
        <f t="shared" si="40"/>
        <v>#VALUE!</v>
      </c>
      <c r="O92" s="287" t="e">
        <f t="shared" si="41"/>
        <v>#VALUE!</v>
      </c>
      <c r="P92" s="288">
        <f t="shared" si="42"/>
        <v>8.269120008800793E-3</v>
      </c>
      <c r="Q92" s="282" t="e">
        <f t="shared" si="43"/>
        <v>#VALUE!</v>
      </c>
      <c r="R92" s="282" t="e">
        <f t="shared" si="44"/>
        <v>#VALUE!</v>
      </c>
      <c r="S92" s="274">
        <v>7.3797733460099499E-3</v>
      </c>
      <c r="T92" s="274">
        <v>6.9547672019188702E-3</v>
      </c>
      <c r="U92" s="282">
        <v>23700001</v>
      </c>
    </row>
    <row r="93" spans="1:21" x14ac:dyDescent="0.25">
      <c r="A93" s="283">
        <v>82</v>
      </c>
      <c r="B93" s="284" t="s">
        <v>152</v>
      </c>
      <c r="C93" s="285">
        <v>30801402</v>
      </c>
      <c r="D93" s="286" t="e">
        <f t="shared" si="31"/>
        <v>#VALUE!</v>
      </c>
      <c r="E93" s="285" t="e">
        <f t="shared" si="32"/>
        <v>#VALUE!</v>
      </c>
      <c r="F93" s="287" t="e">
        <f t="shared" si="45"/>
        <v>#VALUE!</v>
      </c>
      <c r="G93" s="287" t="e">
        <f t="shared" si="33"/>
        <v>#VALUE!</v>
      </c>
      <c r="H93" s="287" t="e">
        <f t="shared" si="34"/>
        <v>#VALUE!</v>
      </c>
      <c r="I93" s="287" t="e">
        <f t="shared" si="35"/>
        <v>#VALUE!</v>
      </c>
      <c r="J93" s="287" t="e">
        <f t="shared" si="36"/>
        <v>#VALUE!</v>
      </c>
      <c r="K93" s="287" t="e">
        <f t="shared" si="37"/>
        <v>#VALUE!</v>
      </c>
      <c r="L93" s="287" t="e">
        <f t="shared" si="38"/>
        <v>#VALUE!</v>
      </c>
      <c r="M93" s="287" t="e">
        <f t="shared" si="39"/>
        <v>#VALUE!</v>
      </c>
      <c r="N93" s="287" t="e">
        <f t="shared" si="40"/>
        <v>#VALUE!</v>
      </c>
      <c r="O93" s="287" t="e">
        <f t="shared" si="41"/>
        <v>#VALUE!</v>
      </c>
      <c r="P93" s="288">
        <f t="shared" si="42"/>
        <v>1.6493350160618293E-2</v>
      </c>
      <c r="Q93" s="282" t="e">
        <f t="shared" si="43"/>
        <v>#VALUE!</v>
      </c>
      <c r="R93" s="282" t="e">
        <f t="shared" si="44"/>
        <v>#VALUE!</v>
      </c>
      <c r="S93" s="274">
        <v>1.5297652826932301E-2</v>
      </c>
      <c r="T93" s="274">
        <v>1.45281377961401E-2</v>
      </c>
      <c r="U93" s="282">
        <v>50158539</v>
      </c>
    </row>
    <row r="94" spans="1:21" x14ac:dyDescent="0.25">
      <c r="A94" s="283">
        <v>83</v>
      </c>
      <c r="B94" s="284" t="s">
        <v>153</v>
      </c>
      <c r="C94" s="285">
        <v>14666389</v>
      </c>
      <c r="D94" s="286" t="e">
        <f t="shared" si="31"/>
        <v>#VALUE!</v>
      </c>
      <c r="E94" s="285" t="e">
        <f t="shared" si="32"/>
        <v>#VALUE!</v>
      </c>
      <c r="F94" s="287" t="e">
        <f t="shared" si="45"/>
        <v>#VALUE!</v>
      </c>
      <c r="G94" s="287" t="e">
        <f t="shared" si="33"/>
        <v>#VALUE!</v>
      </c>
      <c r="H94" s="287" t="e">
        <f t="shared" si="34"/>
        <v>#VALUE!</v>
      </c>
      <c r="I94" s="287" t="e">
        <f t="shared" si="35"/>
        <v>#VALUE!</v>
      </c>
      <c r="J94" s="287" t="e">
        <f t="shared" si="36"/>
        <v>#VALUE!</v>
      </c>
      <c r="K94" s="287" t="e">
        <f t="shared" si="37"/>
        <v>#VALUE!</v>
      </c>
      <c r="L94" s="287" t="e">
        <f t="shared" si="38"/>
        <v>#VALUE!</v>
      </c>
      <c r="M94" s="287" t="e">
        <f t="shared" si="39"/>
        <v>#VALUE!</v>
      </c>
      <c r="N94" s="287" t="e">
        <f t="shared" si="40"/>
        <v>#VALUE!</v>
      </c>
      <c r="O94" s="287" t="e">
        <f t="shared" si="41"/>
        <v>#VALUE!</v>
      </c>
      <c r="P94" s="288">
        <f t="shared" si="42"/>
        <v>7.8534700910315829E-3</v>
      </c>
      <c r="Q94" s="282" t="e">
        <f t="shared" si="43"/>
        <v>#VALUE!</v>
      </c>
      <c r="R94" s="282" t="e">
        <f t="shared" si="44"/>
        <v>#VALUE!</v>
      </c>
      <c r="S94" s="274">
        <v>8.2240104254091197E-3</v>
      </c>
      <c r="T94" s="274">
        <v>7.2503375841946197E-3</v>
      </c>
      <c r="U94" s="282">
        <v>25346622</v>
      </c>
    </row>
    <row r="95" spans="1:21" x14ac:dyDescent="0.25">
      <c r="A95" s="283">
        <v>84</v>
      </c>
      <c r="B95" s="284" t="s">
        <v>107</v>
      </c>
      <c r="C95" s="285">
        <v>14197608</v>
      </c>
      <c r="D95" s="286" t="e">
        <f t="shared" si="31"/>
        <v>#VALUE!</v>
      </c>
      <c r="E95" s="285" t="e">
        <f t="shared" si="32"/>
        <v>#VALUE!</v>
      </c>
      <c r="F95" s="287" t="e">
        <f t="shared" si="45"/>
        <v>#VALUE!</v>
      </c>
      <c r="G95" s="287" t="e">
        <f t="shared" si="33"/>
        <v>#VALUE!</v>
      </c>
      <c r="H95" s="287" t="e">
        <f t="shared" si="34"/>
        <v>#VALUE!</v>
      </c>
      <c r="I95" s="287" t="e">
        <f t="shared" si="35"/>
        <v>#VALUE!</v>
      </c>
      <c r="J95" s="287" t="e">
        <f t="shared" si="36"/>
        <v>#VALUE!</v>
      </c>
      <c r="K95" s="287" t="e">
        <f t="shared" si="37"/>
        <v>#VALUE!</v>
      </c>
      <c r="L95" s="287" t="e">
        <f t="shared" si="38"/>
        <v>#VALUE!</v>
      </c>
      <c r="M95" s="287" t="e">
        <f t="shared" si="39"/>
        <v>#VALUE!</v>
      </c>
      <c r="N95" s="287" t="e">
        <f t="shared" si="40"/>
        <v>#VALUE!</v>
      </c>
      <c r="O95" s="287" t="e">
        <f t="shared" si="41"/>
        <v>#VALUE!</v>
      </c>
      <c r="P95" s="288">
        <f t="shared" si="42"/>
        <v>7.6024500503969125E-3</v>
      </c>
      <c r="Q95" s="282" t="e">
        <f t="shared" si="43"/>
        <v>#VALUE!</v>
      </c>
      <c r="R95" s="282" t="e">
        <f t="shared" si="44"/>
        <v>#VALUE!</v>
      </c>
      <c r="S95" s="274">
        <v>8.0174265766815005E-3</v>
      </c>
      <c r="T95" s="274">
        <v>9.9298431214544999E-3</v>
      </c>
      <c r="U95" s="282">
        <v>37342497</v>
      </c>
    </row>
    <row r="96" spans="1:21" x14ac:dyDescent="0.25">
      <c r="A96" s="283">
        <v>85</v>
      </c>
      <c r="B96" s="284" t="s">
        <v>124</v>
      </c>
      <c r="C96" s="285">
        <v>7703885</v>
      </c>
      <c r="D96" s="286" t="e">
        <f t="shared" si="31"/>
        <v>#VALUE!</v>
      </c>
      <c r="E96" s="285" t="e">
        <f t="shared" si="32"/>
        <v>#VALUE!</v>
      </c>
      <c r="F96" s="287" t="e">
        <f t="shared" si="45"/>
        <v>#VALUE!</v>
      </c>
      <c r="G96" s="287" t="e">
        <f t="shared" si="33"/>
        <v>#VALUE!</v>
      </c>
      <c r="H96" s="287" t="e">
        <f t="shared" si="34"/>
        <v>#VALUE!</v>
      </c>
      <c r="I96" s="287" t="e">
        <f t="shared" si="35"/>
        <v>#VALUE!</v>
      </c>
      <c r="J96" s="287" t="e">
        <f t="shared" si="36"/>
        <v>#VALUE!</v>
      </c>
      <c r="K96" s="287" t="e">
        <f t="shared" si="37"/>
        <v>#VALUE!</v>
      </c>
      <c r="L96" s="287" t="e">
        <f t="shared" si="38"/>
        <v>#VALUE!</v>
      </c>
      <c r="M96" s="287" t="e">
        <f t="shared" si="39"/>
        <v>#VALUE!</v>
      </c>
      <c r="N96" s="287" t="e">
        <f t="shared" si="40"/>
        <v>#VALUE!</v>
      </c>
      <c r="O96" s="287" t="e">
        <f t="shared" si="41"/>
        <v>#VALUE!</v>
      </c>
      <c r="P96" s="288">
        <f t="shared" si="42"/>
        <v>4.1252301730335152E-3</v>
      </c>
      <c r="Q96" s="282" t="e">
        <f t="shared" si="43"/>
        <v>#VALUE!</v>
      </c>
      <c r="R96" s="282" t="e">
        <f t="shared" si="44"/>
        <v>#VALUE!</v>
      </c>
      <c r="S96" s="274">
        <v>5.6714872131170798E-3</v>
      </c>
      <c r="T96" s="274">
        <v>5.6431062259189304E-3</v>
      </c>
      <c r="U96" s="282">
        <v>21384381</v>
      </c>
    </row>
    <row r="97" spans="1:21" x14ac:dyDescent="0.25">
      <c r="A97" s="283">
        <v>86</v>
      </c>
      <c r="B97" s="284" t="s">
        <v>129</v>
      </c>
      <c r="C97" s="285">
        <v>7385606</v>
      </c>
      <c r="D97" s="286" t="e">
        <f t="shared" si="31"/>
        <v>#VALUE!</v>
      </c>
      <c r="E97" s="285" t="e">
        <f t="shared" si="32"/>
        <v>#VALUE!</v>
      </c>
      <c r="F97" s="287" t="e">
        <f t="shared" si="45"/>
        <v>#VALUE!</v>
      </c>
      <c r="G97" s="287" t="e">
        <f t="shared" si="33"/>
        <v>#VALUE!</v>
      </c>
      <c r="H97" s="287" t="e">
        <f t="shared" si="34"/>
        <v>#VALUE!</v>
      </c>
      <c r="I97" s="287" t="e">
        <f t="shared" si="35"/>
        <v>#VALUE!</v>
      </c>
      <c r="J97" s="287" t="e">
        <f t="shared" si="36"/>
        <v>#VALUE!</v>
      </c>
      <c r="K97" s="287" t="e">
        <f t="shared" si="37"/>
        <v>#VALUE!</v>
      </c>
      <c r="L97" s="287" t="e">
        <f t="shared" si="38"/>
        <v>#VALUE!</v>
      </c>
      <c r="M97" s="287" t="e">
        <f t="shared" si="39"/>
        <v>#VALUE!</v>
      </c>
      <c r="N97" s="287" t="e">
        <f t="shared" si="40"/>
        <v>#VALUE!</v>
      </c>
      <c r="O97" s="287" t="e">
        <f t="shared" si="41"/>
        <v>#VALUE!</v>
      </c>
      <c r="P97" s="288">
        <f t="shared" si="42"/>
        <v>3.9548000414514712E-3</v>
      </c>
      <c r="Q97" s="282" t="e">
        <f t="shared" si="43"/>
        <v>#VALUE!</v>
      </c>
      <c r="R97" s="282" t="e">
        <f t="shared" si="44"/>
        <v>#VALUE!</v>
      </c>
      <c r="S97" s="274">
        <v>3.9721602664879001E-3</v>
      </c>
      <c r="T97" s="274">
        <v>3.5951875320108001E-3</v>
      </c>
      <c r="U97" s="282">
        <v>12518036</v>
      </c>
    </row>
    <row r="98" spans="1:21" x14ac:dyDescent="0.25">
      <c r="A98" s="283">
        <v>87</v>
      </c>
      <c r="B98" s="284" t="s">
        <v>350</v>
      </c>
      <c r="C98" s="285">
        <v>2754102</v>
      </c>
      <c r="D98" s="286" t="e">
        <f t="shared" si="31"/>
        <v>#VALUE!</v>
      </c>
      <c r="E98" s="285" t="e">
        <f t="shared" si="32"/>
        <v>#VALUE!</v>
      </c>
      <c r="F98" s="287" t="e">
        <f t="shared" si="45"/>
        <v>#VALUE!</v>
      </c>
      <c r="G98" s="287" t="e">
        <f t="shared" si="33"/>
        <v>#VALUE!</v>
      </c>
      <c r="H98" s="287" t="e">
        <f t="shared" si="34"/>
        <v>#VALUE!</v>
      </c>
      <c r="I98" s="287" t="e">
        <f t="shared" si="35"/>
        <v>#VALUE!</v>
      </c>
      <c r="J98" s="287" t="e">
        <f t="shared" si="36"/>
        <v>#VALUE!</v>
      </c>
      <c r="K98" s="287" t="e">
        <f t="shared" si="37"/>
        <v>#VALUE!</v>
      </c>
      <c r="L98" s="287" t="e">
        <f t="shared" si="38"/>
        <v>#VALUE!</v>
      </c>
      <c r="M98" s="287" t="e">
        <f t="shared" si="39"/>
        <v>#VALUE!</v>
      </c>
      <c r="N98" s="287" t="e">
        <f t="shared" si="40"/>
        <v>#VALUE!</v>
      </c>
      <c r="O98" s="287" t="e">
        <f t="shared" si="41"/>
        <v>#VALUE!</v>
      </c>
      <c r="P98" s="288">
        <f t="shared" si="42"/>
        <v>1.4747500345620359E-3</v>
      </c>
      <c r="Q98" s="282" t="e">
        <f t="shared" si="43"/>
        <v>#VALUE!</v>
      </c>
      <c r="R98" s="282" t="e">
        <f t="shared" si="44"/>
        <v>#VALUE!</v>
      </c>
      <c r="S98" s="274">
        <v>2.0965389157940502E-3</v>
      </c>
      <c r="T98" s="274">
        <v>2.11580010979553E-3</v>
      </c>
      <c r="U98" s="282">
        <v>8077730</v>
      </c>
    </row>
    <row r="99" spans="1:21" x14ac:dyDescent="0.25">
      <c r="A99" s="283">
        <v>88</v>
      </c>
      <c r="B99" s="284" t="s">
        <v>99</v>
      </c>
      <c r="C99" s="285">
        <v>10743883</v>
      </c>
      <c r="D99" s="286" t="e">
        <f t="shared" si="31"/>
        <v>#VALUE!</v>
      </c>
      <c r="E99" s="285" t="e">
        <f t="shared" si="32"/>
        <v>#VALUE!</v>
      </c>
      <c r="F99" s="287" t="e">
        <f t="shared" si="45"/>
        <v>#VALUE!</v>
      </c>
      <c r="G99" s="287" t="e">
        <f t="shared" si="33"/>
        <v>#VALUE!</v>
      </c>
      <c r="H99" s="287" t="e">
        <f t="shared" si="34"/>
        <v>#VALUE!</v>
      </c>
      <c r="I99" s="287" t="e">
        <f t="shared" si="35"/>
        <v>#VALUE!</v>
      </c>
      <c r="J99" s="287" t="e">
        <f t="shared" si="36"/>
        <v>#VALUE!</v>
      </c>
      <c r="K99" s="287" t="e">
        <f t="shared" si="37"/>
        <v>#VALUE!</v>
      </c>
      <c r="L99" s="287" t="e">
        <f t="shared" si="38"/>
        <v>#VALUE!</v>
      </c>
      <c r="M99" s="287" t="e">
        <f t="shared" si="39"/>
        <v>#VALUE!</v>
      </c>
      <c r="N99" s="287" t="e">
        <f t="shared" si="40"/>
        <v>#VALUE!</v>
      </c>
      <c r="O99" s="287" t="e">
        <f t="shared" si="41"/>
        <v>#VALUE!</v>
      </c>
      <c r="P99" s="288">
        <f t="shared" si="42"/>
        <v>5.7530700843979165E-3</v>
      </c>
      <c r="Q99" s="282" t="e">
        <f t="shared" si="43"/>
        <v>#VALUE!</v>
      </c>
      <c r="R99" s="282" t="e">
        <f t="shared" si="44"/>
        <v>#VALUE!</v>
      </c>
      <c r="S99" s="274">
        <v>7.8027774970178898E-3</v>
      </c>
      <c r="T99" s="274">
        <v>7.2925421023853501E-3</v>
      </c>
      <c r="U99" s="282">
        <v>27283056</v>
      </c>
    </row>
    <row r="100" spans="1:21" x14ac:dyDescent="0.25">
      <c r="A100" s="283">
        <v>89</v>
      </c>
      <c r="B100" s="284" t="s">
        <v>55</v>
      </c>
      <c r="C100" s="285">
        <v>6233823</v>
      </c>
      <c r="D100" s="286" t="e">
        <f t="shared" si="31"/>
        <v>#VALUE!</v>
      </c>
      <c r="E100" s="285" t="e">
        <f t="shared" si="32"/>
        <v>#VALUE!</v>
      </c>
      <c r="F100" s="287" t="e">
        <f t="shared" si="45"/>
        <v>#VALUE!</v>
      </c>
      <c r="G100" s="287" t="e">
        <f t="shared" si="33"/>
        <v>#VALUE!</v>
      </c>
      <c r="H100" s="287" t="e">
        <f t="shared" si="34"/>
        <v>#VALUE!</v>
      </c>
      <c r="I100" s="287" t="e">
        <f t="shared" si="35"/>
        <v>#VALUE!</v>
      </c>
      <c r="J100" s="287" t="e">
        <f t="shared" si="36"/>
        <v>#VALUE!</v>
      </c>
      <c r="K100" s="287" t="e">
        <f t="shared" si="37"/>
        <v>#VALUE!</v>
      </c>
      <c r="L100" s="287" t="e">
        <f t="shared" si="38"/>
        <v>#VALUE!</v>
      </c>
      <c r="M100" s="287" t="e">
        <f t="shared" si="39"/>
        <v>#VALUE!</v>
      </c>
      <c r="N100" s="287" t="e">
        <f t="shared" si="40"/>
        <v>#VALUE!</v>
      </c>
      <c r="O100" s="287" t="e">
        <f t="shared" si="41"/>
        <v>#VALUE!</v>
      </c>
      <c r="P100" s="288">
        <f t="shared" si="42"/>
        <v>3.3380501828558329E-3</v>
      </c>
      <c r="Q100" s="282" t="e">
        <f t="shared" si="43"/>
        <v>#VALUE!</v>
      </c>
      <c r="R100" s="282" t="e">
        <f t="shared" si="44"/>
        <v>#VALUE!</v>
      </c>
      <c r="S100" s="274">
        <v>4.4157819984779103E-3</v>
      </c>
      <c r="T100" s="274">
        <v>3.9351358214771096E-3</v>
      </c>
      <c r="U100" s="282">
        <v>14527495</v>
      </c>
    </row>
    <row r="101" spans="1:21" x14ac:dyDescent="0.25">
      <c r="A101" s="283">
        <v>90</v>
      </c>
      <c r="B101" s="284" t="s">
        <v>147</v>
      </c>
      <c r="C101" s="285">
        <v>5212373</v>
      </c>
      <c r="D101" s="286" t="e">
        <f t="shared" si="31"/>
        <v>#VALUE!</v>
      </c>
      <c r="E101" s="285" t="e">
        <f t="shared" si="32"/>
        <v>#VALUE!</v>
      </c>
      <c r="F101" s="287" t="e">
        <f t="shared" si="45"/>
        <v>#VALUE!</v>
      </c>
      <c r="G101" s="287" t="e">
        <f t="shared" si="33"/>
        <v>#VALUE!</v>
      </c>
      <c r="H101" s="287" t="e">
        <f t="shared" si="34"/>
        <v>#VALUE!</v>
      </c>
      <c r="I101" s="287" t="e">
        <f t="shared" si="35"/>
        <v>#VALUE!</v>
      </c>
      <c r="J101" s="287" t="e">
        <f t="shared" si="36"/>
        <v>#VALUE!</v>
      </c>
      <c r="K101" s="287" t="e">
        <f t="shared" si="37"/>
        <v>#VALUE!</v>
      </c>
      <c r="L101" s="287" t="e">
        <f t="shared" si="38"/>
        <v>#VALUE!</v>
      </c>
      <c r="M101" s="287" t="e">
        <f t="shared" si="39"/>
        <v>#VALUE!</v>
      </c>
      <c r="N101" s="287" t="e">
        <f t="shared" si="40"/>
        <v>#VALUE!</v>
      </c>
      <c r="O101" s="287" t="e">
        <f t="shared" si="41"/>
        <v>#VALUE!</v>
      </c>
      <c r="P101" s="288">
        <f t="shared" si="42"/>
        <v>2.7910902580587874E-3</v>
      </c>
      <c r="Q101" s="282" t="e">
        <f t="shared" si="43"/>
        <v>#VALUE!</v>
      </c>
      <c r="R101" s="282" t="e">
        <f t="shared" si="44"/>
        <v>#VALUE!</v>
      </c>
      <c r="S101" s="274">
        <v>4.0760007692217303E-3</v>
      </c>
      <c r="T101" s="274">
        <v>4.2278857301007297E-3</v>
      </c>
      <c r="U101" s="282">
        <v>16271163</v>
      </c>
    </row>
    <row r="102" spans="1:21" x14ac:dyDescent="0.25">
      <c r="A102" s="283">
        <v>91</v>
      </c>
      <c r="B102" s="284" t="s">
        <v>351</v>
      </c>
      <c r="C102" s="285">
        <v>4469797</v>
      </c>
      <c r="D102" s="286" t="e">
        <f t="shared" si="31"/>
        <v>#VALUE!</v>
      </c>
      <c r="E102" s="285" t="e">
        <f t="shared" si="32"/>
        <v>#VALUE!</v>
      </c>
      <c r="F102" s="287" t="e">
        <f t="shared" si="45"/>
        <v>#VALUE!</v>
      </c>
      <c r="G102" s="287" t="e">
        <f t="shared" si="33"/>
        <v>#VALUE!</v>
      </c>
      <c r="H102" s="287" t="e">
        <f t="shared" si="34"/>
        <v>#VALUE!</v>
      </c>
      <c r="I102" s="287" t="e">
        <f t="shared" si="35"/>
        <v>#VALUE!</v>
      </c>
      <c r="J102" s="287" t="e">
        <f t="shared" si="36"/>
        <v>#VALUE!</v>
      </c>
      <c r="K102" s="287" t="e">
        <f t="shared" si="37"/>
        <v>#VALUE!</v>
      </c>
      <c r="L102" s="287" t="e">
        <f t="shared" si="38"/>
        <v>#VALUE!</v>
      </c>
      <c r="M102" s="287" t="e">
        <f t="shared" si="39"/>
        <v>#VALUE!</v>
      </c>
      <c r="N102" s="287" t="e">
        <f t="shared" si="40"/>
        <v>#VALUE!</v>
      </c>
      <c r="O102" s="287" t="e">
        <f t="shared" si="41"/>
        <v>#VALUE!</v>
      </c>
      <c r="P102" s="288">
        <f t="shared" si="42"/>
        <v>2.3934601115845689E-3</v>
      </c>
      <c r="Q102" s="282" t="e">
        <f t="shared" si="43"/>
        <v>#VALUE!</v>
      </c>
      <c r="R102" s="282" t="e">
        <f t="shared" si="44"/>
        <v>#VALUE!</v>
      </c>
      <c r="S102" s="274">
        <v>2.7387263847437602E-3</v>
      </c>
      <c r="T102" s="274">
        <v>2.74721170105395E-3</v>
      </c>
      <c r="U102" s="282">
        <v>10089401</v>
      </c>
    </row>
    <row r="103" spans="1:21" x14ac:dyDescent="0.25">
      <c r="A103" s="283">
        <v>92</v>
      </c>
      <c r="B103" s="284" t="s">
        <v>428</v>
      </c>
      <c r="C103" s="285">
        <v>26595427</v>
      </c>
      <c r="D103" s="286" t="e">
        <f t="shared" si="31"/>
        <v>#VALUE!</v>
      </c>
      <c r="E103" s="285" t="e">
        <f t="shared" si="32"/>
        <v>#VALUE!</v>
      </c>
      <c r="F103" s="287" t="e">
        <f t="shared" si="45"/>
        <v>#VALUE!</v>
      </c>
      <c r="G103" s="287" t="e">
        <f t="shared" si="33"/>
        <v>#VALUE!</v>
      </c>
      <c r="H103" s="287" t="e">
        <f t="shared" si="34"/>
        <v>#VALUE!</v>
      </c>
      <c r="I103" s="287" t="e">
        <f t="shared" si="35"/>
        <v>#VALUE!</v>
      </c>
      <c r="J103" s="287" t="e">
        <f t="shared" si="36"/>
        <v>#VALUE!</v>
      </c>
      <c r="K103" s="287" t="e">
        <f t="shared" si="37"/>
        <v>#VALUE!</v>
      </c>
      <c r="L103" s="287" t="e">
        <f t="shared" si="38"/>
        <v>#VALUE!</v>
      </c>
      <c r="M103" s="287" t="e">
        <f t="shared" si="39"/>
        <v>#VALUE!</v>
      </c>
      <c r="N103" s="287" t="e">
        <f t="shared" si="40"/>
        <v>#VALUE!</v>
      </c>
      <c r="O103" s="287" t="e">
        <f t="shared" si="41"/>
        <v>#VALUE!</v>
      </c>
      <c r="P103" s="288">
        <f t="shared" si="42"/>
        <v>1.4241159872598075E-2</v>
      </c>
      <c r="Q103" s="282" t="e">
        <f t="shared" si="43"/>
        <v>#VALUE!</v>
      </c>
      <c r="R103" s="282" t="e">
        <f t="shared" si="44"/>
        <v>#VALUE!</v>
      </c>
      <c r="S103" s="274">
        <v>1.18392986205028E-2</v>
      </c>
      <c r="T103" s="274">
        <v>1.10709884138888E-2</v>
      </c>
      <c r="U103" s="282">
        <v>36828501</v>
      </c>
    </row>
    <row r="104" spans="1:21" x14ac:dyDescent="0.25">
      <c r="A104" s="283">
        <v>93</v>
      </c>
      <c r="B104" s="284" t="s">
        <v>353</v>
      </c>
      <c r="C104" s="285">
        <v>14824342</v>
      </c>
      <c r="D104" s="286" t="e">
        <f t="shared" si="31"/>
        <v>#VALUE!</v>
      </c>
      <c r="E104" s="285" t="e">
        <f t="shared" si="32"/>
        <v>#VALUE!</v>
      </c>
      <c r="F104" s="287" t="e">
        <f t="shared" si="45"/>
        <v>#VALUE!</v>
      </c>
      <c r="G104" s="287" t="e">
        <f t="shared" si="33"/>
        <v>#VALUE!</v>
      </c>
      <c r="H104" s="287" t="e">
        <f t="shared" si="34"/>
        <v>#VALUE!</v>
      </c>
      <c r="I104" s="287" t="e">
        <f t="shared" si="35"/>
        <v>#VALUE!</v>
      </c>
      <c r="J104" s="287" t="e">
        <f t="shared" si="36"/>
        <v>#VALUE!</v>
      </c>
      <c r="K104" s="287" t="e">
        <f t="shared" si="37"/>
        <v>#VALUE!</v>
      </c>
      <c r="L104" s="287" t="e">
        <f t="shared" si="38"/>
        <v>#VALUE!</v>
      </c>
      <c r="M104" s="287" t="e">
        <f t="shared" si="39"/>
        <v>#VALUE!</v>
      </c>
      <c r="N104" s="287" t="e">
        <f t="shared" si="40"/>
        <v>#VALUE!</v>
      </c>
      <c r="O104" s="287" t="e">
        <f t="shared" si="41"/>
        <v>#VALUE!</v>
      </c>
      <c r="P104" s="288">
        <f t="shared" si="42"/>
        <v>7.9380498169128958E-3</v>
      </c>
      <c r="Q104" s="282" t="e">
        <f t="shared" si="43"/>
        <v>#VALUE!</v>
      </c>
      <c r="R104" s="282" t="e">
        <f t="shared" si="44"/>
        <v>#VALUE!</v>
      </c>
      <c r="S104" s="274">
        <v>8.1451947819548703E-3</v>
      </c>
      <c r="T104" s="274">
        <v>8.6619225032849596E-3</v>
      </c>
      <c r="U104" s="282">
        <v>31485416</v>
      </c>
    </row>
    <row r="105" spans="1:21" x14ac:dyDescent="0.25">
      <c r="A105" s="283">
        <v>94</v>
      </c>
      <c r="B105" s="284" t="s">
        <v>354</v>
      </c>
      <c r="C105" s="285">
        <v>4264054</v>
      </c>
      <c r="D105" s="286" t="e">
        <f t="shared" si="31"/>
        <v>#VALUE!</v>
      </c>
      <c r="E105" s="285" t="e">
        <f t="shared" si="32"/>
        <v>#VALUE!</v>
      </c>
      <c r="F105" s="287" t="e">
        <f t="shared" si="45"/>
        <v>#VALUE!</v>
      </c>
      <c r="G105" s="287" t="e">
        <f t="shared" si="33"/>
        <v>#VALUE!</v>
      </c>
      <c r="H105" s="287" t="e">
        <f t="shared" si="34"/>
        <v>#VALUE!</v>
      </c>
      <c r="I105" s="287" t="e">
        <f t="shared" si="35"/>
        <v>#VALUE!</v>
      </c>
      <c r="J105" s="287" t="e">
        <f t="shared" si="36"/>
        <v>#VALUE!</v>
      </c>
      <c r="K105" s="287" t="e">
        <f t="shared" si="37"/>
        <v>#VALUE!</v>
      </c>
      <c r="L105" s="287" t="e">
        <f t="shared" si="38"/>
        <v>#VALUE!</v>
      </c>
      <c r="M105" s="287" t="e">
        <f t="shared" si="39"/>
        <v>#VALUE!</v>
      </c>
      <c r="N105" s="287" t="e">
        <f t="shared" si="40"/>
        <v>#VALUE!</v>
      </c>
      <c r="O105" s="287" t="e">
        <f t="shared" si="41"/>
        <v>#VALUE!</v>
      </c>
      <c r="P105" s="288">
        <f t="shared" si="42"/>
        <v>2.2832900828924953E-3</v>
      </c>
      <c r="Q105" s="282" t="e">
        <f t="shared" si="43"/>
        <v>#VALUE!</v>
      </c>
      <c r="R105" s="282" t="e">
        <f t="shared" si="44"/>
        <v>#VALUE!</v>
      </c>
      <c r="S105" s="274">
        <v>2.7821836735858001E-3</v>
      </c>
      <c r="T105" s="274">
        <v>3.3077862646670999E-3</v>
      </c>
      <c r="U105" s="282">
        <v>12647095</v>
      </c>
    </row>
    <row r="106" spans="1:21" x14ac:dyDescent="0.25">
      <c r="A106" s="283">
        <v>95</v>
      </c>
      <c r="B106" s="284" t="s">
        <v>100</v>
      </c>
      <c r="C106" s="285">
        <v>3299675</v>
      </c>
      <c r="D106" s="286" t="e">
        <f t="shared" si="31"/>
        <v>#VALUE!</v>
      </c>
      <c r="E106" s="285" t="e">
        <f t="shared" si="32"/>
        <v>#VALUE!</v>
      </c>
      <c r="F106" s="287" t="e">
        <f t="shared" si="45"/>
        <v>#VALUE!</v>
      </c>
      <c r="G106" s="287" t="e">
        <f t="shared" si="33"/>
        <v>#VALUE!</v>
      </c>
      <c r="H106" s="287" t="e">
        <f t="shared" si="34"/>
        <v>#VALUE!</v>
      </c>
      <c r="I106" s="287" t="e">
        <f t="shared" si="35"/>
        <v>#VALUE!</v>
      </c>
      <c r="J106" s="287" t="e">
        <f t="shared" si="36"/>
        <v>#VALUE!</v>
      </c>
      <c r="K106" s="287" t="e">
        <f t="shared" si="37"/>
        <v>#VALUE!</v>
      </c>
      <c r="L106" s="287" t="e">
        <f t="shared" si="38"/>
        <v>#VALUE!</v>
      </c>
      <c r="M106" s="287" t="e">
        <f t="shared" si="39"/>
        <v>#VALUE!</v>
      </c>
      <c r="N106" s="287" t="e">
        <f t="shared" si="40"/>
        <v>#VALUE!</v>
      </c>
      <c r="O106" s="287" t="e">
        <f t="shared" si="41"/>
        <v>#VALUE!</v>
      </c>
      <c r="P106" s="288">
        <f t="shared" si="42"/>
        <v>1.7668901951683293E-3</v>
      </c>
      <c r="Q106" s="282" t="e">
        <f t="shared" si="43"/>
        <v>#VALUE!</v>
      </c>
      <c r="R106" s="282" t="e">
        <f t="shared" si="44"/>
        <v>#VALUE!</v>
      </c>
      <c r="S106" s="274">
        <v>2.1614043405492399E-3</v>
      </c>
      <c r="T106" s="274">
        <v>2.0660706020964601E-3</v>
      </c>
      <c r="U106" s="282">
        <v>7615467</v>
      </c>
    </row>
    <row r="107" spans="1:21" x14ac:dyDescent="0.25">
      <c r="A107" s="283">
        <v>96</v>
      </c>
      <c r="B107" s="284" t="s">
        <v>78</v>
      </c>
      <c r="C107" s="285">
        <v>9357298</v>
      </c>
      <c r="D107" s="286" t="e">
        <f t="shared" si="31"/>
        <v>#VALUE!</v>
      </c>
      <c r="E107" s="285" t="e">
        <f t="shared" si="32"/>
        <v>#VALUE!</v>
      </c>
      <c r="F107" s="287" t="e">
        <f t="shared" si="45"/>
        <v>#VALUE!</v>
      </c>
      <c r="G107" s="287" t="e">
        <f t="shared" si="33"/>
        <v>#VALUE!</v>
      </c>
      <c r="H107" s="287" t="e">
        <f t="shared" si="34"/>
        <v>#VALUE!</v>
      </c>
      <c r="I107" s="287" t="e">
        <f t="shared" si="35"/>
        <v>#VALUE!</v>
      </c>
      <c r="J107" s="287" t="e">
        <f t="shared" si="36"/>
        <v>#VALUE!</v>
      </c>
      <c r="K107" s="287" t="e">
        <f t="shared" si="37"/>
        <v>#VALUE!</v>
      </c>
      <c r="L107" s="287" t="e">
        <f t="shared" si="38"/>
        <v>#VALUE!</v>
      </c>
      <c r="M107" s="287" t="e">
        <f t="shared" si="39"/>
        <v>#VALUE!</v>
      </c>
      <c r="N107" s="287" t="e">
        <f t="shared" si="40"/>
        <v>#VALUE!</v>
      </c>
      <c r="O107" s="287" t="e">
        <f t="shared" si="41"/>
        <v>#VALUE!</v>
      </c>
      <c r="P107" s="288">
        <f t="shared" si="42"/>
        <v>5.0105898579309227E-3</v>
      </c>
      <c r="Q107" s="282" t="e">
        <f t="shared" si="43"/>
        <v>#VALUE!</v>
      </c>
      <c r="R107" s="282" t="e">
        <f t="shared" si="44"/>
        <v>#VALUE!</v>
      </c>
      <c r="S107" s="274">
        <v>4.8584603654570303E-3</v>
      </c>
      <c r="T107" s="274">
        <v>4.7416170203023302E-3</v>
      </c>
      <c r="U107" s="282">
        <v>16680912</v>
      </c>
    </row>
    <row r="108" spans="1:21" x14ac:dyDescent="0.25">
      <c r="A108" s="283">
        <v>97</v>
      </c>
      <c r="B108" s="284" t="s">
        <v>130</v>
      </c>
      <c r="C108" s="285">
        <v>54092299</v>
      </c>
      <c r="D108" s="286" t="e">
        <f t="shared" ref="D108:D124" si="46">R108</f>
        <v>#VALUE!</v>
      </c>
      <c r="E108" s="289" t="e">
        <f t="shared" ref="E108:E124" si="47">C108+D108</f>
        <v>#VALUE!</v>
      </c>
      <c r="F108" s="287" t="e">
        <f t="shared" si="45"/>
        <v>#VALUE!</v>
      </c>
      <c r="G108" s="287" t="e">
        <f t="shared" ref="G108:G124" si="48">E108/10</f>
        <v>#VALUE!</v>
      </c>
      <c r="H108" s="287" t="e">
        <f t="shared" ref="H108:H124" si="49">E108/10</f>
        <v>#VALUE!</v>
      </c>
      <c r="I108" s="287" t="e">
        <f t="shared" ref="I108:I124" si="50">E108/10</f>
        <v>#VALUE!</v>
      </c>
      <c r="J108" s="287" t="e">
        <f t="shared" ref="J108:J124" si="51">E108/10</f>
        <v>#VALUE!</v>
      </c>
      <c r="K108" s="287" t="e">
        <f t="shared" ref="K108:K124" si="52">E108/10</f>
        <v>#VALUE!</v>
      </c>
      <c r="L108" s="287" t="e">
        <f t="shared" ref="L108:L124" si="53">E108/10</f>
        <v>#VALUE!</v>
      </c>
      <c r="M108" s="287" t="e">
        <f t="shared" ref="M108:M124" si="54">E108/10</f>
        <v>#VALUE!</v>
      </c>
      <c r="N108" s="287" t="e">
        <f t="shared" ref="N108:N124" si="55">E108/10</f>
        <v>#VALUE!</v>
      </c>
      <c r="O108" s="287" t="e">
        <f t="shared" ref="O108:O124" si="56">E108/10</f>
        <v>#VALUE!</v>
      </c>
      <c r="P108" s="288">
        <f t="shared" ref="P108:P124" si="57">C108/$C$11</f>
        <v>2.8965020111742405E-2</v>
      </c>
      <c r="Q108" s="282" t="e">
        <f t="shared" ref="Q108:Q124" si="58">$Q$11*T108</f>
        <v>#VALUE!</v>
      </c>
      <c r="R108" s="282" t="e">
        <f t="shared" ref="R108:R124" si="59">$R$11*P108</f>
        <v>#VALUE!</v>
      </c>
      <c r="S108" s="274">
        <v>2.19977576963017E-2</v>
      </c>
      <c r="T108" s="274">
        <v>2.08130845924849E-2</v>
      </c>
      <c r="U108" s="282">
        <v>67409104</v>
      </c>
    </row>
    <row r="109" spans="1:21" x14ac:dyDescent="0.25">
      <c r="A109" s="283">
        <v>98</v>
      </c>
      <c r="B109" s="284" t="s">
        <v>355</v>
      </c>
      <c r="C109" s="285">
        <v>16662602</v>
      </c>
      <c r="D109" s="286" t="e">
        <f t="shared" si="46"/>
        <v>#VALUE!</v>
      </c>
      <c r="E109" s="285" t="e">
        <f t="shared" si="47"/>
        <v>#VALUE!</v>
      </c>
      <c r="F109" s="287" t="e">
        <f t="shared" ref="F109:F124" si="60">E109/10</f>
        <v>#VALUE!</v>
      </c>
      <c r="G109" s="287" t="e">
        <f t="shared" si="48"/>
        <v>#VALUE!</v>
      </c>
      <c r="H109" s="287" t="e">
        <f t="shared" si="49"/>
        <v>#VALUE!</v>
      </c>
      <c r="I109" s="287" t="e">
        <f t="shared" si="50"/>
        <v>#VALUE!</v>
      </c>
      <c r="J109" s="287" t="e">
        <f t="shared" si="51"/>
        <v>#VALUE!</v>
      </c>
      <c r="K109" s="287" t="e">
        <f t="shared" si="52"/>
        <v>#VALUE!</v>
      </c>
      <c r="L109" s="287" t="e">
        <f t="shared" si="53"/>
        <v>#VALUE!</v>
      </c>
      <c r="M109" s="287" t="e">
        <f t="shared" si="54"/>
        <v>#VALUE!</v>
      </c>
      <c r="N109" s="287" t="e">
        <f t="shared" si="55"/>
        <v>#VALUE!</v>
      </c>
      <c r="O109" s="287" t="e">
        <f t="shared" si="56"/>
        <v>#VALUE!</v>
      </c>
      <c r="P109" s="288">
        <f t="shared" si="57"/>
        <v>8.9223902656450083E-3</v>
      </c>
      <c r="Q109" s="282" t="e">
        <f t="shared" si="58"/>
        <v>#VALUE!</v>
      </c>
      <c r="R109" s="282" t="e">
        <f t="shared" si="59"/>
        <v>#VALUE!</v>
      </c>
      <c r="S109" s="274">
        <v>8.5059338972959097E-3</v>
      </c>
      <c r="T109" s="274">
        <v>7.8985871861461596E-3</v>
      </c>
      <c r="U109" s="282">
        <v>27307155</v>
      </c>
    </row>
    <row r="110" spans="1:21" x14ac:dyDescent="0.25">
      <c r="A110" s="283">
        <v>99</v>
      </c>
      <c r="B110" s="284" t="s">
        <v>139</v>
      </c>
      <c r="C110" s="285">
        <v>24788505</v>
      </c>
      <c r="D110" s="286" t="e">
        <f t="shared" si="46"/>
        <v>#VALUE!</v>
      </c>
      <c r="E110" s="289" t="e">
        <f t="shared" si="47"/>
        <v>#VALUE!</v>
      </c>
      <c r="F110" s="287" t="e">
        <f t="shared" si="60"/>
        <v>#VALUE!</v>
      </c>
      <c r="G110" s="287" t="e">
        <f t="shared" si="48"/>
        <v>#VALUE!</v>
      </c>
      <c r="H110" s="287" t="e">
        <f t="shared" si="49"/>
        <v>#VALUE!</v>
      </c>
      <c r="I110" s="287" t="e">
        <f t="shared" si="50"/>
        <v>#VALUE!</v>
      </c>
      <c r="J110" s="287" t="e">
        <f t="shared" si="51"/>
        <v>#VALUE!</v>
      </c>
      <c r="K110" s="287" t="e">
        <f t="shared" si="52"/>
        <v>#VALUE!</v>
      </c>
      <c r="L110" s="287" t="e">
        <f t="shared" si="53"/>
        <v>#VALUE!</v>
      </c>
      <c r="M110" s="287" t="e">
        <f t="shared" si="54"/>
        <v>#VALUE!</v>
      </c>
      <c r="N110" s="287" t="e">
        <f t="shared" si="55"/>
        <v>#VALUE!</v>
      </c>
      <c r="O110" s="287" t="e">
        <f t="shared" si="56"/>
        <v>#VALUE!</v>
      </c>
      <c r="P110" s="288">
        <f t="shared" si="57"/>
        <v>1.3273600108307972E-2</v>
      </c>
      <c r="Q110" s="282" t="e">
        <f t="shared" si="58"/>
        <v>#VALUE!</v>
      </c>
      <c r="R110" s="282" t="e">
        <f t="shared" si="59"/>
        <v>#VALUE!</v>
      </c>
      <c r="S110" s="274">
        <v>1.11400920499322E-2</v>
      </c>
      <c r="T110" s="274">
        <v>1.05238484192839E-2</v>
      </c>
      <c r="U110" s="282">
        <v>35228242</v>
      </c>
    </row>
    <row r="111" spans="1:21" x14ac:dyDescent="0.25">
      <c r="A111" s="283">
        <v>100</v>
      </c>
      <c r="B111" s="284" t="s">
        <v>125</v>
      </c>
      <c r="C111" s="285">
        <v>9770390</v>
      </c>
      <c r="D111" s="286" t="e">
        <f t="shared" si="46"/>
        <v>#VALUE!</v>
      </c>
      <c r="E111" s="285" t="e">
        <f t="shared" si="47"/>
        <v>#VALUE!</v>
      </c>
      <c r="F111" s="287" t="e">
        <f t="shared" si="60"/>
        <v>#VALUE!</v>
      </c>
      <c r="G111" s="287" t="e">
        <f t="shared" si="48"/>
        <v>#VALUE!</v>
      </c>
      <c r="H111" s="287" t="e">
        <f t="shared" si="49"/>
        <v>#VALUE!</v>
      </c>
      <c r="I111" s="287" t="e">
        <f t="shared" si="50"/>
        <v>#VALUE!</v>
      </c>
      <c r="J111" s="287" t="e">
        <f t="shared" si="51"/>
        <v>#VALUE!</v>
      </c>
      <c r="K111" s="287" t="e">
        <f t="shared" si="52"/>
        <v>#VALUE!</v>
      </c>
      <c r="L111" s="287" t="e">
        <f t="shared" si="53"/>
        <v>#VALUE!</v>
      </c>
      <c r="M111" s="287" t="e">
        <f t="shared" si="54"/>
        <v>#VALUE!</v>
      </c>
      <c r="N111" s="287" t="e">
        <f t="shared" si="55"/>
        <v>#VALUE!</v>
      </c>
      <c r="O111" s="287" t="e">
        <f t="shared" si="56"/>
        <v>#VALUE!</v>
      </c>
      <c r="P111" s="288">
        <f t="shared" si="57"/>
        <v>5.2317898865708572E-3</v>
      </c>
      <c r="Q111" s="282" t="e">
        <f t="shared" si="58"/>
        <v>#VALUE!</v>
      </c>
      <c r="R111" s="282" t="e">
        <f t="shared" si="59"/>
        <v>#VALUE!</v>
      </c>
      <c r="S111" s="274">
        <v>5.3805266774526799E-3</v>
      </c>
      <c r="T111" s="274">
        <v>5.4188197148059601E-3</v>
      </c>
      <c r="U111" s="282">
        <v>19475417</v>
      </c>
    </row>
    <row r="112" spans="1:21" x14ac:dyDescent="0.25">
      <c r="A112" s="283">
        <v>101</v>
      </c>
      <c r="B112" s="284" t="s">
        <v>66</v>
      </c>
      <c r="C112" s="285">
        <v>21826157</v>
      </c>
      <c r="D112" s="286" t="e">
        <f t="shared" si="46"/>
        <v>#VALUE!</v>
      </c>
      <c r="E112" s="285" t="e">
        <f t="shared" si="47"/>
        <v>#VALUE!</v>
      </c>
      <c r="F112" s="287" t="e">
        <f t="shared" si="60"/>
        <v>#VALUE!</v>
      </c>
      <c r="G112" s="287" t="e">
        <f t="shared" si="48"/>
        <v>#VALUE!</v>
      </c>
      <c r="H112" s="287" t="e">
        <f t="shared" si="49"/>
        <v>#VALUE!</v>
      </c>
      <c r="I112" s="287" t="e">
        <f t="shared" si="50"/>
        <v>#VALUE!</v>
      </c>
      <c r="J112" s="287" t="e">
        <f t="shared" si="51"/>
        <v>#VALUE!</v>
      </c>
      <c r="K112" s="287" t="e">
        <f t="shared" si="52"/>
        <v>#VALUE!</v>
      </c>
      <c r="L112" s="287" t="e">
        <f t="shared" si="53"/>
        <v>#VALUE!</v>
      </c>
      <c r="M112" s="287" t="e">
        <f t="shared" si="54"/>
        <v>#VALUE!</v>
      </c>
      <c r="N112" s="287" t="e">
        <f t="shared" si="55"/>
        <v>#VALUE!</v>
      </c>
      <c r="O112" s="287" t="e">
        <f t="shared" si="56"/>
        <v>#VALUE!</v>
      </c>
      <c r="P112" s="288">
        <f t="shared" si="57"/>
        <v>1.1687339753613491E-2</v>
      </c>
      <c r="Q112" s="282" t="e">
        <f t="shared" si="58"/>
        <v>#VALUE!</v>
      </c>
      <c r="R112" s="282" t="e">
        <f t="shared" si="59"/>
        <v>#VALUE!</v>
      </c>
      <c r="S112" s="274">
        <v>9.9757721712649492E-3</v>
      </c>
      <c r="T112" s="274">
        <v>9.3575756592616192E-3</v>
      </c>
      <c r="U112" s="282">
        <v>31420253</v>
      </c>
    </row>
    <row r="113" spans="1:21" x14ac:dyDescent="0.25">
      <c r="A113" s="283">
        <v>102</v>
      </c>
      <c r="B113" s="284" t="s">
        <v>117</v>
      </c>
      <c r="C113" s="285">
        <v>55377926</v>
      </c>
      <c r="D113" s="286" t="e">
        <f t="shared" si="46"/>
        <v>#VALUE!</v>
      </c>
      <c r="E113" s="289" t="e">
        <f t="shared" si="47"/>
        <v>#VALUE!</v>
      </c>
      <c r="F113" s="287" t="e">
        <f t="shared" si="60"/>
        <v>#VALUE!</v>
      </c>
      <c r="G113" s="287" t="e">
        <f t="shared" si="48"/>
        <v>#VALUE!</v>
      </c>
      <c r="H113" s="287" t="e">
        <f t="shared" si="49"/>
        <v>#VALUE!</v>
      </c>
      <c r="I113" s="287" t="e">
        <f t="shared" si="50"/>
        <v>#VALUE!</v>
      </c>
      <c r="J113" s="287" t="e">
        <f t="shared" si="51"/>
        <v>#VALUE!</v>
      </c>
      <c r="K113" s="287" t="e">
        <f t="shared" si="52"/>
        <v>#VALUE!</v>
      </c>
      <c r="L113" s="287" t="e">
        <f t="shared" si="53"/>
        <v>#VALUE!</v>
      </c>
      <c r="M113" s="287" t="e">
        <f t="shared" si="54"/>
        <v>#VALUE!</v>
      </c>
      <c r="N113" s="287" t="e">
        <f t="shared" si="55"/>
        <v>#VALUE!</v>
      </c>
      <c r="O113" s="287" t="e">
        <f t="shared" si="56"/>
        <v>#VALUE!</v>
      </c>
      <c r="P113" s="288">
        <f t="shared" si="57"/>
        <v>2.9653439953376406E-2</v>
      </c>
      <c r="Q113" s="282" t="e">
        <f t="shared" si="58"/>
        <v>#VALUE!</v>
      </c>
      <c r="R113" s="282" t="e">
        <f t="shared" si="59"/>
        <v>#VALUE!</v>
      </c>
      <c r="S113" s="274">
        <v>3.5857116241777898E-2</v>
      </c>
      <c r="T113" s="274">
        <v>4.0391712510137297E-2</v>
      </c>
      <c r="U113" s="282">
        <v>152957946</v>
      </c>
    </row>
    <row r="114" spans="1:21" x14ac:dyDescent="0.25">
      <c r="A114" s="283">
        <v>103</v>
      </c>
      <c r="B114" s="284" t="s">
        <v>356</v>
      </c>
      <c r="C114" s="285">
        <v>8060242</v>
      </c>
      <c r="D114" s="286" t="e">
        <f t="shared" si="46"/>
        <v>#VALUE!</v>
      </c>
      <c r="E114" s="285" t="e">
        <f t="shared" si="47"/>
        <v>#VALUE!</v>
      </c>
      <c r="F114" s="287" t="e">
        <f t="shared" si="60"/>
        <v>#VALUE!</v>
      </c>
      <c r="G114" s="287" t="e">
        <f t="shared" si="48"/>
        <v>#VALUE!</v>
      </c>
      <c r="H114" s="287" t="e">
        <f t="shared" si="49"/>
        <v>#VALUE!</v>
      </c>
      <c r="I114" s="287" t="e">
        <f t="shared" si="50"/>
        <v>#VALUE!</v>
      </c>
      <c r="J114" s="287" t="e">
        <f t="shared" si="51"/>
        <v>#VALUE!</v>
      </c>
      <c r="K114" s="287" t="e">
        <f t="shared" si="52"/>
        <v>#VALUE!</v>
      </c>
      <c r="L114" s="287" t="e">
        <f t="shared" si="53"/>
        <v>#VALUE!</v>
      </c>
      <c r="M114" s="287" t="e">
        <f t="shared" si="54"/>
        <v>#VALUE!</v>
      </c>
      <c r="N114" s="287" t="e">
        <f t="shared" si="55"/>
        <v>#VALUE!</v>
      </c>
      <c r="O114" s="287" t="e">
        <f t="shared" si="56"/>
        <v>#VALUE!</v>
      </c>
      <c r="P114" s="288">
        <f t="shared" si="57"/>
        <v>4.3160500838670367E-3</v>
      </c>
      <c r="Q114" s="282" t="e">
        <f t="shared" si="58"/>
        <v>#VALUE!</v>
      </c>
      <c r="R114" s="282" t="e">
        <f t="shared" si="59"/>
        <v>#VALUE!</v>
      </c>
      <c r="S114" s="274">
        <v>4.7444453945828403E-3</v>
      </c>
      <c r="T114" s="274">
        <v>4.8246230535276104E-3</v>
      </c>
      <c r="U114" s="282">
        <v>17624970</v>
      </c>
    </row>
    <row r="115" spans="1:21" x14ac:dyDescent="0.25">
      <c r="A115" s="283">
        <v>104</v>
      </c>
      <c r="B115" s="284" t="s">
        <v>109</v>
      </c>
      <c r="C115" s="285">
        <v>5903816</v>
      </c>
      <c r="D115" s="286" t="e">
        <f t="shared" si="46"/>
        <v>#VALUE!</v>
      </c>
      <c r="E115" s="285" t="e">
        <f t="shared" si="47"/>
        <v>#VALUE!</v>
      </c>
      <c r="F115" s="287" t="e">
        <f t="shared" si="60"/>
        <v>#VALUE!</v>
      </c>
      <c r="G115" s="287" t="e">
        <f t="shared" si="48"/>
        <v>#VALUE!</v>
      </c>
      <c r="H115" s="287" t="e">
        <f t="shared" si="49"/>
        <v>#VALUE!</v>
      </c>
      <c r="I115" s="287" t="e">
        <f t="shared" si="50"/>
        <v>#VALUE!</v>
      </c>
      <c r="J115" s="287" t="e">
        <f t="shared" si="51"/>
        <v>#VALUE!</v>
      </c>
      <c r="K115" s="287" t="e">
        <f t="shared" si="52"/>
        <v>#VALUE!</v>
      </c>
      <c r="L115" s="287" t="e">
        <f t="shared" si="53"/>
        <v>#VALUE!</v>
      </c>
      <c r="M115" s="287" t="e">
        <f t="shared" si="54"/>
        <v>#VALUE!</v>
      </c>
      <c r="N115" s="287" t="e">
        <f t="shared" si="55"/>
        <v>#VALUE!</v>
      </c>
      <c r="O115" s="287" t="e">
        <f t="shared" si="56"/>
        <v>#VALUE!</v>
      </c>
      <c r="P115" s="288">
        <f t="shared" si="57"/>
        <v>3.1613400121157098E-3</v>
      </c>
      <c r="Q115" s="282" t="e">
        <f t="shared" si="58"/>
        <v>#VALUE!</v>
      </c>
      <c r="R115" s="282" t="e">
        <f t="shared" si="59"/>
        <v>#VALUE!</v>
      </c>
      <c r="S115" s="274">
        <v>3.5404626289695898E-3</v>
      </c>
      <c r="T115" s="274">
        <v>3.4844259074039798E-3</v>
      </c>
      <c r="U115" s="282">
        <v>12692203</v>
      </c>
    </row>
    <row r="116" spans="1:21" x14ac:dyDescent="0.25">
      <c r="A116" s="283">
        <v>105</v>
      </c>
      <c r="B116" s="284" t="s">
        <v>150</v>
      </c>
      <c r="C116" s="285">
        <v>4185507</v>
      </c>
      <c r="D116" s="286" t="e">
        <f t="shared" si="46"/>
        <v>#VALUE!</v>
      </c>
      <c r="E116" s="285" t="e">
        <f t="shared" si="47"/>
        <v>#VALUE!</v>
      </c>
      <c r="F116" s="287" t="e">
        <f t="shared" si="60"/>
        <v>#VALUE!</v>
      </c>
      <c r="G116" s="287" t="e">
        <f t="shared" si="48"/>
        <v>#VALUE!</v>
      </c>
      <c r="H116" s="287" t="e">
        <f t="shared" si="49"/>
        <v>#VALUE!</v>
      </c>
      <c r="I116" s="287" t="e">
        <f t="shared" si="50"/>
        <v>#VALUE!</v>
      </c>
      <c r="J116" s="287" t="e">
        <f t="shared" si="51"/>
        <v>#VALUE!</v>
      </c>
      <c r="K116" s="287" t="e">
        <f t="shared" si="52"/>
        <v>#VALUE!</v>
      </c>
      <c r="L116" s="287" t="e">
        <f t="shared" si="53"/>
        <v>#VALUE!</v>
      </c>
      <c r="M116" s="287" t="e">
        <f t="shared" si="54"/>
        <v>#VALUE!</v>
      </c>
      <c r="N116" s="287" t="e">
        <f t="shared" si="55"/>
        <v>#VALUE!</v>
      </c>
      <c r="O116" s="287" t="e">
        <f t="shared" si="56"/>
        <v>#VALUE!</v>
      </c>
      <c r="P116" s="288">
        <f t="shared" si="57"/>
        <v>2.2412302060379912E-3</v>
      </c>
      <c r="Q116" s="282" t="e">
        <f t="shared" si="58"/>
        <v>#VALUE!</v>
      </c>
      <c r="R116" s="282" t="e">
        <f t="shared" si="59"/>
        <v>#VALUE!</v>
      </c>
      <c r="S116" s="274">
        <v>2.9781549113532201E-3</v>
      </c>
      <c r="T116" s="274">
        <v>2.86565614069407E-3</v>
      </c>
      <c r="U116" s="282">
        <v>10737307</v>
      </c>
    </row>
    <row r="117" spans="1:21" x14ac:dyDescent="0.25">
      <c r="A117" s="283">
        <v>106</v>
      </c>
      <c r="B117" s="284" t="s">
        <v>357</v>
      </c>
      <c r="C117" s="285">
        <v>7936968</v>
      </c>
      <c r="D117" s="286" t="e">
        <f t="shared" si="46"/>
        <v>#VALUE!</v>
      </c>
      <c r="E117" s="285" t="e">
        <f t="shared" si="47"/>
        <v>#VALUE!</v>
      </c>
      <c r="F117" s="287" t="e">
        <f t="shared" si="60"/>
        <v>#VALUE!</v>
      </c>
      <c r="G117" s="287" t="e">
        <f t="shared" si="48"/>
        <v>#VALUE!</v>
      </c>
      <c r="H117" s="287" t="e">
        <f t="shared" si="49"/>
        <v>#VALUE!</v>
      </c>
      <c r="I117" s="287" t="e">
        <f t="shared" si="50"/>
        <v>#VALUE!</v>
      </c>
      <c r="J117" s="287" t="e">
        <f t="shared" si="51"/>
        <v>#VALUE!</v>
      </c>
      <c r="K117" s="287" t="e">
        <f t="shared" si="52"/>
        <v>#VALUE!</v>
      </c>
      <c r="L117" s="287" t="e">
        <f t="shared" si="53"/>
        <v>#VALUE!</v>
      </c>
      <c r="M117" s="287" t="e">
        <f t="shared" si="54"/>
        <v>#VALUE!</v>
      </c>
      <c r="N117" s="287" t="e">
        <f t="shared" si="55"/>
        <v>#VALUE!</v>
      </c>
      <c r="O117" s="287" t="e">
        <f t="shared" si="56"/>
        <v>#VALUE!</v>
      </c>
      <c r="P117" s="288">
        <f t="shared" si="57"/>
        <v>4.2500400610862533E-3</v>
      </c>
      <c r="Q117" s="282" t="e">
        <f t="shared" si="58"/>
        <v>#VALUE!</v>
      </c>
      <c r="R117" s="282" t="e">
        <f t="shared" si="59"/>
        <v>#VALUE!</v>
      </c>
      <c r="S117" s="274">
        <v>4.9323458387346896E-3</v>
      </c>
      <c r="T117" s="274">
        <v>5.2733716566500596E-3</v>
      </c>
      <c r="U117" s="282">
        <v>19653954</v>
      </c>
    </row>
    <row r="118" spans="1:21" x14ac:dyDescent="0.25">
      <c r="A118" s="283">
        <v>107</v>
      </c>
      <c r="B118" s="284" t="s">
        <v>358</v>
      </c>
      <c r="C118" s="285">
        <v>19449179</v>
      </c>
      <c r="D118" s="286" t="e">
        <f t="shared" si="46"/>
        <v>#VALUE!</v>
      </c>
      <c r="E118" s="285" t="e">
        <f t="shared" si="47"/>
        <v>#VALUE!</v>
      </c>
      <c r="F118" s="287" t="e">
        <f t="shared" si="60"/>
        <v>#VALUE!</v>
      </c>
      <c r="G118" s="287" t="e">
        <f t="shared" si="48"/>
        <v>#VALUE!</v>
      </c>
      <c r="H118" s="287" t="e">
        <f t="shared" si="49"/>
        <v>#VALUE!</v>
      </c>
      <c r="I118" s="287" t="e">
        <f t="shared" si="50"/>
        <v>#VALUE!</v>
      </c>
      <c r="J118" s="287" t="e">
        <f t="shared" si="51"/>
        <v>#VALUE!</v>
      </c>
      <c r="K118" s="287" t="e">
        <f t="shared" si="52"/>
        <v>#VALUE!</v>
      </c>
      <c r="L118" s="287" t="e">
        <f t="shared" si="53"/>
        <v>#VALUE!</v>
      </c>
      <c r="M118" s="287" t="e">
        <f t="shared" si="54"/>
        <v>#VALUE!</v>
      </c>
      <c r="N118" s="287" t="e">
        <f t="shared" si="55"/>
        <v>#VALUE!</v>
      </c>
      <c r="O118" s="287" t="e">
        <f t="shared" si="56"/>
        <v>#VALUE!</v>
      </c>
      <c r="P118" s="288">
        <f t="shared" si="57"/>
        <v>1.0414529818595399E-2</v>
      </c>
      <c r="Q118" s="282" t="e">
        <f t="shared" si="58"/>
        <v>#VALUE!</v>
      </c>
      <c r="R118" s="282" t="e">
        <f t="shared" si="59"/>
        <v>#VALUE!</v>
      </c>
      <c r="S118" s="274">
        <v>1.11347407521909E-2</v>
      </c>
      <c r="T118" s="274">
        <v>1.2002546341237E-2</v>
      </c>
      <c r="U118" s="282">
        <v>44115924</v>
      </c>
    </row>
    <row r="119" spans="1:21" x14ac:dyDescent="0.25">
      <c r="A119" s="283">
        <v>108</v>
      </c>
      <c r="B119" s="284" t="s">
        <v>149</v>
      </c>
      <c r="C119" s="285">
        <v>25787769</v>
      </c>
      <c r="D119" s="286" t="e">
        <f t="shared" si="46"/>
        <v>#VALUE!</v>
      </c>
      <c r="E119" s="285" t="e">
        <f t="shared" si="47"/>
        <v>#VALUE!</v>
      </c>
      <c r="F119" s="287" t="e">
        <f t="shared" si="60"/>
        <v>#VALUE!</v>
      </c>
      <c r="G119" s="287" t="e">
        <f t="shared" si="48"/>
        <v>#VALUE!</v>
      </c>
      <c r="H119" s="287" t="e">
        <f t="shared" si="49"/>
        <v>#VALUE!</v>
      </c>
      <c r="I119" s="287" t="e">
        <f t="shared" si="50"/>
        <v>#VALUE!</v>
      </c>
      <c r="J119" s="287" t="e">
        <f t="shared" si="51"/>
        <v>#VALUE!</v>
      </c>
      <c r="K119" s="287" t="e">
        <f t="shared" si="52"/>
        <v>#VALUE!</v>
      </c>
      <c r="L119" s="287" t="e">
        <f t="shared" si="53"/>
        <v>#VALUE!</v>
      </c>
      <c r="M119" s="287" t="e">
        <f t="shared" si="54"/>
        <v>#VALUE!</v>
      </c>
      <c r="N119" s="287" t="e">
        <f t="shared" si="55"/>
        <v>#VALUE!</v>
      </c>
      <c r="O119" s="287" t="e">
        <f t="shared" si="56"/>
        <v>#VALUE!</v>
      </c>
      <c r="P119" s="288">
        <f t="shared" si="57"/>
        <v>1.3808680006778181E-2</v>
      </c>
      <c r="Q119" s="282" t="e">
        <f t="shared" si="58"/>
        <v>#VALUE!</v>
      </c>
      <c r="R119" s="282" t="e">
        <f t="shared" si="59"/>
        <v>#VALUE!</v>
      </c>
      <c r="S119" s="274">
        <v>1.86173248507823E-2</v>
      </c>
      <c r="T119" s="274">
        <v>1.9113920194728899E-2</v>
      </c>
      <c r="U119" s="282">
        <v>72568326</v>
      </c>
    </row>
    <row r="120" spans="1:21" x14ac:dyDescent="0.25">
      <c r="A120" s="283">
        <v>109</v>
      </c>
      <c r="B120" s="284" t="s">
        <v>50</v>
      </c>
      <c r="C120" s="285">
        <v>2235552</v>
      </c>
      <c r="D120" s="286" t="e">
        <f t="shared" si="46"/>
        <v>#VALUE!</v>
      </c>
      <c r="E120" s="285" t="e">
        <f t="shared" si="47"/>
        <v>#VALUE!</v>
      </c>
      <c r="F120" s="287" t="e">
        <f t="shared" si="60"/>
        <v>#VALUE!</v>
      </c>
      <c r="G120" s="287" t="e">
        <f t="shared" si="48"/>
        <v>#VALUE!</v>
      </c>
      <c r="H120" s="287" t="e">
        <f t="shared" si="49"/>
        <v>#VALUE!</v>
      </c>
      <c r="I120" s="287" t="e">
        <f t="shared" si="50"/>
        <v>#VALUE!</v>
      </c>
      <c r="J120" s="287" t="e">
        <f t="shared" si="51"/>
        <v>#VALUE!</v>
      </c>
      <c r="K120" s="287" t="e">
        <f t="shared" si="52"/>
        <v>#VALUE!</v>
      </c>
      <c r="L120" s="287" t="e">
        <f t="shared" si="53"/>
        <v>#VALUE!</v>
      </c>
      <c r="M120" s="287" t="e">
        <f t="shared" si="54"/>
        <v>#VALUE!</v>
      </c>
      <c r="N120" s="287" t="e">
        <f t="shared" si="55"/>
        <v>#VALUE!</v>
      </c>
      <c r="O120" s="287" t="e">
        <f t="shared" si="56"/>
        <v>#VALUE!</v>
      </c>
      <c r="P120" s="288">
        <f t="shared" si="57"/>
        <v>1.1970799880560809E-3</v>
      </c>
      <c r="Q120" s="282" t="e">
        <f t="shared" si="58"/>
        <v>#VALUE!</v>
      </c>
      <c r="R120" s="282" t="e">
        <f t="shared" si="59"/>
        <v>#VALUE!</v>
      </c>
      <c r="S120" s="274">
        <v>1.70336217982873E-3</v>
      </c>
      <c r="T120" s="274">
        <v>2.4475796131329698E-3</v>
      </c>
      <c r="U120" s="282">
        <v>9768617</v>
      </c>
    </row>
    <row r="121" spans="1:21" x14ac:dyDescent="0.25">
      <c r="A121" s="283">
        <v>110</v>
      </c>
      <c r="B121" s="284" t="s">
        <v>111</v>
      </c>
      <c r="C121" s="285">
        <v>25317606</v>
      </c>
      <c r="D121" s="286" t="e">
        <f t="shared" si="46"/>
        <v>#VALUE!</v>
      </c>
      <c r="E121" s="285" t="e">
        <f t="shared" si="47"/>
        <v>#VALUE!</v>
      </c>
      <c r="F121" s="287" t="e">
        <f t="shared" si="60"/>
        <v>#VALUE!</v>
      </c>
      <c r="G121" s="287" t="e">
        <f t="shared" si="48"/>
        <v>#VALUE!</v>
      </c>
      <c r="H121" s="287" t="e">
        <f t="shared" si="49"/>
        <v>#VALUE!</v>
      </c>
      <c r="I121" s="287" t="e">
        <f t="shared" si="50"/>
        <v>#VALUE!</v>
      </c>
      <c r="J121" s="287" t="e">
        <f t="shared" si="51"/>
        <v>#VALUE!</v>
      </c>
      <c r="K121" s="287" t="e">
        <f t="shared" si="52"/>
        <v>#VALUE!</v>
      </c>
      <c r="L121" s="287" t="e">
        <f t="shared" si="53"/>
        <v>#VALUE!</v>
      </c>
      <c r="M121" s="287" t="e">
        <f t="shared" si="54"/>
        <v>#VALUE!</v>
      </c>
      <c r="N121" s="287" t="e">
        <f t="shared" si="55"/>
        <v>#VALUE!</v>
      </c>
      <c r="O121" s="287" t="e">
        <f t="shared" si="56"/>
        <v>#VALUE!</v>
      </c>
      <c r="P121" s="288">
        <f t="shared" si="57"/>
        <v>1.3556919941065367E-2</v>
      </c>
      <c r="Q121" s="282" t="e">
        <f t="shared" si="58"/>
        <v>#VALUE!</v>
      </c>
      <c r="R121" s="282" t="e">
        <f t="shared" si="59"/>
        <v>#VALUE!</v>
      </c>
      <c r="S121" s="274">
        <v>1.2610314476007699E-2</v>
      </c>
      <c r="T121" s="274">
        <v>1.1854431031709399E-2</v>
      </c>
      <c r="U121" s="282">
        <v>40845063</v>
      </c>
    </row>
    <row r="122" spans="1:21" x14ac:dyDescent="0.25">
      <c r="A122" s="283">
        <v>111</v>
      </c>
      <c r="B122" s="284" t="s">
        <v>140</v>
      </c>
      <c r="C122" s="285">
        <v>7082790</v>
      </c>
      <c r="D122" s="286" t="e">
        <f t="shared" si="46"/>
        <v>#VALUE!</v>
      </c>
      <c r="E122" s="285" t="e">
        <f t="shared" si="47"/>
        <v>#VALUE!</v>
      </c>
      <c r="F122" s="287" t="e">
        <f t="shared" si="60"/>
        <v>#VALUE!</v>
      </c>
      <c r="G122" s="287" t="e">
        <f t="shared" si="48"/>
        <v>#VALUE!</v>
      </c>
      <c r="H122" s="287" t="e">
        <f t="shared" si="49"/>
        <v>#VALUE!</v>
      </c>
      <c r="I122" s="287" t="e">
        <f t="shared" si="50"/>
        <v>#VALUE!</v>
      </c>
      <c r="J122" s="287" t="e">
        <f t="shared" si="51"/>
        <v>#VALUE!</v>
      </c>
      <c r="K122" s="287" t="e">
        <f t="shared" si="52"/>
        <v>#VALUE!</v>
      </c>
      <c r="L122" s="287" t="e">
        <f t="shared" si="53"/>
        <v>#VALUE!</v>
      </c>
      <c r="M122" s="287" t="e">
        <f t="shared" si="54"/>
        <v>#VALUE!</v>
      </c>
      <c r="N122" s="287" t="e">
        <f t="shared" si="55"/>
        <v>#VALUE!</v>
      </c>
      <c r="O122" s="287" t="e">
        <f t="shared" si="56"/>
        <v>#VALUE!</v>
      </c>
      <c r="P122" s="288">
        <f t="shared" si="57"/>
        <v>3.7926499444449198E-3</v>
      </c>
      <c r="Q122" s="282" t="e">
        <f t="shared" si="58"/>
        <v>#VALUE!</v>
      </c>
      <c r="R122" s="282" t="e">
        <f t="shared" si="59"/>
        <v>#VALUE!</v>
      </c>
      <c r="S122" s="274">
        <v>4.6743579225821197E-3</v>
      </c>
      <c r="T122" s="274">
        <v>5.7578171054844503E-3</v>
      </c>
      <c r="U122" s="282">
        <v>22166194</v>
      </c>
    </row>
    <row r="123" spans="1:21" x14ac:dyDescent="0.25">
      <c r="A123" s="283">
        <v>112</v>
      </c>
      <c r="B123" s="284" t="s">
        <v>142</v>
      </c>
      <c r="C123" s="285">
        <v>71658922</v>
      </c>
      <c r="D123" s="286" t="e">
        <f t="shared" si="46"/>
        <v>#VALUE!</v>
      </c>
      <c r="E123" s="285" t="e">
        <f t="shared" si="47"/>
        <v>#VALUE!</v>
      </c>
      <c r="F123" s="287" t="e">
        <f t="shared" si="60"/>
        <v>#VALUE!</v>
      </c>
      <c r="G123" s="287" t="e">
        <f t="shared" si="48"/>
        <v>#VALUE!</v>
      </c>
      <c r="H123" s="287" t="e">
        <f t="shared" si="49"/>
        <v>#VALUE!</v>
      </c>
      <c r="I123" s="287" t="e">
        <f t="shared" si="50"/>
        <v>#VALUE!</v>
      </c>
      <c r="J123" s="287" t="e">
        <f t="shared" si="51"/>
        <v>#VALUE!</v>
      </c>
      <c r="K123" s="287" t="e">
        <f t="shared" si="52"/>
        <v>#VALUE!</v>
      </c>
      <c r="L123" s="287" t="e">
        <f t="shared" si="53"/>
        <v>#VALUE!</v>
      </c>
      <c r="M123" s="287" t="e">
        <f t="shared" si="54"/>
        <v>#VALUE!</v>
      </c>
      <c r="N123" s="287" t="e">
        <f t="shared" si="55"/>
        <v>#VALUE!</v>
      </c>
      <c r="O123" s="287" t="e">
        <f t="shared" si="56"/>
        <v>#VALUE!</v>
      </c>
      <c r="P123" s="288">
        <f t="shared" si="57"/>
        <v>3.8371490124976579E-2</v>
      </c>
      <c r="Q123" s="282" t="e">
        <f t="shared" si="58"/>
        <v>#VALUE!</v>
      </c>
      <c r="R123" s="282" t="e">
        <f t="shared" si="59"/>
        <v>#VALUE!</v>
      </c>
      <c r="S123" s="274">
        <v>3.8458669566186598E-2</v>
      </c>
      <c r="T123" s="274">
        <v>4.1598184088970702E-2</v>
      </c>
      <c r="U123" s="282">
        <v>150998080</v>
      </c>
    </row>
    <row r="124" spans="1:21" x14ac:dyDescent="0.25">
      <c r="A124" s="283">
        <v>113</v>
      </c>
      <c r="B124" s="284" t="s">
        <v>101</v>
      </c>
      <c r="C124" s="285">
        <v>17075936</v>
      </c>
      <c r="D124" s="286" t="e">
        <f t="shared" si="46"/>
        <v>#VALUE!</v>
      </c>
      <c r="E124" s="285" t="e">
        <f t="shared" si="47"/>
        <v>#VALUE!</v>
      </c>
      <c r="F124" s="287" t="e">
        <f t="shared" si="60"/>
        <v>#VALUE!</v>
      </c>
      <c r="G124" s="287" t="e">
        <f t="shared" si="48"/>
        <v>#VALUE!</v>
      </c>
      <c r="H124" s="287" t="e">
        <f t="shared" si="49"/>
        <v>#VALUE!</v>
      </c>
      <c r="I124" s="287" t="e">
        <f t="shared" si="50"/>
        <v>#VALUE!</v>
      </c>
      <c r="J124" s="287" t="e">
        <f t="shared" si="51"/>
        <v>#VALUE!</v>
      </c>
      <c r="K124" s="287" t="e">
        <f t="shared" si="52"/>
        <v>#VALUE!</v>
      </c>
      <c r="L124" s="287" t="e">
        <f t="shared" si="53"/>
        <v>#VALUE!</v>
      </c>
      <c r="M124" s="287" t="e">
        <f t="shared" si="54"/>
        <v>#VALUE!</v>
      </c>
      <c r="N124" s="287" t="e">
        <f t="shared" si="55"/>
        <v>#VALUE!</v>
      </c>
      <c r="O124" s="287" t="e">
        <f t="shared" si="56"/>
        <v>#VALUE!</v>
      </c>
      <c r="P124" s="288">
        <f t="shared" si="57"/>
        <v>9.1437198789947188E-3</v>
      </c>
      <c r="Q124" s="282" t="e">
        <f t="shared" si="58"/>
        <v>#VALUE!</v>
      </c>
      <c r="R124" s="282" t="e">
        <f t="shared" si="59"/>
        <v>#VALUE!</v>
      </c>
      <c r="S124" s="274">
        <v>7.7030540315948604E-3</v>
      </c>
      <c r="T124" s="274">
        <v>7.4270354250938302E-3</v>
      </c>
      <c r="U124" s="282">
        <v>25048399</v>
      </c>
    </row>
  </sheetData>
  <mergeCells count="3">
    <mergeCell ref="C8:C9"/>
    <mergeCell ref="D8:D9"/>
    <mergeCell ref="E8:E9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743"/>
  <sheetViews>
    <sheetView workbookViewId="0"/>
  </sheetViews>
  <sheetFormatPr baseColWidth="10" defaultRowHeight="15" x14ac:dyDescent="0.25"/>
  <cols>
    <col min="1" max="1" width="5.5" style="251" customWidth="1"/>
    <col min="2" max="2" width="17.875" style="251" customWidth="1"/>
    <col min="3" max="3" width="10.625" style="251" customWidth="1"/>
    <col min="4" max="4" width="11.75" style="251" customWidth="1"/>
    <col min="5" max="5" width="13" style="251" customWidth="1"/>
    <col min="6" max="6" width="12.5" style="251" customWidth="1"/>
    <col min="7" max="17" width="12.25" style="251" customWidth="1"/>
    <col min="18" max="18" width="13.25" style="251" customWidth="1"/>
    <col min="19" max="20" width="10" style="251" customWidth="1"/>
    <col min="21" max="1024" width="12.875" style="251" customWidth="1"/>
  </cols>
  <sheetData>
    <row r="2" spans="1:22" x14ac:dyDescent="0.25">
      <c r="E2" s="275" t="s">
        <v>413</v>
      </c>
    </row>
    <row r="3" spans="1:22" x14ac:dyDescent="0.25">
      <c r="E3" s="275" t="s">
        <v>0</v>
      </c>
    </row>
    <row r="4" spans="1:22" x14ac:dyDescent="0.25">
      <c r="E4" s="275" t="s">
        <v>163</v>
      </c>
    </row>
    <row r="8" spans="1:22" x14ac:dyDescent="0.25">
      <c r="E8" s="290"/>
    </row>
    <row r="9" spans="1:22" x14ac:dyDescent="0.25">
      <c r="E9" s="290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</row>
    <row r="10" spans="1:22" x14ac:dyDescent="0.25">
      <c r="A10" s="772" t="s">
        <v>437</v>
      </c>
      <c r="B10" s="772"/>
      <c r="C10" s="772"/>
      <c r="D10" s="772"/>
      <c r="E10" s="772"/>
      <c r="F10" s="772"/>
      <c r="G10" s="772"/>
      <c r="H10" s="772"/>
      <c r="I10" s="772"/>
      <c r="J10" s="772"/>
      <c r="K10" s="772"/>
      <c r="L10" s="772"/>
      <c r="M10" s="772"/>
      <c r="N10" s="772"/>
      <c r="O10" s="772"/>
      <c r="P10" s="772"/>
      <c r="Q10" s="772"/>
    </row>
    <row r="11" spans="1:22" x14ac:dyDescent="0.25">
      <c r="A11" s="250"/>
      <c r="B11" s="250"/>
      <c r="C11" s="250"/>
      <c r="D11" s="291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</row>
    <row r="12" spans="1:22" x14ac:dyDescent="0.25">
      <c r="A12" s="250"/>
      <c r="E12" s="290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3"/>
      <c r="R12" s="290"/>
    </row>
    <row r="13" spans="1:22" s="251" customFormat="1" ht="25.5" x14ac:dyDescent="0.25">
      <c r="A13" s="256"/>
      <c r="B13" s="256"/>
      <c r="C13" s="294" t="s">
        <v>438</v>
      </c>
      <c r="D13" s="252" t="s">
        <v>16</v>
      </c>
      <c r="E13" s="294" t="s">
        <v>439</v>
      </c>
      <c r="F13" s="276" t="s">
        <v>268</v>
      </c>
      <c r="G13" s="276" t="s">
        <v>270</v>
      </c>
      <c r="H13" s="276" t="s">
        <v>272</v>
      </c>
      <c r="I13" s="276" t="s">
        <v>274</v>
      </c>
      <c r="J13" s="276" t="s">
        <v>275</v>
      </c>
      <c r="K13" s="276" t="s">
        <v>277</v>
      </c>
      <c r="L13" s="276" t="s">
        <v>279</v>
      </c>
      <c r="M13" s="276" t="s">
        <v>289</v>
      </c>
      <c r="N13" s="276" t="s">
        <v>290</v>
      </c>
      <c r="O13" s="276" t="s">
        <v>291</v>
      </c>
      <c r="P13" s="276" t="s">
        <v>292</v>
      </c>
      <c r="Q13" s="276" t="s">
        <v>293</v>
      </c>
    </row>
    <row r="14" spans="1:22" s="251" customFormat="1" ht="12.75" x14ac:dyDescent="0.25">
      <c r="A14" s="278" t="s">
        <v>170</v>
      </c>
      <c r="B14" s="278" t="s">
        <v>171</v>
      </c>
      <c r="C14" s="279" t="s">
        <v>217</v>
      </c>
      <c r="D14" s="253" t="s">
        <v>440</v>
      </c>
      <c r="E14" s="253" t="s">
        <v>441</v>
      </c>
      <c r="F14" s="295" t="s">
        <v>442</v>
      </c>
      <c r="G14" s="295" t="s">
        <v>443</v>
      </c>
      <c r="H14" s="295" t="s">
        <v>444</v>
      </c>
      <c r="I14" s="295" t="s">
        <v>445</v>
      </c>
      <c r="J14" s="295" t="s">
        <v>446</v>
      </c>
      <c r="K14" s="295" t="s">
        <v>447</v>
      </c>
      <c r="L14" s="295" t="s">
        <v>448</v>
      </c>
      <c r="M14" s="295" t="s">
        <v>449</v>
      </c>
      <c r="N14" s="295" t="s">
        <v>450</v>
      </c>
      <c r="O14" s="295" t="s">
        <v>451</v>
      </c>
      <c r="P14" s="295" t="s">
        <v>452</v>
      </c>
      <c r="Q14" s="295" t="s">
        <v>453</v>
      </c>
    </row>
    <row r="15" spans="1:22" s="251" customFormat="1" ht="23.25" customHeight="1" x14ac:dyDescent="0.25">
      <c r="A15" s="296"/>
      <c r="B15" s="297" t="s">
        <v>191</v>
      </c>
      <c r="C15" s="298">
        <f>SUM(C16:C128)</f>
        <v>4748846</v>
      </c>
      <c r="D15" s="299">
        <f>SUM(D16:D128)</f>
        <v>100.00000000000004</v>
      </c>
      <c r="E15" s="300" t="s">
        <v>436</v>
      </c>
      <c r="F15" s="298" t="e">
        <f t="shared" ref="F15:S15" si="0">SUM(F16:F128)</f>
        <v>#VALUE!</v>
      </c>
      <c r="G15" s="298" t="e">
        <f t="shared" si="0"/>
        <v>#VALUE!</v>
      </c>
      <c r="H15" s="298" t="e">
        <f t="shared" si="0"/>
        <v>#VALUE!</v>
      </c>
      <c r="I15" s="298" t="e">
        <f t="shared" si="0"/>
        <v>#VALUE!</v>
      </c>
      <c r="J15" s="298" t="e">
        <f t="shared" si="0"/>
        <v>#VALUE!</v>
      </c>
      <c r="K15" s="298" t="e">
        <f t="shared" si="0"/>
        <v>#VALUE!</v>
      </c>
      <c r="L15" s="298" t="e">
        <f t="shared" si="0"/>
        <v>#VALUE!</v>
      </c>
      <c r="M15" s="298" t="e">
        <f t="shared" si="0"/>
        <v>#VALUE!</v>
      </c>
      <c r="N15" s="298" t="e">
        <f t="shared" si="0"/>
        <v>#VALUE!</v>
      </c>
      <c r="O15" s="298" t="e">
        <f t="shared" si="0"/>
        <v>#VALUE!</v>
      </c>
      <c r="P15" s="298" t="e">
        <f t="shared" si="0"/>
        <v>#VALUE!</v>
      </c>
      <c r="Q15" s="298" t="e">
        <f t="shared" si="0"/>
        <v>#VALUE!</v>
      </c>
      <c r="R15" s="300" t="e">
        <f t="shared" si="0"/>
        <v>#VALUE!</v>
      </c>
      <c r="S15" s="300" t="e">
        <f t="shared" si="0"/>
        <v>#VALUE!</v>
      </c>
    </row>
    <row r="16" spans="1:22" s="251" customFormat="1" ht="12.75" x14ac:dyDescent="0.25">
      <c r="A16" s="278">
        <v>1</v>
      </c>
      <c r="B16" s="301" t="s">
        <v>43</v>
      </c>
      <c r="C16" s="302">
        <v>11301</v>
      </c>
      <c r="D16" s="303">
        <f t="shared" ref="D16:D47" si="1">C16/$C$129%</f>
        <v>0.23797360453465957</v>
      </c>
      <c r="E16" s="304" t="e">
        <f t="shared" ref="E16:E47" si="2">$E$15*D16%</f>
        <v>#VALUE!</v>
      </c>
      <c r="F16" s="302" t="e">
        <f t="shared" ref="F16:F47" si="3">E16/12</f>
        <v>#VALUE!</v>
      </c>
      <c r="G16" s="298" t="e">
        <f t="shared" ref="G16:G47" si="4">E16/12</f>
        <v>#VALUE!</v>
      </c>
      <c r="H16" s="298" t="e">
        <f t="shared" ref="H16:H47" si="5">E16/12</f>
        <v>#VALUE!</v>
      </c>
      <c r="I16" s="298" t="e">
        <f t="shared" ref="I16:I47" si="6">E16/12</f>
        <v>#VALUE!</v>
      </c>
      <c r="J16" s="298" t="e">
        <f t="shared" ref="J16:J47" si="7">E16/12</f>
        <v>#VALUE!</v>
      </c>
      <c r="K16" s="298" t="e">
        <f t="shared" ref="K16:K47" si="8">E16/12</f>
        <v>#VALUE!</v>
      </c>
      <c r="L16" s="298" t="e">
        <f t="shared" ref="L16:L47" si="9">E16/12</f>
        <v>#VALUE!</v>
      </c>
      <c r="M16" s="298" t="e">
        <f t="shared" ref="M16:M47" si="10">E16/12</f>
        <v>#VALUE!</v>
      </c>
      <c r="N16" s="298" t="e">
        <f t="shared" ref="N16:N47" si="11">E16/12</f>
        <v>#VALUE!</v>
      </c>
      <c r="O16" s="305" t="e">
        <f t="shared" ref="O16:O47" si="12">E16/12</f>
        <v>#VALUE!</v>
      </c>
      <c r="P16" s="305" t="e">
        <f t="shared" ref="P16:P47" si="13">E16/12</f>
        <v>#VALUE!</v>
      </c>
      <c r="Q16" s="305" t="e">
        <f t="shared" ref="Q16:Q47" si="14">E16/12</f>
        <v>#VALUE!</v>
      </c>
      <c r="R16" s="306" t="e">
        <f t="shared" ref="R16:R47" si="15">SUM(F16:Q16)</f>
        <v>#VALUE!</v>
      </c>
      <c r="S16" s="290" t="e">
        <f t="shared" ref="S16:S47" si="16">R16-E16</f>
        <v>#VALUE!</v>
      </c>
      <c r="T16" s="290"/>
    </row>
    <row r="17" spans="1:20" s="251" customFormat="1" ht="12.75" x14ac:dyDescent="0.25">
      <c r="A17" s="258">
        <v>2</v>
      </c>
      <c r="B17" s="301" t="s">
        <v>46</v>
      </c>
      <c r="C17" s="307">
        <v>14754</v>
      </c>
      <c r="D17" s="303">
        <f t="shared" si="1"/>
        <v>0.31068600666351365</v>
      </c>
      <c r="E17" s="304" t="e">
        <f t="shared" si="2"/>
        <v>#VALUE!</v>
      </c>
      <c r="F17" s="302" t="e">
        <f t="shared" si="3"/>
        <v>#VALUE!</v>
      </c>
      <c r="G17" s="298" t="e">
        <f t="shared" si="4"/>
        <v>#VALUE!</v>
      </c>
      <c r="H17" s="298" t="e">
        <f t="shared" si="5"/>
        <v>#VALUE!</v>
      </c>
      <c r="I17" s="298" t="e">
        <f t="shared" si="6"/>
        <v>#VALUE!</v>
      </c>
      <c r="J17" s="298" t="e">
        <f t="shared" si="7"/>
        <v>#VALUE!</v>
      </c>
      <c r="K17" s="298" t="e">
        <f t="shared" si="8"/>
        <v>#VALUE!</v>
      </c>
      <c r="L17" s="298" t="e">
        <f t="shared" si="9"/>
        <v>#VALUE!</v>
      </c>
      <c r="M17" s="298" t="e">
        <f t="shared" si="10"/>
        <v>#VALUE!</v>
      </c>
      <c r="N17" s="298" t="e">
        <f t="shared" si="11"/>
        <v>#VALUE!</v>
      </c>
      <c r="O17" s="305" t="e">
        <f t="shared" si="12"/>
        <v>#VALUE!</v>
      </c>
      <c r="P17" s="305" t="e">
        <f t="shared" si="13"/>
        <v>#VALUE!</v>
      </c>
      <c r="Q17" s="305" t="e">
        <f t="shared" si="14"/>
        <v>#VALUE!</v>
      </c>
      <c r="R17" s="306" t="e">
        <f t="shared" si="15"/>
        <v>#VALUE!</v>
      </c>
      <c r="S17" s="290" t="e">
        <f t="shared" si="16"/>
        <v>#VALUE!</v>
      </c>
      <c r="T17" s="290"/>
    </row>
    <row r="18" spans="1:20" s="251" customFormat="1" ht="12.75" x14ac:dyDescent="0.25">
      <c r="A18" s="278">
        <v>3</v>
      </c>
      <c r="B18" s="301" t="s">
        <v>49</v>
      </c>
      <c r="C18" s="307">
        <v>23000</v>
      </c>
      <c r="D18" s="303">
        <f t="shared" si="1"/>
        <v>0.48432819257562787</v>
      </c>
      <c r="E18" s="304" t="e">
        <f t="shared" si="2"/>
        <v>#VALUE!</v>
      </c>
      <c r="F18" s="302" t="e">
        <f t="shared" si="3"/>
        <v>#VALUE!</v>
      </c>
      <c r="G18" s="298" t="e">
        <f t="shared" si="4"/>
        <v>#VALUE!</v>
      </c>
      <c r="H18" s="298" t="e">
        <f t="shared" si="5"/>
        <v>#VALUE!</v>
      </c>
      <c r="I18" s="298" t="e">
        <f t="shared" si="6"/>
        <v>#VALUE!</v>
      </c>
      <c r="J18" s="298" t="e">
        <f t="shared" si="7"/>
        <v>#VALUE!</v>
      </c>
      <c r="K18" s="298" t="e">
        <f t="shared" si="8"/>
        <v>#VALUE!</v>
      </c>
      <c r="L18" s="298" t="e">
        <f t="shared" si="9"/>
        <v>#VALUE!</v>
      </c>
      <c r="M18" s="298" t="e">
        <f t="shared" si="10"/>
        <v>#VALUE!</v>
      </c>
      <c r="N18" s="298" t="e">
        <f t="shared" si="11"/>
        <v>#VALUE!</v>
      </c>
      <c r="O18" s="305" t="e">
        <f t="shared" si="12"/>
        <v>#VALUE!</v>
      </c>
      <c r="P18" s="305" t="e">
        <f t="shared" si="13"/>
        <v>#VALUE!</v>
      </c>
      <c r="Q18" s="305" t="e">
        <f t="shared" si="14"/>
        <v>#VALUE!</v>
      </c>
      <c r="R18" s="306" t="e">
        <f t="shared" si="15"/>
        <v>#VALUE!</v>
      </c>
      <c r="S18" s="290" t="e">
        <f t="shared" si="16"/>
        <v>#VALUE!</v>
      </c>
      <c r="T18" s="290"/>
    </row>
    <row r="19" spans="1:20" s="251" customFormat="1" ht="12.75" x14ac:dyDescent="0.25">
      <c r="A19" s="258">
        <v>4</v>
      </c>
      <c r="B19" s="301" t="s">
        <v>52</v>
      </c>
      <c r="C19" s="307">
        <v>14943</v>
      </c>
      <c r="D19" s="303">
        <f t="shared" si="1"/>
        <v>0.31466592094163509</v>
      </c>
      <c r="E19" s="304" t="e">
        <f t="shared" si="2"/>
        <v>#VALUE!</v>
      </c>
      <c r="F19" s="302" t="e">
        <f t="shared" si="3"/>
        <v>#VALUE!</v>
      </c>
      <c r="G19" s="298" t="e">
        <f t="shared" si="4"/>
        <v>#VALUE!</v>
      </c>
      <c r="H19" s="298" t="e">
        <f t="shared" si="5"/>
        <v>#VALUE!</v>
      </c>
      <c r="I19" s="298" t="e">
        <f t="shared" si="6"/>
        <v>#VALUE!</v>
      </c>
      <c r="J19" s="298" t="e">
        <f t="shared" si="7"/>
        <v>#VALUE!</v>
      </c>
      <c r="K19" s="298" t="e">
        <f t="shared" si="8"/>
        <v>#VALUE!</v>
      </c>
      <c r="L19" s="298" t="e">
        <f t="shared" si="9"/>
        <v>#VALUE!</v>
      </c>
      <c r="M19" s="298" t="e">
        <f t="shared" si="10"/>
        <v>#VALUE!</v>
      </c>
      <c r="N19" s="298" t="e">
        <f t="shared" si="11"/>
        <v>#VALUE!</v>
      </c>
      <c r="O19" s="305" t="e">
        <f t="shared" si="12"/>
        <v>#VALUE!</v>
      </c>
      <c r="P19" s="305" t="e">
        <f t="shared" si="13"/>
        <v>#VALUE!</v>
      </c>
      <c r="Q19" s="305" t="e">
        <f t="shared" si="14"/>
        <v>#VALUE!</v>
      </c>
      <c r="R19" s="306" t="e">
        <f t="shared" si="15"/>
        <v>#VALUE!</v>
      </c>
      <c r="S19" s="290" t="e">
        <f t="shared" si="16"/>
        <v>#VALUE!</v>
      </c>
      <c r="T19" s="290"/>
    </row>
    <row r="20" spans="1:20" s="251" customFormat="1" ht="12.75" x14ac:dyDescent="0.25">
      <c r="A20" s="278">
        <v>5</v>
      </c>
      <c r="B20" s="301" t="s">
        <v>54</v>
      </c>
      <c r="C20" s="307">
        <v>10892</v>
      </c>
      <c r="D20" s="303">
        <f t="shared" si="1"/>
        <v>0.22936098580581471</v>
      </c>
      <c r="E20" s="304" t="e">
        <f t="shared" si="2"/>
        <v>#VALUE!</v>
      </c>
      <c r="F20" s="302" t="e">
        <f t="shared" si="3"/>
        <v>#VALUE!</v>
      </c>
      <c r="G20" s="298" t="e">
        <f t="shared" si="4"/>
        <v>#VALUE!</v>
      </c>
      <c r="H20" s="298" t="e">
        <f t="shared" si="5"/>
        <v>#VALUE!</v>
      </c>
      <c r="I20" s="298" t="e">
        <f t="shared" si="6"/>
        <v>#VALUE!</v>
      </c>
      <c r="J20" s="298" t="e">
        <f t="shared" si="7"/>
        <v>#VALUE!</v>
      </c>
      <c r="K20" s="298" t="e">
        <f t="shared" si="8"/>
        <v>#VALUE!</v>
      </c>
      <c r="L20" s="298" t="e">
        <f t="shared" si="9"/>
        <v>#VALUE!</v>
      </c>
      <c r="M20" s="298" t="e">
        <f t="shared" si="10"/>
        <v>#VALUE!</v>
      </c>
      <c r="N20" s="298" t="e">
        <f t="shared" si="11"/>
        <v>#VALUE!</v>
      </c>
      <c r="O20" s="305" t="e">
        <f t="shared" si="12"/>
        <v>#VALUE!</v>
      </c>
      <c r="P20" s="305" t="e">
        <f t="shared" si="13"/>
        <v>#VALUE!</v>
      </c>
      <c r="Q20" s="305" t="e">
        <f t="shared" si="14"/>
        <v>#VALUE!</v>
      </c>
      <c r="R20" s="306" t="e">
        <f t="shared" si="15"/>
        <v>#VALUE!</v>
      </c>
      <c r="S20" s="290" t="e">
        <f t="shared" si="16"/>
        <v>#VALUE!</v>
      </c>
      <c r="T20" s="290"/>
    </row>
    <row r="21" spans="1:20" s="251" customFormat="1" ht="12.75" x14ac:dyDescent="0.25">
      <c r="A21" s="258">
        <v>6</v>
      </c>
      <c r="B21" s="301" t="s">
        <v>57</v>
      </c>
      <c r="C21" s="307">
        <v>126191</v>
      </c>
      <c r="D21" s="303">
        <f t="shared" si="1"/>
        <v>2.6572982151874371</v>
      </c>
      <c r="E21" s="304" t="e">
        <f t="shared" si="2"/>
        <v>#VALUE!</v>
      </c>
      <c r="F21" s="302" t="e">
        <f t="shared" si="3"/>
        <v>#VALUE!</v>
      </c>
      <c r="G21" s="298" t="e">
        <f t="shared" si="4"/>
        <v>#VALUE!</v>
      </c>
      <c r="H21" s="298" t="e">
        <f t="shared" si="5"/>
        <v>#VALUE!</v>
      </c>
      <c r="I21" s="298" t="e">
        <f t="shared" si="6"/>
        <v>#VALUE!</v>
      </c>
      <c r="J21" s="298" t="e">
        <f t="shared" si="7"/>
        <v>#VALUE!</v>
      </c>
      <c r="K21" s="298" t="e">
        <f t="shared" si="8"/>
        <v>#VALUE!</v>
      </c>
      <c r="L21" s="298" t="e">
        <f t="shared" si="9"/>
        <v>#VALUE!</v>
      </c>
      <c r="M21" s="298" t="e">
        <f t="shared" si="10"/>
        <v>#VALUE!</v>
      </c>
      <c r="N21" s="298" t="e">
        <f t="shared" si="11"/>
        <v>#VALUE!</v>
      </c>
      <c r="O21" s="305" t="e">
        <f t="shared" si="12"/>
        <v>#VALUE!</v>
      </c>
      <c r="P21" s="305" t="e">
        <f t="shared" si="13"/>
        <v>#VALUE!</v>
      </c>
      <c r="Q21" s="305" t="e">
        <f t="shared" si="14"/>
        <v>#VALUE!</v>
      </c>
      <c r="R21" s="306" t="e">
        <f t="shared" si="15"/>
        <v>#VALUE!</v>
      </c>
      <c r="S21" s="290" t="e">
        <f t="shared" si="16"/>
        <v>#VALUE!</v>
      </c>
      <c r="T21" s="290"/>
    </row>
    <row r="22" spans="1:20" s="251" customFormat="1" ht="12.75" x14ac:dyDescent="0.25">
      <c r="A22" s="278">
        <v>7</v>
      </c>
      <c r="B22" s="301" t="s">
        <v>426</v>
      </c>
      <c r="C22" s="307">
        <v>3529</v>
      </c>
      <c r="D22" s="303">
        <f t="shared" si="1"/>
        <v>7.4312790939103937E-2</v>
      </c>
      <c r="E22" s="304" t="e">
        <f t="shared" si="2"/>
        <v>#VALUE!</v>
      </c>
      <c r="F22" s="302" t="e">
        <f t="shared" si="3"/>
        <v>#VALUE!</v>
      </c>
      <c r="G22" s="298" t="e">
        <f t="shared" si="4"/>
        <v>#VALUE!</v>
      </c>
      <c r="H22" s="298" t="e">
        <f t="shared" si="5"/>
        <v>#VALUE!</v>
      </c>
      <c r="I22" s="298" t="e">
        <f t="shared" si="6"/>
        <v>#VALUE!</v>
      </c>
      <c r="J22" s="298" t="e">
        <f t="shared" si="7"/>
        <v>#VALUE!</v>
      </c>
      <c r="K22" s="298" t="e">
        <f t="shared" si="8"/>
        <v>#VALUE!</v>
      </c>
      <c r="L22" s="298" t="e">
        <f t="shared" si="9"/>
        <v>#VALUE!</v>
      </c>
      <c r="M22" s="298" t="e">
        <f t="shared" si="10"/>
        <v>#VALUE!</v>
      </c>
      <c r="N22" s="298" t="e">
        <f t="shared" si="11"/>
        <v>#VALUE!</v>
      </c>
      <c r="O22" s="305" t="e">
        <f t="shared" si="12"/>
        <v>#VALUE!</v>
      </c>
      <c r="P22" s="305" t="e">
        <f t="shared" si="13"/>
        <v>#VALUE!</v>
      </c>
      <c r="Q22" s="305" t="e">
        <f t="shared" si="14"/>
        <v>#VALUE!</v>
      </c>
      <c r="R22" s="306" t="e">
        <f t="shared" si="15"/>
        <v>#VALUE!</v>
      </c>
      <c r="S22" s="290" t="e">
        <f t="shared" si="16"/>
        <v>#VALUE!</v>
      </c>
      <c r="T22" s="290"/>
    </row>
    <row r="23" spans="1:20" s="251" customFormat="1" ht="12.75" x14ac:dyDescent="0.25">
      <c r="A23" s="258">
        <v>8</v>
      </c>
      <c r="B23" s="301" t="s">
        <v>59</v>
      </c>
      <c r="C23" s="307">
        <v>24676</v>
      </c>
      <c r="D23" s="303">
        <f t="shared" si="1"/>
        <v>0.51962097739113877</v>
      </c>
      <c r="E23" s="304" t="e">
        <f t="shared" si="2"/>
        <v>#VALUE!</v>
      </c>
      <c r="F23" s="302" t="e">
        <f t="shared" si="3"/>
        <v>#VALUE!</v>
      </c>
      <c r="G23" s="298" t="e">
        <f t="shared" si="4"/>
        <v>#VALUE!</v>
      </c>
      <c r="H23" s="298" t="e">
        <f t="shared" si="5"/>
        <v>#VALUE!</v>
      </c>
      <c r="I23" s="298" t="e">
        <f t="shared" si="6"/>
        <v>#VALUE!</v>
      </c>
      <c r="J23" s="298" t="e">
        <f t="shared" si="7"/>
        <v>#VALUE!</v>
      </c>
      <c r="K23" s="298" t="e">
        <f t="shared" si="8"/>
        <v>#VALUE!</v>
      </c>
      <c r="L23" s="298" t="e">
        <f t="shared" si="9"/>
        <v>#VALUE!</v>
      </c>
      <c r="M23" s="298" t="e">
        <f t="shared" si="10"/>
        <v>#VALUE!</v>
      </c>
      <c r="N23" s="298" t="e">
        <f t="shared" si="11"/>
        <v>#VALUE!</v>
      </c>
      <c r="O23" s="305" t="e">
        <f t="shared" si="12"/>
        <v>#VALUE!</v>
      </c>
      <c r="P23" s="305" t="e">
        <f t="shared" si="13"/>
        <v>#VALUE!</v>
      </c>
      <c r="Q23" s="305" t="e">
        <f t="shared" si="14"/>
        <v>#VALUE!</v>
      </c>
      <c r="R23" s="306" t="e">
        <f t="shared" si="15"/>
        <v>#VALUE!</v>
      </c>
      <c r="S23" s="290" t="e">
        <f t="shared" si="16"/>
        <v>#VALUE!</v>
      </c>
      <c r="T23" s="290"/>
    </row>
    <row r="24" spans="1:20" s="251" customFormat="1" ht="12.75" x14ac:dyDescent="0.25">
      <c r="A24" s="278">
        <v>9</v>
      </c>
      <c r="B24" s="301" t="s">
        <v>342</v>
      </c>
      <c r="C24" s="307">
        <v>36268</v>
      </c>
      <c r="D24" s="303">
        <f t="shared" si="1"/>
        <v>0.76372238644925527</v>
      </c>
      <c r="E24" s="304" t="e">
        <f t="shared" si="2"/>
        <v>#VALUE!</v>
      </c>
      <c r="F24" s="302" t="e">
        <f t="shared" si="3"/>
        <v>#VALUE!</v>
      </c>
      <c r="G24" s="298" t="e">
        <f t="shared" si="4"/>
        <v>#VALUE!</v>
      </c>
      <c r="H24" s="298" t="e">
        <f t="shared" si="5"/>
        <v>#VALUE!</v>
      </c>
      <c r="I24" s="298" t="e">
        <f t="shared" si="6"/>
        <v>#VALUE!</v>
      </c>
      <c r="J24" s="298" t="e">
        <f t="shared" si="7"/>
        <v>#VALUE!</v>
      </c>
      <c r="K24" s="298" t="e">
        <f t="shared" si="8"/>
        <v>#VALUE!</v>
      </c>
      <c r="L24" s="298" t="e">
        <f t="shared" si="9"/>
        <v>#VALUE!</v>
      </c>
      <c r="M24" s="298" t="e">
        <f t="shared" si="10"/>
        <v>#VALUE!</v>
      </c>
      <c r="N24" s="298" t="e">
        <f t="shared" si="11"/>
        <v>#VALUE!</v>
      </c>
      <c r="O24" s="305" t="e">
        <f t="shared" si="12"/>
        <v>#VALUE!</v>
      </c>
      <c r="P24" s="305" t="e">
        <f t="shared" si="13"/>
        <v>#VALUE!</v>
      </c>
      <c r="Q24" s="305" t="e">
        <f t="shared" si="14"/>
        <v>#VALUE!</v>
      </c>
      <c r="R24" s="306" t="e">
        <f t="shared" si="15"/>
        <v>#VALUE!</v>
      </c>
      <c r="S24" s="290" t="e">
        <f t="shared" si="16"/>
        <v>#VALUE!</v>
      </c>
      <c r="T24" s="290"/>
    </row>
    <row r="25" spans="1:20" s="251" customFormat="1" ht="12.75" x14ac:dyDescent="0.25">
      <c r="A25" s="258">
        <v>10</v>
      </c>
      <c r="B25" s="301" t="s">
        <v>64</v>
      </c>
      <c r="C25" s="307">
        <v>20332</v>
      </c>
      <c r="D25" s="303">
        <f t="shared" si="1"/>
        <v>0.428146122236855</v>
      </c>
      <c r="E25" s="304" t="e">
        <f t="shared" si="2"/>
        <v>#VALUE!</v>
      </c>
      <c r="F25" s="302" t="e">
        <f t="shared" si="3"/>
        <v>#VALUE!</v>
      </c>
      <c r="G25" s="298" t="e">
        <f t="shared" si="4"/>
        <v>#VALUE!</v>
      </c>
      <c r="H25" s="298" t="e">
        <f t="shared" si="5"/>
        <v>#VALUE!</v>
      </c>
      <c r="I25" s="298" t="e">
        <f t="shared" si="6"/>
        <v>#VALUE!</v>
      </c>
      <c r="J25" s="298" t="e">
        <f t="shared" si="7"/>
        <v>#VALUE!</v>
      </c>
      <c r="K25" s="298" t="e">
        <f t="shared" si="8"/>
        <v>#VALUE!</v>
      </c>
      <c r="L25" s="298" t="e">
        <f t="shared" si="9"/>
        <v>#VALUE!</v>
      </c>
      <c r="M25" s="298" t="e">
        <f t="shared" si="10"/>
        <v>#VALUE!</v>
      </c>
      <c r="N25" s="298" t="e">
        <f t="shared" si="11"/>
        <v>#VALUE!</v>
      </c>
      <c r="O25" s="305" t="e">
        <f t="shared" si="12"/>
        <v>#VALUE!</v>
      </c>
      <c r="P25" s="305" t="e">
        <f t="shared" si="13"/>
        <v>#VALUE!</v>
      </c>
      <c r="Q25" s="305" t="e">
        <f t="shared" si="14"/>
        <v>#VALUE!</v>
      </c>
      <c r="R25" s="306" t="e">
        <f t="shared" si="15"/>
        <v>#VALUE!</v>
      </c>
      <c r="S25" s="290" t="e">
        <f t="shared" si="16"/>
        <v>#VALUE!</v>
      </c>
      <c r="T25" s="290"/>
    </row>
    <row r="26" spans="1:20" s="251" customFormat="1" ht="12.75" x14ac:dyDescent="0.25">
      <c r="A26" s="278">
        <v>11</v>
      </c>
      <c r="B26" s="301" t="s">
        <v>343</v>
      </c>
      <c r="C26" s="307">
        <v>11681</v>
      </c>
      <c r="D26" s="303">
        <f t="shared" si="1"/>
        <v>0.24597554858590909</v>
      </c>
      <c r="E26" s="304" t="e">
        <f t="shared" si="2"/>
        <v>#VALUE!</v>
      </c>
      <c r="F26" s="302" t="e">
        <f t="shared" si="3"/>
        <v>#VALUE!</v>
      </c>
      <c r="G26" s="298" t="e">
        <f t="shared" si="4"/>
        <v>#VALUE!</v>
      </c>
      <c r="H26" s="298" t="e">
        <f t="shared" si="5"/>
        <v>#VALUE!</v>
      </c>
      <c r="I26" s="298" t="e">
        <f t="shared" si="6"/>
        <v>#VALUE!</v>
      </c>
      <c r="J26" s="298" t="e">
        <f t="shared" si="7"/>
        <v>#VALUE!</v>
      </c>
      <c r="K26" s="298" t="e">
        <f t="shared" si="8"/>
        <v>#VALUE!</v>
      </c>
      <c r="L26" s="298" t="e">
        <f t="shared" si="9"/>
        <v>#VALUE!</v>
      </c>
      <c r="M26" s="298" t="e">
        <f t="shared" si="10"/>
        <v>#VALUE!</v>
      </c>
      <c r="N26" s="298" t="e">
        <f t="shared" si="11"/>
        <v>#VALUE!</v>
      </c>
      <c r="O26" s="305" t="e">
        <f t="shared" si="12"/>
        <v>#VALUE!</v>
      </c>
      <c r="P26" s="305" t="e">
        <f t="shared" si="13"/>
        <v>#VALUE!</v>
      </c>
      <c r="Q26" s="305" t="e">
        <f t="shared" si="14"/>
        <v>#VALUE!</v>
      </c>
      <c r="R26" s="306" t="e">
        <f t="shared" si="15"/>
        <v>#VALUE!</v>
      </c>
      <c r="S26" s="290" t="e">
        <f t="shared" si="16"/>
        <v>#VALUE!</v>
      </c>
      <c r="T26" s="290"/>
    </row>
    <row r="27" spans="1:20" s="251" customFormat="1" ht="12.75" x14ac:dyDescent="0.25">
      <c r="A27" s="258">
        <v>12</v>
      </c>
      <c r="B27" s="301" t="s">
        <v>384</v>
      </c>
      <c r="C27" s="307">
        <v>45538</v>
      </c>
      <c r="D27" s="303">
        <f t="shared" si="1"/>
        <v>0.95892770580473663</v>
      </c>
      <c r="E27" s="304" t="e">
        <f t="shared" si="2"/>
        <v>#VALUE!</v>
      </c>
      <c r="F27" s="302" t="e">
        <f t="shared" si="3"/>
        <v>#VALUE!</v>
      </c>
      <c r="G27" s="298" t="e">
        <f t="shared" si="4"/>
        <v>#VALUE!</v>
      </c>
      <c r="H27" s="298" t="e">
        <f t="shared" si="5"/>
        <v>#VALUE!</v>
      </c>
      <c r="I27" s="298" t="e">
        <f t="shared" si="6"/>
        <v>#VALUE!</v>
      </c>
      <c r="J27" s="298" t="e">
        <f t="shared" si="7"/>
        <v>#VALUE!</v>
      </c>
      <c r="K27" s="298" t="e">
        <f t="shared" si="8"/>
        <v>#VALUE!</v>
      </c>
      <c r="L27" s="298" t="e">
        <f t="shared" si="9"/>
        <v>#VALUE!</v>
      </c>
      <c r="M27" s="298" t="e">
        <f t="shared" si="10"/>
        <v>#VALUE!</v>
      </c>
      <c r="N27" s="298" t="e">
        <f t="shared" si="11"/>
        <v>#VALUE!</v>
      </c>
      <c r="O27" s="305" t="e">
        <f t="shared" si="12"/>
        <v>#VALUE!</v>
      </c>
      <c r="P27" s="305" t="e">
        <f t="shared" si="13"/>
        <v>#VALUE!</v>
      </c>
      <c r="Q27" s="305" t="e">
        <f t="shared" si="14"/>
        <v>#VALUE!</v>
      </c>
      <c r="R27" s="306" t="e">
        <f t="shared" si="15"/>
        <v>#VALUE!</v>
      </c>
      <c r="S27" s="290" t="e">
        <f t="shared" si="16"/>
        <v>#VALUE!</v>
      </c>
      <c r="T27" s="290"/>
    </row>
    <row r="28" spans="1:20" s="251" customFormat="1" ht="12.75" x14ac:dyDescent="0.25">
      <c r="A28" s="278">
        <v>13</v>
      </c>
      <c r="B28" s="301" t="s">
        <v>73</v>
      </c>
      <c r="C28" s="307">
        <v>9176</v>
      </c>
      <c r="D28" s="303">
        <f t="shared" si="1"/>
        <v>0.19322589109017221</v>
      </c>
      <c r="E28" s="304" t="e">
        <f t="shared" si="2"/>
        <v>#VALUE!</v>
      </c>
      <c r="F28" s="302" t="e">
        <f t="shared" si="3"/>
        <v>#VALUE!</v>
      </c>
      <c r="G28" s="298" t="e">
        <f t="shared" si="4"/>
        <v>#VALUE!</v>
      </c>
      <c r="H28" s="298" t="e">
        <f t="shared" si="5"/>
        <v>#VALUE!</v>
      </c>
      <c r="I28" s="298" t="e">
        <f t="shared" si="6"/>
        <v>#VALUE!</v>
      </c>
      <c r="J28" s="298" t="e">
        <f t="shared" si="7"/>
        <v>#VALUE!</v>
      </c>
      <c r="K28" s="298" t="e">
        <f t="shared" si="8"/>
        <v>#VALUE!</v>
      </c>
      <c r="L28" s="298" t="e">
        <f t="shared" si="9"/>
        <v>#VALUE!</v>
      </c>
      <c r="M28" s="298" t="e">
        <f t="shared" si="10"/>
        <v>#VALUE!</v>
      </c>
      <c r="N28" s="298" t="e">
        <f t="shared" si="11"/>
        <v>#VALUE!</v>
      </c>
      <c r="O28" s="305" t="e">
        <f t="shared" si="12"/>
        <v>#VALUE!</v>
      </c>
      <c r="P28" s="305" t="e">
        <f t="shared" si="13"/>
        <v>#VALUE!</v>
      </c>
      <c r="Q28" s="305" t="e">
        <f t="shared" si="14"/>
        <v>#VALUE!</v>
      </c>
      <c r="R28" s="306" t="e">
        <f t="shared" si="15"/>
        <v>#VALUE!</v>
      </c>
      <c r="S28" s="290" t="e">
        <f t="shared" si="16"/>
        <v>#VALUE!</v>
      </c>
      <c r="T28" s="290"/>
    </row>
    <row r="29" spans="1:20" s="251" customFormat="1" ht="12.75" x14ac:dyDescent="0.25">
      <c r="A29" s="258">
        <v>14</v>
      </c>
      <c r="B29" s="301" t="s">
        <v>75</v>
      </c>
      <c r="C29" s="307">
        <v>17022</v>
      </c>
      <c r="D29" s="303">
        <f t="shared" si="1"/>
        <v>0.35844497800097119</v>
      </c>
      <c r="E29" s="304" t="e">
        <f t="shared" si="2"/>
        <v>#VALUE!</v>
      </c>
      <c r="F29" s="302" t="e">
        <f t="shared" si="3"/>
        <v>#VALUE!</v>
      </c>
      <c r="G29" s="298" t="e">
        <f t="shared" si="4"/>
        <v>#VALUE!</v>
      </c>
      <c r="H29" s="298" t="e">
        <f t="shared" si="5"/>
        <v>#VALUE!</v>
      </c>
      <c r="I29" s="298" t="e">
        <f t="shared" si="6"/>
        <v>#VALUE!</v>
      </c>
      <c r="J29" s="298" t="e">
        <f t="shared" si="7"/>
        <v>#VALUE!</v>
      </c>
      <c r="K29" s="298" t="e">
        <f t="shared" si="8"/>
        <v>#VALUE!</v>
      </c>
      <c r="L29" s="298" t="e">
        <f t="shared" si="9"/>
        <v>#VALUE!</v>
      </c>
      <c r="M29" s="298" t="e">
        <f t="shared" si="10"/>
        <v>#VALUE!</v>
      </c>
      <c r="N29" s="298" t="e">
        <f t="shared" si="11"/>
        <v>#VALUE!</v>
      </c>
      <c r="O29" s="305" t="e">
        <f t="shared" si="12"/>
        <v>#VALUE!</v>
      </c>
      <c r="P29" s="305" t="e">
        <f t="shared" si="13"/>
        <v>#VALUE!</v>
      </c>
      <c r="Q29" s="305" t="e">
        <f t="shared" si="14"/>
        <v>#VALUE!</v>
      </c>
      <c r="R29" s="306" t="e">
        <f t="shared" si="15"/>
        <v>#VALUE!</v>
      </c>
      <c r="S29" s="290" t="e">
        <f t="shared" si="16"/>
        <v>#VALUE!</v>
      </c>
      <c r="T29" s="290"/>
    </row>
    <row r="30" spans="1:20" s="251" customFormat="1" ht="12.75" x14ac:dyDescent="0.25">
      <c r="A30" s="278">
        <v>15</v>
      </c>
      <c r="B30" s="301" t="s">
        <v>77</v>
      </c>
      <c r="C30" s="307">
        <v>19633</v>
      </c>
      <c r="D30" s="303">
        <f t="shared" si="1"/>
        <v>0.41342675673205659</v>
      </c>
      <c r="E30" s="304" t="e">
        <f t="shared" si="2"/>
        <v>#VALUE!</v>
      </c>
      <c r="F30" s="302" t="e">
        <f t="shared" si="3"/>
        <v>#VALUE!</v>
      </c>
      <c r="G30" s="298" t="e">
        <f t="shared" si="4"/>
        <v>#VALUE!</v>
      </c>
      <c r="H30" s="298" t="e">
        <f t="shared" si="5"/>
        <v>#VALUE!</v>
      </c>
      <c r="I30" s="298" t="e">
        <f t="shared" si="6"/>
        <v>#VALUE!</v>
      </c>
      <c r="J30" s="298" t="e">
        <f t="shared" si="7"/>
        <v>#VALUE!</v>
      </c>
      <c r="K30" s="298" t="e">
        <f t="shared" si="8"/>
        <v>#VALUE!</v>
      </c>
      <c r="L30" s="298" t="e">
        <f t="shared" si="9"/>
        <v>#VALUE!</v>
      </c>
      <c r="M30" s="298" t="e">
        <f t="shared" si="10"/>
        <v>#VALUE!</v>
      </c>
      <c r="N30" s="298" t="e">
        <f t="shared" si="11"/>
        <v>#VALUE!</v>
      </c>
      <c r="O30" s="305" t="e">
        <f t="shared" si="12"/>
        <v>#VALUE!</v>
      </c>
      <c r="P30" s="305" t="e">
        <f t="shared" si="13"/>
        <v>#VALUE!</v>
      </c>
      <c r="Q30" s="305" t="e">
        <f t="shared" si="14"/>
        <v>#VALUE!</v>
      </c>
      <c r="R30" s="306" t="e">
        <f t="shared" si="15"/>
        <v>#VALUE!</v>
      </c>
      <c r="S30" s="290" t="e">
        <f t="shared" si="16"/>
        <v>#VALUE!</v>
      </c>
      <c r="T30" s="290"/>
    </row>
    <row r="31" spans="1:20" s="251" customFormat="1" ht="12.75" x14ac:dyDescent="0.25">
      <c r="A31" s="258">
        <v>16</v>
      </c>
      <c r="B31" s="301" t="s">
        <v>79</v>
      </c>
      <c r="C31" s="307">
        <v>20965</v>
      </c>
      <c r="D31" s="303">
        <f t="shared" si="1"/>
        <v>0.44147567640643642</v>
      </c>
      <c r="E31" s="304" t="e">
        <f t="shared" si="2"/>
        <v>#VALUE!</v>
      </c>
      <c r="F31" s="302" t="e">
        <f t="shared" si="3"/>
        <v>#VALUE!</v>
      </c>
      <c r="G31" s="298" t="e">
        <f t="shared" si="4"/>
        <v>#VALUE!</v>
      </c>
      <c r="H31" s="298" t="e">
        <f t="shared" si="5"/>
        <v>#VALUE!</v>
      </c>
      <c r="I31" s="298" t="e">
        <f t="shared" si="6"/>
        <v>#VALUE!</v>
      </c>
      <c r="J31" s="298" t="e">
        <f t="shared" si="7"/>
        <v>#VALUE!</v>
      </c>
      <c r="K31" s="298" t="e">
        <f t="shared" si="8"/>
        <v>#VALUE!</v>
      </c>
      <c r="L31" s="298" t="e">
        <f t="shared" si="9"/>
        <v>#VALUE!</v>
      </c>
      <c r="M31" s="298" t="e">
        <f t="shared" si="10"/>
        <v>#VALUE!</v>
      </c>
      <c r="N31" s="298" t="e">
        <f t="shared" si="11"/>
        <v>#VALUE!</v>
      </c>
      <c r="O31" s="305" t="e">
        <f t="shared" si="12"/>
        <v>#VALUE!</v>
      </c>
      <c r="P31" s="305" t="e">
        <f t="shared" si="13"/>
        <v>#VALUE!</v>
      </c>
      <c r="Q31" s="305" t="e">
        <f t="shared" si="14"/>
        <v>#VALUE!</v>
      </c>
      <c r="R31" s="306" t="e">
        <f t="shared" si="15"/>
        <v>#VALUE!</v>
      </c>
      <c r="S31" s="290" t="e">
        <f t="shared" si="16"/>
        <v>#VALUE!</v>
      </c>
      <c r="T31" s="290"/>
    </row>
    <row r="32" spans="1:20" s="251" customFormat="1" ht="12.75" x14ac:dyDescent="0.25">
      <c r="A32" s="278">
        <v>17</v>
      </c>
      <c r="B32" s="301" t="s">
        <v>81</v>
      </c>
      <c r="C32" s="307">
        <v>35070</v>
      </c>
      <c r="D32" s="303">
        <f t="shared" si="1"/>
        <v>0.73849520494031606</v>
      </c>
      <c r="E32" s="304" t="e">
        <f t="shared" si="2"/>
        <v>#VALUE!</v>
      </c>
      <c r="F32" s="302" t="e">
        <f t="shared" si="3"/>
        <v>#VALUE!</v>
      </c>
      <c r="G32" s="298" t="e">
        <f t="shared" si="4"/>
        <v>#VALUE!</v>
      </c>
      <c r="H32" s="298" t="e">
        <f t="shared" si="5"/>
        <v>#VALUE!</v>
      </c>
      <c r="I32" s="298" t="e">
        <f t="shared" si="6"/>
        <v>#VALUE!</v>
      </c>
      <c r="J32" s="298" t="e">
        <f t="shared" si="7"/>
        <v>#VALUE!</v>
      </c>
      <c r="K32" s="298" t="e">
        <f t="shared" si="8"/>
        <v>#VALUE!</v>
      </c>
      <c r="L32" s="298" t="e">
        <f t="shared" si="9"/>
        <v>#VALUE!</v>
      </c>
      <c r="M32" s="298" t="e">
        <f t="shared" si="10"/>
        <v>#VALUE!</v>
      </c>
      <c r="N32" s="298" t="e">
        <f t="shared" si="11"/>
        <v>#VALUE!</v>
      </c>
      <c r="O32" s="305" t="e">
        <f t="shared" si="12"/>
        <v>#VALUE!</v>
      </c>
      <c r="P32" s="305" t="e">
        <f t="shared" si="13"/>
        <v>#VALUE!</v>
      </c>
      <c r="Q32" s="305" t="e">
        <f t="shared" si="14"/>
        <v>#VALUE!</v>
      </c>
      <c r="R32" s="306" t="e">
        <f t="shared" si="15"/>
        <v>#VALUE!</v>
      </c>
      <c r="S32" s="290" t="e">
        <f t="shared" si="16"/>
        <v>#VALUE!</v>
      </c>
      <c r="T32" s="290"/>
    </row>
    <row r="33" spans="1:20" s="251" customFormat="1" ht="12.75" x14ac:dyDescent="0.25">
      <c r="A33" s="258">
        <v>18</v>
      </c>
      <c r="B33" s="301" t="s">
        <v>82</v>
      </c>
      <c r="C33" s="307">
        <v>9484</v>
      </c>
      <c r="D33" s="303">
        <f t="shared" si="1"/>
        <v>0.19971167732118497</v>
      </c>
      <c r="E33" s="304" t="e">
        <f t="shared" si="2"/>
        <v>#VALUE!</v>
      </c>
      <c r="F33" s="302" t="e">
        <f t="shared" si="3"/>
        <v>#VALUE!</v>
      </c>
      <c r="G33" s="298" t="e">
        <f t="shared" si="4"/>
        <v>#VALUE!</v>
      </c>
      <c r="H33" s="298" t="e">
        <f t="shared" si="5"/>
        <v>#VALUE!</v>
      </c>
      <c r="I33" s="298" t="e">
        <f t="shared" si="6"/>
        <v>#VALUE!</v>
      </c>
      <c r="J33" s="298" t="e">
        <f t="shared" si="7"/>
        <v>#VALUE!</v>
      </c>
      <c r="K33" s="298" t="e">
        <f t="shared" si="8"/>
        <v>#VALUE!</v>
      </c>
      <c r="L33" s="298" t="e">
        <f t="shared" si="9"/>
        <v>#VALUE!</v>
      </c>
      <c r="M33" s="298" t="e">
        <f t="shared" si="10"/>
        <v>#VALUE!</v>
      </c>
      <c r="N33" s="298" t="e">
        <f t="shared" si="11"/>
        <v>#VALUE!</v>
      </c>
      <c r="O33" s="305" t="e">
        <f t="shared" si="12"/>
        <v>#VALUE!</v>
      </c>
      <c r="P33" s="305" t="e">
        <f t="shared" si="13"/>
        <v>#VALUE!</v>
      </c>
      <c r="Q33" s="305" t="e">
        <f t="shared" si="14"/>
        <v>#VALUE!</v>
      </c>
      <c r="R33" s="306" t="e">
        <f t="shared" si="15"/>
        <v>#VALUE!</v>
      </c>
      <c r="S33" s="290" t="e">
        <f t="shared" si="16"/>
        <v>#VALUE!</v>
      </c>
      <c r="T33" s="290"/>
    </row>
    <row r="34" spans="1:20" s="251" customFormat="1" ht="12.75" x14ac:dyDescent="0.25">
      <c r="A34" s="278">
        <v>19</v>
      </c>
      <c r="B34" s="301" t="s">
        <v>344</v>
      </c>
      <c r="C34" s="307">
        <v>20198</v>
      </c>
      <c r="D34" s="303">
        <f t="shared" si="1"/>
        <v>0.42532438407141443</v>
      </c>
      <c r="E34" s="304" t="e">
        <f t="shared" si="2"/>
        <v>#VALUE!</v>
      </c>
      <c r="F34" s="302" t="e">
        <f t="shared" si="3"/>
        <v>#VALUE!</v>
      </c>
      <c r="G34" s="298" t="e">
        <f t="shared" si="4"/>
        <v>#VALUE!</v>
      </c>
      <c r="H34" s="298" t="e">
        <f t="shared" si="5"/>
        <v>#VALUE!</v>
      </c>
      <c r="I34" s="298" t="e">
        <f t="shared" si="6"/>
        <v>#VALUE!</v>
      </c>
      <c r="J34" s="298" t="e">
        <f t="shared" si="7"/>
        <v>#VALUE!</v>
      </c>
      <c r="K34" s="298" t="e">
        <f t="shared" si="8"/>
        <v>#VALUE!</v>
      </c>
      <c r="L34" s="298" t="e">
        <f t="shared" si="9"/>
        <v>#VALUE!</v>
      </c>
      <c r="M34" s="298" t="e">
        <f t="shared" si="10"/>
        <v>#VALUE!</v>
      </c>
      <c r="N34" s="298" t="e">
        <f t="shared" si="11"/>
        <v>#VALUE!</v>
      </c>
      <c r="O34" s="305" t="e">
        <f t="shared" si="12"/>
        <v>#VALUE!</v>
      </c>
      <c r="P34" s="305" t="e">
        <f t="shared" si="13"/>
        <v>#VALUE!</v>
      </c>
      <c r="Q34" s="305" t="e">
        <f t="shared" si="14"/>
        <v>#VALUE!</v>
      </c>
      <c r="R34" s="306" t="e">
        <f t="shared" si="15"/>
        <v>#VALUE!</v>
      </c>
      <c r="S34" s="290" t="e">
        <f t="shared" si="16"/>
        <v>#VALUE!</v>
      </c>
      <c r="T34" s="290"/>
    </row>
    <row r="35" spans="1:20" s="251" customFormat="1" ht="12.75" x14ac:dyDescent="0.25">
      <c r="A35" s="258">
        <v>20</v>
      </c>
      <c r="B35" s="301" t="s">
        <v>87</v>
      </c>
      <c r="C35" s="307">
        <v>29910</v>
      </c>
      <c r="D35" s="303">
        <f t="shared" si="1"/>
        <v>0.62983722782334906</v>
      </c>
      <c r="E35" s="304" t="e">
        <f t="shared" si="2"/>
        <v>#VALUE!</v>
      </c>
      <c r="F35" s="302" t="e">
        <f t="shared" si="3"/>
        <v>#VALUE!</v>
      </c>
      <c r="G35" s="298" t="e">
        <f t="shared" si="4"/>
        <v>#VALUE!</v>
      </c>
      <c r="H35" s="298" t="e">
        <f t="shared" si="5"/>
        <v>#VALUE!</v>
      </c>
      <c r="I35" s="298" t="e">
        <f t="shared" si="6"/>
        <v>#VALUE!</v>
      </c>
      <c r="J35" s="298" t="e">
        <f t="shared" si="7"/>
        <v>#VALUE!</v>
      </c>
      <c r="K35" s="298" t="e">
        <f t="shared" si="8"/>
        <v>#VALUE!</v>
      </c>
      <c r="L35" s="298" t="e">
        <f t="shared" si="9"/>
        <v>#VALUE!</v>
      </c>
      <c r="M35" s="298" t="e">
        <f t="shared" si="10"/>
        <v>#VALUE!</v>
      </c>
      <c r="N35" s="298" t="e">
        <f t="shared" si="11"/>
        <v>#VALUE!</v>
      </c>
      <c r="O35" s="305" t="e">
        <f t="shared" si="12"/>
        <v>#VALUE!</v>
      </c>
      <c r="P35" s="305" t="e">
        <f t="shared" si="13"/>
        <v>#VALUE!</v>
      </c>
      <c r="Q35" s="305" t="e">
        <f t="shared" si="14"/>
        <v>#VALUE!</v>
      </c>
      <c r="R35" s="306" t="e">
        <f t="shared" si="15"/>
        <v>#VALUE!</v>
      </c>
      <c r="S35" s="290" t="e">
        <f t="shared" si="16"/>
        <v>#VALUE!</v>
      </c>
      <c r="T35" s="290"/>
    </row>
    <row r="36" spans="1:20" s="251" customFormat="1" ht="12.75" x14ac:dyDescent="0.25">
      <c r="A36" s="278">
        <v>21</v>
      </c>
      <c r="B36" s="301" t="s">
        <v>88</v>
      </c>
      <c r="C36" s="307">
        <v>13539</v>
      </c>
      <c r="D36" s="303">
        <f t="shared" si="1"/>
        <v>0.28510084344701853</v>
      </c>
      <c r="E36" s="304" t="e">
        <f t="shared" si="2"/>
        <v>#VALUE!</v>
      </c>
      <c r="F36" s="302" t="e">
        <f t="shared" si="3"/>
        <v>#VALUE!</v>
      </c>
      <c r="G36" s="298" t="e">
        <f t="shared" si="4"/>
        <v>#VALUE!</v>
      </c>
      <c r="H36" s="298" t="e">
        <f t="shared" si="5"/>
        <v>#VALUE!</v>
      </c>
      <c r="I36" s="298" t="e">
        <f t="shared" si="6"/>
        <v>#VALUE!</v>
      </c>
      <c r="J36" s="298" t="e">
        <f t="shared" si="7"/>
        <v>#VALUE!</v>
      </c>
      <c r="K36" s="298" t="e">
        <f t="shared" si="8"/>
        <v>#VALUE!</v>
      </c>
      <c r="L36" s="298" t="e">
        <f t="shared" si="9"/>
        <v>#VALUE!</v>
      </c>
      <c r="M36" s="298" t="e">
        <f t="shared" si="10"/>
        <v>#VALUE!</v>
      </c>
      <c r="N36" s="298" t="e">
        <f t="shared" si="11"/>
        <v>#VALUE!</v>
      </c>
      <c r="O36" s="305" t="e">
        <f t="shared" si="12"/>
        <v>#VALUE!</v>
      </c>
      <c r="P36" s="305" t="e">
        <f t="shared" si="13"/>
        <v>#VALUE!</v>
      </c>
      <c r="Q36" s="305" t="e">
        <f t="shared" si="14"/>
        <v>#VALUE!</v>
      </c>
      <c r="R36" s="306" t="e">
        <f t="shared" si="15"/>
        <v>#VALUE!</v>
      </c>
      <c r="S36" s="290" t="e">
        <f t="shared" si="16"/>
        <v>#VALUE!</v>
      </c>
      <c r="T36" s="290"/>
    </row>
    <row r="37" spans="1:20" s="251" customFormat="1" ht="12.75" x14ac:dyDescent="0.25">
      <c r="A37" s="258">
        <v>22</v>
      </c>
      <c r="B37" s="301" t="s">
        <v>91</v>
      </c>
      <c r="C37" s="307">
        <v>25138</v>
      </c>
      <c r="D37" s="303">
        <f t="shared" si="1"/>
        <v>0.52934965673765799</v>
      </c>
      <c r="E37" s="304" t="e">
        <f t="shared" si="2"/>
        <v>#VALUE!</v>
      </c>
      <c r="F37" s="302" t="e">
        <f t="shared" si="3"/>
        <v>#VALUE!</v>
      </c>
      <c r="G37" s="298" t="e">
        <f t="shared" si="4"/>
        <v>#VALUE!</v>
      </c>
      <c r="H37" s="298" t="e">
        <f t="shared" si="5"/>
        <v>#VALUE!</v>
      </c>
      <c r="I37" s="298" t="e">
        <f t="shared" si="6"/>
        <v>#VALUE!</v>
      </c>
      <c r="J37" s="298" t="e">
        <f t="shared" si="7"/>
        <v>#VALUE!</v>
      </c>
      <c r="K37" s="298" t="e">
        <f t="shared" si="8"/>
        <v>#VALUE!</v>
      </c>
      <c r="L37" s="298" t="e">
        <f t="shared" si="9"/>
        <v>#VALUE!</v>
      </c>
      <c r="M37" s="298" t="e">
        <f t="shared" si="10"/>
        <v>#VALUE!</v>
      </c>
      <c r="N37" s="298" t="e">
        <f t="shared" si="11"/>
        <v>#VALUE!</v>
      </c>
      <c r="O37" s="305" t="e">
        <f t="shared" si="12"/>
        <v>#VALUE!</v>
      </c>
      <c r="P37" s="305" t="e">
        <f t="shared" si="13"/>
        <v>#VALUE!</v>
      </c>
      <c r="Q37" s="305" t="e">
        <f t="shared" si="14"/>
        <v>#VALUE!</v>
      </c>
      <c r="R37" s="306" t="e">
        <f t="shared" si="15"/>
        <v>#VALUE!</v>
      </c>
      <c r="S37" s="290" t="e">
        <f t="shared" si="16"/>
        <v>#VALUE!</v>
      </c>
      <c r="T37" s="290"/>
    </row>
    <row r="38" spans="1:20" s="251" customFormat="1" ht="12.75" x14ac:dyDescent="0.25">
      <c r="A38" s="278">
        <v>23</v>
      </c>
      <c r="B38" s="301" t="s">
        <v>60</v>
      </c>
      <c r="C38" s="307">
        <v>10417</v>
      </c>
      <c r="D38" s="303">
        <f t="shared" si="1"/>
        <v>0.21935855574175284</v>
      </c>
      <c r="E38" s="304" t="e">
        <f t="shared" si="2"/>
        <v>#VALUE!</v>
      </c>
      <c r="F38" s="302" t="e">
        <f t="shared" si="3"/>
        <v>#VALUE!</v>
      </c>
      <c r="G38" s="298" t="e">
        <f t="shared" si="4"/>
        <v>#VALUE!</v>
      </c>
      <c r="H38" s="298" t="e">
        <f t="shared" si="5"/>
        <v>#VALUE!</v>
      </c>
      <c r="I38" s="298" t="e">
        <f t="shared" si="6"/>
        <v>#VALUE!</v>
      </c>
      <c r="J38" s="298" t="e">
        <f t="shared" si="7"/>
        <v>#VALUE!</v>
      </c>
      <c r="K38" s="298" t="e">
        <f t="shared" si="8"/>
        <v>#VALUE!</v>
      </c>
      <c r="L38" s="298" t="e">
        <f t="shared" si="9"/>
        <v>#VALUE!</v>
      </c>
      <c r="M38" s="298" t="e">
        <f t="shared" si="10"/>
        <v>#VALUE!</v>
      </c>
      <c r="N38" s="298" t="e">
        <f t="shared" si="11"/>
        <v>#VALUE!</v>
      </c>
      <c r="O38" s="305" t="e">
        <f t="shared" si="12"/>
        <v>#VALUE!</v>
      </c>
      <c r="P38" s="305" t="e">
        <f t="shared" si="13"/>
        <v>#VALUE!</v>
      </c>
      <c r="Q38" s="305" t="e">
        <f t="shared" si="14"/>
        <v>#VALUE!</v>
      </c>
      <c r="R38" s="306" t="e">
        <f t="shared" si="15"/>
        <v>#VALUE!</v>
      </c>
      <c r="S38" s="290" t="e">
        <f t="shared" si="16"/>
        <v>#VALUE!</v>
      </c>
      <c r="T38" s="290"/>
    </row>
    <row r="39" spans="1:20" s="251" customFormat="1" ht="12.75" x14ac:dyDescent="0.25">
      <c r="A39" s="258">
        <v>24</v>
      </c>
      <c r="B39" s="301" t="s">
        <v>95</v>
      </c>
      <c r="C39" s="307">
        <v>20586</v>
      </c>
      <c r="D39" s="303">
        <f t="shared" si="1"/>
        <v>0.43349479010269021</v>
      </c>
      <c r="E39" s="304" t="e">
        <f t="shared" si="2"/>
        <v>#VALUE!</v>
      </c>
      <c r="F39" s="302" t="e">
        <f t="shared" si="3"/>
        <v>#VALUE!</v>
      </c>
      <c r="G39" s="298" t="e">
        <f t="shared" si="4"/>
        <v>#VALUE!</v>
      </c>
      <c r="H39" s="298" t="e">
        <f t="shared" si="5"/>
        <v>#VALUE!</v>
      </c>
      <c r="I39" s="298" t="e">
        <f t="shared" si="6"/>
        <v>#VALUE!</v>
      </c>
      <c r="J39" s="298" t="e">
        <f t="shared" si="7"/>
        <v>#VALUE!</v>
      </c>
      <c r="K39" s="298" t="e">
        <f t="shared" si="8"/>
        <v>#VALUE!</v>
      </c>
      <c r="L39" s="298" t="e">
        <f t="shared" si="9"/>
        <v>#VALUE!</v>
      </c>
      <c r="M39" s="298" t="e">
        <f t="shared" si="10"/>
        <v>#VALUE!</v>
      </c>
      <c r="N39" s="298" t="e">
        <f t="shared" si="11"/>
        <v>#VALUE!</v>
      </c>
      <c r="O39" s="305" t="e">
        <f t="shared" si="12"/>
        <v>#VALUE!</v>
      </c>
      <c r="P39" s="305" t="e">
        <f t="shared" si="13"/>
        <v>#VALUE!</v>
      </c>
      <c r="Q39" s="305" t="e">
        <f t="shared" si="14"/>
        <v>#VALUE!</v>
      </c>
      <c r="R39" s="306" t="e">
        <f t="shared" si="15"/>
        <v>#VALUE!</v>
      </c>
      <c r="S39" s="290" t="e">
        <f t="shared" si="16"/>
        <v>#VALUE!</v>
      </c>
      <c r="T39" s="290"/>
    </row>
    <row r="40" spans="1:20" s="251" customFormat="1" ht="12.75" x14ac:dyDescent="0.25">
      <c r="A40" s="278">
        <v>25</v>
      </c>
      <c r="B40" s="301" t="s">
        <v>97</v>
      </c>
      <c r="C40" s="307">
        <v>40560</v>
      </c>
      <c r="D40" s="303">
        <f t="shared" si="1"/>
        <v>0.8541022387333681</v>
      </c>
      <c r="E40" s="304" t="e">
        <f t="shared" si="2"/>
        <v>#VALUE!</v>
      </c>
      <c r="F40" s="302" t="e">
        <f t="shared" si="3"/>
        <v>#VALUE!</v>
      </c>
      <c r="G40" s="298" t="e">
        <f t="shared" si="4"/>
        <v>#VALUE!</v>
      </c>
      <c r="H40" s="298" t="e">
        <f t="shared" si="5"/>
        <v>#VALUE!</v>
      </c>
      <c r="I40" s="298" t="e">
        <f t="shared" si="6"/>
        <v>#VALUE!</v>
      </c>
      <c r="J40" s="298" t="e">
        <f t="shared" si="7"/>
        <v>#VALUE!</v>
      </c>
      <c r="K40" s="298" t="e">
        <f t="shared" si="8"/>
        <v>#VALUE!</v>
      </c>
      <c r="L40" s="298" t="e">
        <f t="shared" si="9"/>
        <v>#VALUE!</v>
      </c>
      <c r="M40" s="298" t="e">
        <f t="shared" si="10"/>
        <v>#VALUE!</v>
      </c>
      <c r="N40" s="298" t="e">
        <f t="shared" si="11"/>
        <v>#VALUE!</v>
      </c>
      <c r="O40" s="305" t="e">
        <f t="shared" si="12"/>
        <v>#VALUE!</v>
      </c>
      <c r="P40" s="305" t="e">
        <f t="shared" si="13"/>
        <v>#VALUE!</v>
      </c>
      <c r="Q40" s="305" t="e">
        <f t="shared" si="14"/>
        <v>#VALUE!</v>
      </c>
      <c r="R40" s="306" t="e">
        <f t="shared" si="15"/>
        <v>#VALUE!</v>
      </c>
      <c r="S40" s="290" t="e">
        <f t="shared" si="16"/>
        <v>#VALUE!</v>
      </c>
      <c r="T40" s="290"/>
    </row>
    <row r="41" spans="1:20" s="251" customFormat="1" ht="12.75" x14ac:dyDescent="0.25">
      <c r="A41" s="258">
        <v>26</v>
      </c>
      <c r="B41" s="301" t="s">
        <v>345</v>
      </c>
      <c r="C41" s="307">
        <v>4773</v>
      </c>
      <c r="D41" s="303">
        <f t="shared" si="1"/>
        <v>0.10050862883319442</v>
      </c>
      <c r="E41" s="304" t="e">
        <f t="shared" si="2"/>
        <v>#VALUE!</v>
      </c>
      <c r="F41" s="302" t="e">
        <f t="shared" si="3"/>
        <v>#VALUE!</v>
      </c>
      <c r="G41" s="298" t="e">
        <f t="shared" si="4"/>
        <v>#VALUE!</v>
      </c>
      <c r="H41" s="298" t="e">
        <f t="shared" si="5"/>
        <v>#VALUE!</v>
      </c>
      <c r="I41" s="298" t="e">
        <f t="shared" si="6"/>
        <v>#VALUE!</v>
      </c>
      <c r="J41" s="298" t="e">
        <f t="shared" si="7"/>
        <v>#VALUE!</v>
      </c>
      <c r="K41" s="298" t="e">
        <f t="shared" si="8"/>
        <v>#VALUE!</v>
      </c>
      <c r="L41" s="298" t="e">
        <f t="shared" si="9"/>
        <v>#VALUE!</v>
      </c>
      <c r="M41" s="298" t="e">
        <f t="shared" si="10"/>
        <v>#VALUE!</v>
      </c>
      <c r="N41" s="298" t="e">
        <f t="shared" si="11"/>
        <v>#VALUE!</v>
      </c>
      <c r="O41" s="305" t="e">
        <f t="shared" si="12"/>
        <v>#VALUE!</v>
      </c>
      <c r="P41" s="305" t="e">
        <f t="shared" si="13"/>
        <v>#VALUE!</v>
      </c>
      <c r="Q41" s="305" t="e">
        <f t="shared" si="14"/>
        <v>#VALUE!</v>
      </c>
      <c r="R41" s="306" t="e">
        <f t="shared" si="15"/>
        <v>#VALUE!</v>
      </c>
      <c r="S41" s="290" t="e">
        <f t="shared" si="16"/>
        <v>#VALUE!</v>
      </c>
      <c r="T41" s="290"/>
    </row>
    <row r="42" spans="1:20" s="251" customFormat="1" ht="12.75" x14ac:dyDescent="0.25">
      <c r="A42" s="278">
        <v>27</v>
      </c>
      <c r="B42" s="301" t="s">
        <v>71</v>
      </c>
      <c r="C42" s="307">
        <v>4944</v>
      </c>
      <c r="D42" s="303">
        <f t="shared" si="1"/>
        <v>0.10410950365625671</v>
      </c>
      <c r="E42" s="304" t="e">
        <f t="shared" si="2"/>
        <v>#VALUE!</v>
      </c>
      <c r="F42" s="302" t="e">
        <f t="shared" si="3"/>
        <v>#VALUE!</v>
      </c>
      <c r="G42" s="298" t="e">
        <f t="shared" si="4"/>
        <v>#VALUE!</v>
      </c>
      <c r="H42" s="298" t="e">
        <f t="shared" si="5"/>
        <v>#VALUE!</v>
      </c>
      <c r="I42" s="298" t="e">
        <f t="shared" si="6"/>
        <v>#VALUE!</v>
      </c>
      <c r="J42" s="298" t="e">
        <f t="shared" si="7"/>
        <v>#VALUE!</v>
      </c>
      <c r="K42" s="298" t="e">
        <f t="shared" si="8"/>
        <v>#VALUE!</v>
      </c>
      <c r="L42" s="298" t="e">
        <f t="shared" si="9"/>
        <v>#VALUE!</v>
      </c>
      <c r="M42" s="298" t="e">
        <f t="shared" si="10"/>
        <v>#VALUE!</v>
      </c>
      <c r="N42" s="298" t="e">
        <f t="shared" si="11"/>
        <v>#VALUE!</v>
      </c>
      <c r="O42" s="305" t="e">
        <f t="shared" si="12"/>
        <v>#VALUE!</v>
      </c>
      <c r="P42" s="305" t="e">
        <f t="shared" si="13"/>
        <v>#VALUE!</v>
      </c>
      <c r="Q42" s="305" t="e">
        <f t="shared" si="14"/>
        <v>#VALUE!</v>
      </c>
      <c r="R42" s="306" t="e">
        <f t="shared" si="15"/>
        <v>#VALUE!</v>
      </c>
      <c r="S42" s="290" t="e">
        <f t="shared" si="16"/>
        <v>#VALUE!</v>
      </c>
      <c r="T42" s="290"/>
    </row>
    <row r="43" spans="1:20" s="251" customFormat="1" ht="12.75" x14ac:dyDescent="0.25">
      <c r="A43" s="258">
        <v>28</v>
      </c>
      <c r="B43" s="301" t="s">
        <v>72</v>
      </c>
      <c r="C43" s="307">
        <v>5233</v>
      </c>
      <c r="D43" s="303">
        <f t="shared" si="1"/>
        <v>0.11019519268470698</v>
      </c>
      <c r="E43" s="304" t="e">
        <f t="shared" si="2"/>
        <v>#VALUE!</v>
      </c>
      <c r="F43" s="302" t="e">
        <f t="shared" si="3"/>
        <v>#VALUE!</v>
      </c>
      <c r="G43" s="298" t="e">
        <f t="shared" si="4"/>
        <v>#VALUE!</v>
      </c>
      <c r="H43" s="298" t="e">
        <f t="shared" si="5"/>
        <v>#VALUE!</v>
      </c>
      <c r="I43" s="298" t="e">
        <f t="shared" si="6"/>
        <v>#VALUE!</v>
      </c>
      <c r="J43" s="298" t="e">
        <f t="shared" si="7"/>
        <v>#VALUE!</v>
      </c>
      <c r="K43" s="298" t="e">
        <f t="shared" si="8"/>
        <v>#VALUE!</v>
      </c>
      <c r="L43" s="298" t="e">
        <f t="shared" si="9"/>
        <v>#VALUE!</v>
      </c>
      <c r="M43" s="298" t="e">
        <f t="shared" si="10"/>
        <v>#VALUE!</v>
      </c>
      <c r="N43" s="298" t="e">
        <f t="shared" si="11"/>
        <v>#VALUE!</v>
      </c>
      <c r="O43" s="305" t="e">
        <f t="shared" si="12"/>
        <v>#VALUE!</v>
      </c>
      <c r="P43" s="305" t="e">
        <f t="shared" si="13"/>
        <v>#VALUE!</v>
      </c>
      <c r="Q43" s="305" t="e">
        <f t="shared" si="14"/>
        <v>#VALUE!</v>
      </c>
      <c r="R43" s="306" t="e">
        <f t="shared" si="15"/>
        <v>#VALUE!</v>
      </c>
      <c r="S43" s="290" t="e">
        <f t="shared" si="16"/>
        <v>#VALUE!</v>
      </c>
      <c r="T43" s="290"/>
    </row>
    <row r="44" spans="1:20" s="251" customFormat="1" ht="12.75" x14ac:dyDescent="0.25">
      <c r="A44" s="278">
        <v>29</v>
      </c>
      <c r="B44" s="301" t="s">
        <v>61</v>
      </c>
      <c r="C44" s="307">
        <v>12342</v>
      </c>
      <c r="D44" s="303">
        <f t="shared" si="1"/>
        <v>0.25989471968558259</v>
      </c>
      <c r="E44" s="304" t="e">
        <f t="shared" si="2"/>
        <v>#VALUE!</v>
      </c>
      <c r="F44" s="302" t="e">
        <f t="shared" si="3"/>
        <v>#VALUE!</v>
      </c>
      <c r="G44" s="298" t="e">
        <f t="shared" si="4"/>
        <v>#VALUE!</v>
      </c>
      <c r="H44" s="298" t="e">
        <f t="shared" si="5"/>
        <v>#VALUE!</v>
      </c>
      <c r="I44" s="298" t="e">
        <f t="shared" si="6"/>
        <v>#VALUE!</v>
      </c>
      <c r="J44" s="298" t="e">
        <f t="shared" si="7"/>
        <v>#VALUE!</v>
      </c>
      <c r="K44" s="298" t="e">
        <f t="shared" si="8"/>
        <v>#VALUE!</v>
      </c>
      <c r="L44" s="298" t="e">
        <f t="shared" si="9"/>
        <v>#VALUE!</v>
      </c>
      <c r="M44" s="298" t="e">
        <f t="shared" si="10"/>
        <v>#VALUE!</v>
      </c>
      <c r="N44" s="298" t="e">
        <f t="shared" si="11"/>
        <v>#VALUE!</v>
      </c>
      <c r="O44" s="305" t="e">
        <f t="shared" si="12"/>
        <v>#VALUE!</v>
      </c>
      <c r="P44" s="305" t="e">
        <f t="shared" si="13"/>
        <v>#VALUE!</v>
      </c>
      <c r="Q44" s="305" t="e">
        <f t="shared" si="14"/>
        <v>#VALUE!</v>
      </c>
      <c r="R44" s="306" t="e">
        <f t="shared" si="15"/>
        <v>#VALUE!</v>
      </c>
      <c r="S44" s="290" t="e">
        <f t="shared" si="16"/>
        <v>#VALUE!</v>
      </c>
      <c r="T44" s="290"/>
    </row>
    <row r="45" spans="1:20" s="251" customFormat="1" ht="12.75" x14ac:dyDescent="0.25">
      <c r="A45" s="258">
        <v>30</v>
      </c>
      <c r="B45" s="301" t="s">
        <v>104</v>
      </c>
      <c r="C45" s="307">
        <v>11850</v>
      </c>
      <c r="D45" s="303">
        <f t="shared" si="1"/>
        <v>0.24953430791396478</v>
      </c>
      <c r="E45" s="304" t="e">
        <f t="shared" si="2"/>
        <v>#VALUE!</v>
      </c>
      <c r="F45" s="302" t="e">
        <f t="shared" si="3"/>
        <v>#VALUE!</v>
      </c>
      <c r="G45" s="298" t="e">
        <f t="shared" si="4"/>
        <v>#VALUE!</v>
      </c>
      <c r="H45" s="298" t="e">
        <f t="shared" si="5"/>
        <v>#VALUE!</v>
      </c>
      <c r="I45" s="298" t="e">
        <f t="shared" si="6"/>
        <v>#VALUE!</v>
      </c>
      <c r="J45" s="298" t="e">
        <f t="shared" si="7"/>
        <v>#VALUE!</v>
      </c>
      <c r="K45" s="298" t="e">
        <f t="shared" si="8"/>
        <v>#VALUE!</v>
      </c>
      <c r="L45" s="298" t="e">
        <f t="shared" si="9"/>
        <v>#VALUE!</v>
      </c>
      <c r="M45" s="298" t="e">
        <f t="shared" si="10"/>
        <v>#VALUE!</v>
      </c>
      <c r="N45" s="298" t="e">
        <f t="shared" si="11"/>
        <v>#VALUE!</v>
      </c>
      <c r="O45" s="305" t="e">
        <f t="shared" si="12"/>
        <v>#VALUE!</v>
      </c>
      <c r="P45" s="305" t="e">
        <f t="shared" si="13"/>
        <v>#VALUE!</v>
      </c>
      <c r="Q45" s="305" t="e">
        <f t="shared" si="14"/>
        <v>#VALUE!</v>
      </c>
      <c r="R45" s="306" t="e">
        <f t="shared" si="15"/>
        <v>#VALUE!</v>
      </c>
      <c r="S45" s="290" t="e">
        <f t="shared" si="16"/>
        <v>#VALUE!</v>
      </c>
      <c r="T45" s="290"/>
    </row>
    <row r="46" spans="1:20" s="251" customFormat="1" ht="12.75" x14ac:dyDescent="0.25">
      <c r="A46" s="278">
        <v>31</v>
      </c>
      <c r="B46" s="301" t="s">
        <v>410</v>
      </c>
      <c r="C46" s="307">
        <v>16112</v>
      </c>
      <c r="D46" s="303">
        <f t="shared" si="1"/>
        <v>0.33928242777297896</v>
      </c>
      <c r="E46" s="304" t="e">
        <f t="shared" si="2"/>
        <v>#VALUE!</v>
      </c>
      <c r="F46" s="302" t="e">
        <f t="shared" si="3"/>
        <v>#VALUE!</v>
      </c>
      <c r="G46" s="298" t="e">
        <f t="shared" si="4"/>
        <v>#VALUE!</v>
      </c>
      <c r="H46" s="298" t="e">
        <f t="shared" si="5"/>
        <v>#VALUE!</v>
      </c>
      <c r="I46" s="298" t="e">
        <f t="shared" si="6"/>
        <v>#VALUE!</v>
      </c>
      <c r="J46" s="298" t="e">
        <f t="shared" si="7"/>
        <v>#VALUE!</v>
      </c>
      <c r="K46" s="298" t="e">
        <f t="shared" si="8"/>
        <v>#VALUE!</v>
      </c>
      <c r="L46" s="298" t="e">
        <f t="shared" si="9"/>
        <v>#VALUE!</v>
      </c>
      <c r="M46" s="298" t="e">
        <f t="shared" si="10"/>
        <v>#VALUE!</v>
      </c>
      <c r="N46" s="298" t="e">
        <f t="shared" si="11"/>
        <v>#VALUE!</v>
      </c>
      <c r="O46" s="305" t="e">
        <f t="shared" si="12"/>
        <v>#VALUE!</v>
      </c>
      <c r="P46" s="305" t="e">
        <f t="shared" si="13"/>
        <v>#VALUE!</v>
      </c>
      <c r="Q46" s="305" t="e">
        <f t="shared" si="14"/>
        <v>#VALUE!</v>
      </c>
      <c r="R46" s="306" t="e">
        <f t="shared" si="15"/>
        <v>#VALUE!</v>
      </c>
      <c r="S46" s="290" t="e">
        <f t="shared" si="16"/>
        <v>#VALUE!</v>
      </c>
      <c r="T46" s="290"/>
    </row>
    <row r="47" spans="1:20" s="251" customFormat="1" ht="12.75" x14ac:dyDescent="0.25">
      <c r="A47" s="258">
        <v>32</v>
      </c>
      <c r="B47" s="301" t="s">
        <v>83</v>
      </c>
      <c r="C47" s="307">
        <v>15715</v>
      </c>
      <c r="D47" s="303">
        <f t="shared" si="1"/>
        <v>0.33092250201417356</v>
      </c>
      <c r="E47" s="304" t="e">
        <f t="shared" si="2"/>
        <v>#VALUE!</v>
      </c>
      <c r="F47" s="302" t="e">
        <f t="shared" si="3"/>
        <v>#VALUE!</v>
      </c>
      <c r="G47" s="298" t="e">
        <f t="shared" si="4"/>
        <v>#VALUE!</v>
      </c>
      <c r="H47" s="298" t="e">
        <f t="shared" si="5"/>
        <v>#VALUE!</v>
      </c>
      <c r="I47" s="298" t="e">
        <f t="shared" si="6"/>
        <v>#VALUE!</v>
      </c>
      <c r="J47" s="298" t="e">
        <f t="shared" si="7"/>
        <v>#VALUE!</v>
      </c>
      <c r="K47" s="298" t="e">
        <f t="shared" si="8"/>
        <v>#VALUE!</v>
      </c>
      <c r="L47" s="298" t="e">
        <f t="shared" si="9"/>
        <v>#VALUE!</v>
      </c>
      <c r="M47" s="298" t="e">
        <f t="shared" si="10"/>
        <v>#VALUE!</v>
      </c>
      <c r="N47" s="298" t="e">
        <f t="shared" si="11"/>
        <v>#VALUE!</v>
      </c>
      <c r="O47" s="305" t="e">
        <f t="shared" si="12"/>
        <v>#VALUE!</v>
      </c>
      <c r="P47" s="305" t="e">
        <f t="shared" si="13"/>
        <v>#VALUE!</v>
      </c>
      <c r="Q47" s="305" t="e">
        <f t="shared" si="14"/>
        <v>#VALUE!</v>
      </c>
      <c r="R47" s="306" t="e">
        <f t="shared" si="15"/>
        <v>#VALUE!</v>
      </c>
      <c r="S47" s="290" t="e">
        <f t="shared" si="16"/>
        <v>#VALUE!</v>
      </c>
      <c r="T47" s="290"/>
    </row>
    <row r="48" spans="1:20" s="251" customFormat="1" ht="12.75" x14ac:dyDescent="0.25">
      <c r="A48" s="278">
        <v>33</v>
      </c>
      <c r="B48" s="301" t="s">
        <v>108</v>
      </c>
      <c r="C48" s="307">
        <v>21466</v>
      </c>
      <c r="D48" s="303">
        <f t="shared" ref="D48:D79" si="17">C48/$C$129%</f>
        <v>0.45202560790558383</v>
      </c>
      <c r="E48" s="304" t="e">
        <f t="shared" ref="E48:E79" si="18">$E$15*D48%</f>
        <v>#VALUE!</v>
      </c>
      <c r="F48" s="302" t="e">
        <f t="shared" ref="F48:F79" si="19">E48/12</f>
        <v>#VALUE!</v>
      </c>
      <c r="G48" s="298" t="e">
        <f t="shared" ref="G48:G79" si="20">E48/12</f>
        <v>#VALUE!</v>
      </c>
      <c r="H48" s="298" t="e">
        <f t="shared" ref="H48:H79" si="21">E48/12</f>
        <v>#VALUE!</v>
      </c>
      <c r="I48" s="298" t="e">
        <f t="shared" ref="I48:I79" si="22">E48/12</f>
        <v>#VALUE!</v>
      </c>
      <c r="J48" s="298" t="e">
        <f t="shared" ref="J48:J79" si="23">E48/12</f>
        <v>#VALUE!</v>
      </c>
      <c r="K48" s="298" t="e">
        <f t="shared" ref="K48:K79" si="24">E48/12</f>
        <v>#VALUE!</v>
      </c>
      <c r="L48" s="298" t="e">
        <f t="shared" ref="L48:L79" si="25">E48/12</f>
        <v>#VALUE!</v>
      </c>
      <c r="M48" s="298" t="e">
        <f t="shared" ref="M48:M79" si="26">E48/12</f>
        <v>#VALUE!</v>
      </c>
      <c r="N48" s="298" t="e">
        <f t="shared" ref="N48:N79" si="27">E48/12</f>
        <v>#VALUE!</v>
      </c>
      <c r="O48" s="305" t="e">
        <f t="shared" ref="O48:O79" si="28">E48/12</f>
        <v>#VALUE!</v>
      </c>
      <c r="P48" s="305" t="e">
        <f t="shared" ref="P48:P79" si="29">E48/12</f>
        <v>#VALUE!</v>
      </c>
      <c r="Q48" s="305" t="e">
        <f t="shared" ref="Q48:Q79" si="30">E48/12</f>
        <v>#VALUE!</v>
      </c>
      <c r="R48" s="306" t="e">
        <f t="shared" ref="R48:R79" si="31">SUM(F48:Q48)</f>
        <v>#VALUE!</v>
      </c>
      <c r="S48" s="290" t="e">
        <f t="shared" ref="S48:S79" si="32">R48-E48</f>
        <v>#VALUE!</v>
      </c>
      <c r="T48" s="290"/>
    </row>
    <row r="49" spans="1:20" s="251" customFormat="1" ht="12.75" x14ac:dyDescent="0.25">
      <c r="A49" s="258">
        <v>34</v>
      </c>
      <c r="B49" s="301" t="s">
        <v>110</v>
      </c>
      <c r="C49" s="307">
        <v>125712</v>
      </c>
      <c r="D49" s="303">
        <f t="shared" si="17"/>
        <v>2.6472115541333623</v>
      </c>
      <c r="E49" s="304" t="e">
        <f t="shared" si="18"/>
        <v>#VALUE!</v>
      </c>
      <c r="F49" s="302" t="e">
        <f t="shared" si="19"/>
        <v>#VALUE!</v>
      </c>
      <c r="G49" s="298" t="e">
        <f t="shared" si="20"/>
        <v>#VALUE!</v>
      </c>
      <c r="H49" s="298" t="e">
        <f t="shared" si="21"/>
        <v>#VALUE!</v>
      </c>
      <c r="I49" s="298" t="e">
        <f t="shared" si="22"/>
        <v>#VALUE!</v>
      </c>
      <c r="J49" s="298" t="e">
        <f t="shared" si="23"/>
        <v>#VALUE!</v>
      </c>
      <c r="K49" s="298" t="e">
        <f t="shared" si="24"/>
        <v>#VALUE!</v>
      </c>
      <c r="L49" s="298" t="e">
        <f t="shared" si="25"/>
        <v>#VALUE!</v>
      </c>
      <c r="M49" s="298" t="e">
        <f t="shared" si="26"/>
        <v>#VALUE!</v>
      </c>
      <c r="N49" s="298" t="e">
        <f t="shared" si="27"/>
        <v>#VALUE!</v>
      </c>
      <c r="O49" s="305" t="e">
        <f t="shared" si="28"/>
        <v>#VALUE!</v>
      </c>
      <c r="P49" s="305" t="e">
        <f t="shared" si="29"/>
        <v>#VALUE!</v>
      </c>
      <c r="Q49" s="305" t="e">
        <f t="shared" si="30"/>
        <v>#VALUE!</v>
      </c>
      <c r="R49" s="306" t="e">
        <f t="shared" si="31"/>
        <v>#VALUE!</v>
      </c>
      <c r="S49" s="290" t="e">
        <f t="shared" si="32"/>
        <v>#VALUE!</v>
      </c>
      <c r="T49" s="290"/>
    </row>
    <row r="50" spans="1:20" s="251" customFormat="1" ht="12.75" x14ac:dyDescent="0.25">
      <c r="A50" s="278">
        <v>35</v>
      </c>
      <c r="B50" s="301" t="s">
        <v>112</v>
      </c>
      <c r="C50" s="307">
        <v>30627</v>
      </c>
      <c r="D50" s="303">
        <f t="shared" si="17"/>
        <v>0.64493563278320676</v>
      </c>
      <c r="E50" s="304" t="e">
        <f t="shared" si="18"/>
        <v>#VALUE!</v>
      </c>
      <c r="F50" s="302" t="e">
        <f t="shared" si="19"/>
        <v>#VALUE!</v>
      </c>
      <c r="G50" s="298" t="e">
        <f t="shared" si="20"/>
        <v>#VALUE!</v>
      </c>
      <c r="H50" s="298" t="e">
        <f t="shared" si="21"/>
        <v>#VALUE!</v>
      </c>
      <c r="I50" s="298" t="e">
        <f t="shared" si="22"/>
        <v>#VALUE!</v>
      </c>
      <c r="J50" s="298" t="e">
        <f t="shared" si="23"/>
        <v>#VALUE!</v>
      </c>
      <c r="K50" s="298" t="e">
        <f t="shared" si="24"/>
        <v>#VALUE!</v>
      </c>
      <c r="L50" s="298" t="e">
        <f t="shared" si="25"/>
        <v>#VALUE!</v>
      </c>
      <c r="M50" s="298" t="e">
        <f t="shared" si="26"/>
        <v>#VALUE!</v>
      </c>
      <c r="N50" s="298" t="e">
        <f t="shared" si="27"/>
        <v>#VALUE!</v>
      </c>
      <c r="O50" s="305" t="e">
        <f t="shared" si="28"/>
        <v>#VALUE!</v>
      </c>
      <c r="P50" s="305" t="e">
        <f t="shared" si="29"/>
        <v>#VALUE!</v>
      </c>
      <c r="Q50" s="305" t="e">
        <f t="shared" si="30"/>
        <v>#VALUE!</v>
      </c>
      <c r="R50" s="306" t="e">
        <f t="shared" si="31"/>
        <v>#VALUE!</v>
      </c>
      <c r="S50" s="290" t="e">
        <f t="shared" si="32"/>
        <v>#VALUE!</v>
      </c>
      <c r="T50" s="290"/>
    </row>
    <row r="51" spans="1:20" s="251" customFormat="1" ht="12.75" x14ac:dyDescent="0.25">
      <c r="A51" s="258">
        <v>36</v>
      </c>
      <c r="B51" s="301" t="s">
        <v>114</v>
      </c>
      <c r="C51" s="307">
        <v>11644</v>
      </c>
      <c r="D51" s="303">
        <f t="shared" si="17"/>
        <v>0.24519641192828742</v>
      </c>
      <c r="E51" s="304" t="e">
        <f t="shared" si="18"/>
        <v>#VALUE!</v>
      </c>
      <c r="F51" s="302" t="e">
        <f t="shared" si="19"/>
        <v>#VALUE!</v>
      </c>
      <c r="G51" s="298" t="e">
        <f t="shared" si="20"/>
        <v>#VALUE!</v>
      </c>
      <c r="H51" s="298" t="e">
        <f t="shared" si="21"/>
        <v>#VALUE!</v>
      </c>
      <c r="I51" s="298" t="e">
        <f t="shared" si="22"/>
        <v>#VALUE!</v>
      </c>
      <c r="J51" s="298" t="e">
        <f t="shared" si="23"/>
        <v>#VALUE!</v>
      </c>
      <c r="K51" s="298" t="e">
        <f t="shared" si="24"/>
        <v>#VALUE!</v>
      </c>
      <c r="L51" s="298" t="e">
        <f t="shared" si="25"/>
        <v>#VALUE!</v>
      </c>
      <c r="M51" s="298" t="e">
        <f t="shared" si="26"/>
        <v>#VALUE!</v>
      </c>
      <c r="N51" s="298" t="e">
        <f t="shared" si="27"/>
        <v>#VALUE!</v>
      </c>
      <c r="O51" s="305" t="e">
        <f t="shared" si="28"/>
        <v>#VALUE!</v>
      </c>
      <c r="P51" s="305" t="e">
        <f t="shared" si="29"/>
        <v>#VALUE!</v>
      </c>
      <c r="Q51" s="305" t="e">
        <f t="shared" si="30"/>
        <v>#VALUE!</v>
      </c>
      <c r="R51" s="306" t="e">
        <f t="shared" si="31"/>
        <v>#VALUE!</v>
      </c>
      <c r="S51" s="290" t="e">
        <f t="shared" si="32"/>
        <v>#VALUE!</v>
      </c>
      <c r="T51" s="290"/>
    </row>
    <row r="52" spans="1:20" s="251" customFormat="1" ht="12.75" x14ac:dyDescent="0.25">
      <c r="A52" s="278">
        <v>37</v>
      </c>
      <c r="B52" s="301" t="s">
        <v>92</v>
      </c>
      <c r="C52" s="307">
        <v>7945</v>
      </c>
      <c r="D52" s="303">
        <f t="shared" si="17"/>
        <v>0.16730380391362448</v>
      </c>
      <c r="E52" s="304" t="e">
        <f t="shared" si="18"/>
        <v>#VALUE!</v>
      </c>
      <c r="F52" s="302" t="e">
        <f t="shared" si="19"/>
        <v>#VALUE!</v>
      </c>
      <c r="G52" s="298" t="e">
        <f t="shared" si="20"/>
        <v>#VALUE!</v>
      </c>
      <c r="H52" s="298" t="e">
        <f t="shared" si="21"/>
        <v>#VALUE!</v>
      </c>
      <c r="I52" s="298" t="e">
        <f t="shared" si="22"/>
        <v>#VALUE!</v>
      </c>
      <c r="J52" s="298" t="e">
        <f t="shared" si="23"/>
        <v>#VALUE!</v>
      </c>
      <c r="K52" s="298" t="e">
        <f t="shared" si="24"/>
        <v>#VALUE!</v>
      </c>
      <c r="L52" s="298" t="e">
        <f t="shared" si="25"/>
        <v>#VALUE!</v>
      </c>
      <c r="M52" s="298" t="e">
        <f t="shared" si="26"/>
        <v>#VALUE!</v>
      </c>
      <c r="N52" s="298" t="e">
        <f t="shared" si="27"/>
        <v>#VALUE!</v>
      </c>
      <c r="O52" s="305" t="e">
        <f t="shared" si="28"/>
        <v>#VALUE!</v>
      </c>
      <c r="P52" s="305" t="e">
        <f t="shared" si="29"/>
        <v>#VALUE!</v>
      </c>
      <c r="Q52" s="305" t="e">
        <f t="shared" si="30"/>
        <v>#VALUE!</v>
      </c>
      <c r="R52" s="306" t="e">
        <f t="shared" si="31"/>
        <v>#VALUE!</v>
      </c>
      <c r="S52" s="290" t="e">
        <f t="shared" si="32"/>
        <v>#VALUE!</v>
      </c>
      <c r="T52" s="290"/>
    </row>
    <row r="53" spans="1:20" s="251" customFormat="1" ht="12.75" x14ac:dyDescent="0.25">
      <c r="A53" s="258">
        <v>38</v>
      </c>
      <c r="B53" s="301" t="s">
        <v>51</v>
      </c>
      <c r="C53" s="307">
        <v>41973</v>
      </c>
      <c r="D53" s="303">
        <f t="shared" si="17"/>
        <v>0.88385683595551423</v>
      </c>
      <c r="E53" s="304" t="e">
        <f t="shared" si="18"/>
        <v>#VALUE!</v>
      </c>
      <c r="F53" s="302" t="e">
        <f t="shared" si="19"/>
        <v>#VALUE!</v>
      </c>
      <c r="G53" s="298" t="e">
        <f t="shared" si="20"/>
        <v>#VALUE!</v>
      </c>
      <c r="H53" s="298" t="e">
        <f t="shared" si="21"/>
        <v>#VALUE!</v>
      </c>
      <c r="I53" s="298" t="e">
        <f t="shared" si="22"/>
        <v>#VALUE!</v>
      </c>
      <c r="J53" s="298" t="e">
        <f t="shared" si="23"/>
        <v>#VALUE!</v>
      </c>
      <c r="K53" s="298" t="e">
        <f t="shared" si="24"/>
        <v>#VALUE!</v>
      </c>
      <c r="L53" s="298" t="e">
        <f t="shared" si="25"/>
        <v>#VALUE!</v>
      </c>
      <c r="M53" s="298" t="e">
        <f t="shared" si="26"/>
        <v>#VALUE!</v>
      </c>
      <c r="N53" s="298" t="e">
        <f t="shared" si="27"/>
        <v>#VALUE!</v>
      </c>
      <c r="O53" s="305" t="e">
        <f t="shared" si="28"/>
        <v>#VALUE!</v>
      </c>
      <c r="P53" s="305" t="e">
        <f t="shared" si="29"/>
        <v>#VALUE!</v>
      </c>
      <c r="Q53" s="305" t="e">
        <f t="shared" si="30"/>
        <v>#VALUE!</v>
      </c>
      <c r="R53" s="306" t="e">
        <f t="shared" si="31"/>
        <v>#VALUE!</v>
      </c>
      <c r="S53" s="290" t="e">
        <f t="shared" si="32"/>
        <v>#VALUE!</v>
      </c>
      <c r="T53" s="290"/>
    </row>
    <row r="54" spans="1:20" s="251" customFormat="1" ht="12.75" x14ac:dyDescent="0.25">
      <c r="A54" s="278">
        <v>39</v>
      </c>
      <c r="B54" s="301" t="s">
        <v>105</v>
      </c>
      <c r="C54" s="307">
        <v>9015</v>
      </c>
      <c r="D54" s="303">
        <f t="shared" si="17"/>
        <v>0.18983559374214284</v>
      </c>
      <c r="E54" s="304" t="e">
        <f t="shared" si="18"/>
        <v>#VALUE!</v>
      </c>
      <c r="F54" s="302" t="e">
        <f t="shared" si="19"/>
        <v>#VALUE!</v>
      </c>
      <c r="G54" s="298" t="e">
        <f t="shared" si="20"/>
        <v>#VALUE!</v>
      </c>
      <c r="H54" s="298" t="e">
        <f t="shared" si="21"/>
        <v>#VALUE!</v>
      </c>
      <c r="I54" s="298" t="e">
        <f t="shared" si="22"/>
        <v>#VALUE!</v>
      </c>
      <c r="J54" s="298" t="e">
        <f t="shared" si="23"/>
        <v>#VALUE!</v>
      </c>
      <c r="K54" s="298" t="e">
        <f t="shared" si="24"/>
        <v>#VALUE!</v>
      </c>
      <c r="L54" s="298" t="e">
        <f t="shared" si="25"/>
        <v>#VALUE!</v>
      </c>
      <c r="M54" s="298" t="e">
        <f t="shared" si="26"/>
        <v>#VALUE!</v>
      </c>
      <c r="N54" s="298" t="e">
        <f t="shared" si="27"/>
        <v>#VALUE!</v>
      </c>
      <c r="O54" s="305" t="e">
        <f t="shared" si="28"/>
        <v>#VALUE!</v>
      </c>
      <c r="P54" s="305" t="e">
        <f t="shared" si="29"/>
        <v>#VALUE!</v>
      </c>
      <c r="Q54" s="305" t="e">
        <f t="shared" si="30"/>
        <v>#VALUE!</v>
      </c>
      <c r="R54" s="306" t="e">
        <f t="shared" si="31"/>
        <v>#VALUE!</v>
      </c>
      <c r="S54" s="290" t="e">
        <f t="shared" si="32"/>
        <v>#VALUE!</v>
      </c>
      <c r="T54" s="290"/>
    </row>
    <row r="55" spans="1:20" s="251" customFormat="1" ht="12.75" x14ac:dyDescent="0.25">
      <c r="A55" s="258">
        <v>40</v>
      </c>
      <c r="B55" s="301" t="s">
        <v>96</v>
      </c>
      <c r="C55" s="307">
        <v>18385</v>
      </c>
      <c r="D55" s="303">
        <f t="shared" si="17"/>
        <v>0.38714668784795297</v>
      </c>
      <c r="E55" s="304" t="e">
        <f t="shared" si="18"/>
        <v>#VALUE!</v>
      </c>
      <c r="F55" s="302" t="e">
        <f t="shared" si="19"/>
        <v>#VALUE!</v>
      </c>
      <c r="G55" s="298" t="e">
        <f t="shared" si="20"/>
        <v>#VALUE!</v>
      </c>
      <c r="H55" s="298" t="e">
        <f t="shared" si="21"/>
        <v>#VALUE!</v>
      </c>
      <c r="I55" s="298" t="e">
        <f t="shared" si="22"/>
        <v>#VALUE!</v>
      </c>
      <c r="J55" s="298" t="e">
        <f t="shared" si="23"/>
        <v>#VALUE!</v>
      </c>
      <c r="K55" s="298" t="e">
        <f t="shared" si="24"/>
        <v>#VALUE!</v>
      </c>
      <c r="L55" s="298" t="e">
        <f t="shared" si="25"/>
        <v>#VALUE!</v>
      </c>
      <c r="M55" s="298" t="e">
        <f t="shared" si="26"/>
        <v>#VALUE!</v>
      </c>
      <c r="N55" s="298" t="e">
        <f t="shared" si="27"/>
        <v>#VALUE!</v>
      </c>
      <c r="O55" s="305" t="e">
        <f t="shared" si="28"/>
        <v>#VALUE!</v>
      </c>
      <c r="P55" s="305" t="e">
        <f t="shared" si="29"/>
        <v>#VALUE!</v>
      </c>
      <c r="Q55" s="305" t="e">
        <f t="shared" si="30"/>
        <v>#VALUE!</v>
      </c>
      <c r="R55" s="306" t="e">
        <f t="shared" si="31"/>
        <v>#VALUE!</v>
      </c>
      <c r="S55" s="290" t="e">
        <f t="shared" si="32"/>
        <v>#VALUE!</v>
      </c>
      <c r="T55" s="290"/>
    </row>
    <row r="56" spans="1:20" s="251" customFormat="1" ht="12.75" x14ac:dyDescent="0.25">
      <c r="A56" s="278">
        <v>41</v>
      </c>
      <c r="B56" s="301" t="s">
        <v>98</v>
      </c>
      <c r="C56" s="307">
        <v>16043</v>
      </c>
      <c r="D56" s="303">
        <f t="shared" si="17"/>
        <v>0.3378294431952521</v>
      </c>
      <c r="E56" s="304" t="e">
        <f t="shared" si="18"/>
        <v>#VALUE!</v>
      </c>
      <c r="F56" s="302" t="e">
        <f t="shared" si="19"/>
        <v>#VALUE!</v>
      </c>
      <c r="G56" s="298" t="e">
        <f t="shared" si="20"/>
        <v>#VALUE!</v>
      </c>
      <c r="H56" s="298" t="e">
        <f t="shared" si="21"/>
        <v>#VALUE!</v>
      </c>
      <c r="I56" s="298" t="e">
        <f t="shared" si="22"/>
        <v>#VALUE!</v>
      </c>
      <c r="J56" s="298" t="e">
        <f t="shared" si="23"/>
        <v>#VALUE!</v>
      </c>
      <c r="K56" s="298" t="e">
        <f t="shared" si="24"/>
        <v>#VALUE!</v>
      </c>
      <c r="L56" s="298" t="e">
        <f t="shared" si="25"/>
        <v>#VALUE!</v>
      </c>
      <c r="M56" s="298" t="e">
        <f t="shared" si="26"/>
        <v>#VALUE!</v>
      </c>
      <c r="N56" s="298" t="e">
        <f t="shared" si="27"/>
        <v>#VALUE!</v>
      </c>
      <c r="O56" s="305" t="e">
        <f t="shared" si="28"/>
        <v>#VALUE!</v>
      </c>
      <c r="P56" s="305" t="e">
        <f t="shared" si="29"/>
        <v>#VALUE!</v>
      </c>
      <c r="Q56" s="305" t="e">
        <f t="shared" si="30"/>
        <v>#VALUE!</v>
      </c>
      <c r="R56" s="306" t="e">
        <f t="shared" si="31"/>
        <v>#VALUE!</v>
      </c>
      <c r="S56" s="290" t="e">
        <f t="shared" si="32"/>
        <v>#VALUE!</v>
      </c>
      <c r="T56" s="290"/>
    </row>
    <row r="57" spans="1:20" s="251" customFormat="1" ht="12.75" x14ac:dyDescent="0.25">
      <c r="A57" s="258">
        <v>42</v>
      </c>
      <c r="B57" s="301" t="s">
        <v>122</v>
      </c>
      <c r="C57" s="307">
        <v>14302</v>
      </c>
      <c r="D57" s="303">
        <f t="shared" si="17"/>
        <v>0.30116790479202737</v>
      </c>
      <c r="E57" s="304" t="e">
        <f t="shared" si="18"/>
        <v>#VALUE!</v>
      </c>
      <c r="F57" s="302" t="e">
        <f t="shared" si="19"/>
        <v>#VALUE!</v>
      </c>
      <c r="G57" s="298" t="e">
        <f t="shared" si="20"/>
        <v>#VALUE!</v>
      </c>
      <c r="H57" s="298" t="e">
        <f t="shared" si="21"/>
        <v>#VALUE!</v>
      </c>
      <c r="I57" s="298" t="e">
        <f t="shared" si="22"/>
        <v>#VALUE!</v>
      </c>
      <c r="J57" s="298" t="e">
        <f t="shared" si="23"/>
        <v>#VALUE!</v>
      </c>
      <c r="K57" s="298" t="e">
        <f t="shared" si="24"/>
        <v>#VALUE!</v>
      </c>
      <c r="L57" s="298" t="e">
        <f t="shared" si="25"/>
        <v>#VALUE!</v>
      </c>
      <c r="M57" s="298" t="e">
        <f t="shared" si="26"/>
        <v>#VALUE!</v>
      </c>
      <c r="N57" s="298" t="e">
        <f t="shared" si="27"/>
        <v>#VALUE!</v>
      </c>
      <c r="O57" s="305" t="e">
        <f t="shared" si="28"/>
        <v>#VALUE!</v>
      </c>
      <c r="P57" s="305" t="e">
        <f t="shared" si="29"/>
        <v>#VALUE!</v>
      </c>
      <c r="Q57" s="305" t="e">
        <f t="shared" si="30"/>
        <v>#VALUE!</v>
      </c>
      <c r="R57" s="306" t="e">
        <f t="shared" si="31"/>
        <v>#VALUE!</v>
      </c>
      <c r="S57" s="290" t="e">
        <f t="shared" si="32"/>
        <v>#VALUE!</v>
      </c>
      <c r="T57" s="290"/>
    </row>
    <row r="58" spans="1:20" s="251" customFormat="1" ht="12.75" x14ac:dyDescent="0.25">
      <c r="A58" s="278">
        <v>43</v>
      </c>
      <c r="B58" s="301" t="s">
        <v>346</v>
      </c>
      <c r="C58" s="307">
        <v>68781</v>
      </c>
      <c r="D58" s="303">
        <f t="shared" si="17"/>
        <v>1.4483729310236635</v>
      </c>
      <c r="E58" s="304" t="e">
        <f t="shared" si="18"/>
        <v>#VALUE!</v>
      </c>
      <c r="F58" s="302" t="e">
        <f t="shared" si="19"/>
        <v>#VALUE!</v>
      </c>
      <c r="G58" s="298" t="e">
        <f t="shared" si="20"/>
        <v>#VALUE!</v>
      </c>
      <c r="H58" s="298" t="e">
        <f t="shared" si="21"/>
        <v>#VALUE!</v>
      </c>
      <c r="I58" s="298" t="e">
        <f t="shared" si="22"/>
        <v>#VALUE!</v>
      </c>
      <c r="J58" s="298" t="e">
        <f t="shared" si="23"/>
        <v>#VALUE!</v>
      </c>
      <c r="K58" s="298" t="e">
        <f t="shared" si="24"/>
        <v>#VALUE!</v>
      </c>
      <c r="L58" s="298" t="e">
        <f t="shared" si="25"/>
        <v>#VALUE!</v>
      </c>
      <c r="M58" s="298" t="e">
        <f t="shared" si="26"/>
        <v>#VALUE!</v>
      </c>
      <c r="N58" s="298" t="e">
        <f t="shared" si="27"/>
        <v>#VALUE!</v>
      </c>
      <c r="O58" s="305" t="e">
        <f t="shared" si="28"/>
        <v>#VALUE!</v>
      </c>
      <c r="P58" s="305" t="e">
        <f t="shared" si="29"/>
        <v>#VALUE!</v>
      </c>
      <c r="Q58" s="305" t="e">
        <f t="shared" si="30"/>
        <v>#VALUE!</v>
      </c>
      <c r="R58" s="306" t="e">
        <f t="shared" si="31"/>
        <v>#VALUE!</v>
      </c>
      <c r="S58" s="290" t="e">
        <f t="shared" si="32"/>
        <v>#VALUE!</v>
      </c>
      <c r="T58" s="290"/>
    </row>
    <row r="59" spans="1:20" s="251" customFormat="1" ht="12.75" x14ac:dyDescent="0.25">
      <c r="A59" s="258">
        <v>44</v>
      </c>
      <c r="B59" s="301" t="s">
        <v>102</v>
      </c>
      <c r="C59" s="307">
        <v>12946</v>
      </c>
      <c r="D59" s="303">
        <f t="shared" si="17"/>
        <v>0.27261359917756861</v>
      </c>
      <c r="E59" s="304" t="e">
        <f t="shared" si="18"/>
        <v>#VALUE!</v>
      </c>
      <c r="F59" s="302" t="e">
        <f t="shared" si="19"/>
        <v>#VALUE!</v>
      </c>
      <c r="G59" s="298" t="e">
        <f t="shared" si="20"/>
        <v>#VALUE!</v>
      </c>
      <c r="H59" s="298" t="e">
        <f t="shared" si="21"/>
        <v>#VALUE!</v>
      </c>
      <c r="I59" s="298" t="e">
        <f t="shared" si="22"/>
        <v>#VALUE!</v>
      </c>
      <c r="J59" s="298" t="e">
        <f t="shared" si="23"/>
        <v>#VALUE!</v>
      </c>
      <c r="K59" s="298" t="e">
        <f t="shared" si="24"/>
        <v>#VALUE!</v>
      </c>
      <c r="L59" s="298" t="e">
        <f t="shared" si="25"/>
        <v>#VALUE!</v>
      </c>
      <c r="M59" s="298" t="e">
        <f t="shared" si="26"/>
        <v>#VALUE!</v>
      </c>
      <c r="N59" s="298" t="e">
        <f t="shared" si="27"/>
        <v>#VALUE!</v>
      </c>
      <c r="O59" s="305" t="e">
        <f t="shared" si="28"/>
        <v>#VALUE!</v>
      </c>
      <c r="P59" s="305" t="e">
        <f t="shared" si="29"/>
        <v>#VALUE!</v>
      </c>
      <c r="Q59" s="305" t="e">
        <f t="shared" si="30"/>
        <v>#VALUE!</v>
      </c>
      <c r="R59" s="306" t="e">
        <f t="shared" si="31"/>
        <v>#VALUE!</v>
      </c>
      <c r="S59" s="290" t="e">
        <f t="shared" si="32"/>
        <v>#VALUE!</v>
      </c>
      <c r="T59" s="290"/>
    </row>
    <row r="60" spans="1:20" s="251" customFormat="1" ht="12.75" x14ac:dyDescent="0.25">
      <c r="A60" s="278">
        <v>45</v>
      </c>
      <c r="B60" s="301" t="s">
        <v>127</v>
      </c>
      <c r="C60" s="307">
        <v>36158</v>
      </c>
      <c r="D60" s="303">
        <f t="shared" si="17"/>
        <v>0.76140603422389352</v>
      </c>
      <c r="E60" s="304" t="e">
        <f t="shared" si="18"/>
        <v>#VALUE!</v>
      </c>
      <c r="F60" s="302" t="e">
        <f t="shared" si="19"/>
        <v>#VALUE!</v>
      </c>
      <c r="G60" s="298" t="e">
        <f t="shared" si="20"/>
        <v>#VALUE!</v>
      </c>
      <c r="H60" s="298" t="e">
        <f t="shared" si="21"/>
        <v>#VALUE!</v>
      </c>
      <c r="I60" s="298" t="e">
        <f t="shared" si="22"/>
        <v>#VALUE!</v>
      </c>
      <c r="J60" s="298" t="e">
        <f t="shared" si="23"/>
        <v>#VALUE!</v>
      </c>
      <c r="K60" s="298" t="e">
        <f t="shared" si="24"/>
        <v>#VALUE!</v>
      </c>
      <c r="L60" s="298" t="e">
        <f t="shared" si="25"/>
        <v>#VALUE!</v>
      </c>
      <c r="M60" s="298" t="e">
        <f t="shared" si="26"/>
        <v>#VALUE!</v>
      </c>
      <c r="N60" s="298" t="e">
        <f t="shared" si="27"/>
        <v>#VALUE!</v>
      </c>
      <c r="O60" s="305" t="e">
        <f t="shared" si="28"/>
        <v>#VALUE!</v>
      </c>
      <c r="P60" s="305" t="e">
        <f t="shared" si="29"/>
        <v>#VALUE!</v>
      </c>
      <c r="Q60" s="305" t="e">
        <f t="shared" si="30"/>
        <v>#VALUE!</v>
      </c>
      <c r="R60" s="306" t="e">
        <f t="shared" si="31"/>
        <v>#VALUE!</v>
      </c>
      <c r="S60" s="290" t="e">
        <f t="shared" si="32"/>
        <v>#VALUE!</v>
      </c>
      <c r="T60" s="290"/>
    </row>
    <row r="61" spans="1:20" s="251" customFormat="1" ht="12.75" x14ac:dyDescent="0.25">
      <c r="A61" s="258">
        <v>46</v>
      </c>
      <c r="B61" s="301" t="s">
        <v>119</v>
      </c>
      <c r="C61" s="307">
        <v>14936</v>
      </c>
      <c r="D61" s="303">
        <f t="shared" si="17"/>
        <v>0.31451851670911207</v>
      </c>
      <c r="E61" s="304" t="e">
        <f t="shared" si="18"/>
        <v>#VALUE!</v>
      </c>
      <c r="F61" s="302" t="e">
        <f t="shared" si="19"/>
        <v>#VALUE!</v>
      </c>
      <c r="G61" s="298" t="e">
        <f t="shared" si="20"/>
        <v>#VALUE!</v>
      </c>
      <c r="H61" s="298" t="e">
        <f t="shared" si="21"/>
        <v>#VALUE!</v>
      </c>
      <c r="I61" s="298" t="e">
        <f t="shared" si="22"/>
        <v>#VALUE!</v>
      </c>
      <c r="J61" s="298" t="e">
        <f t="shared" si="23"/>
        <v>#VALUE!</v>
      </c>
      <c r="K61" s="298" t="e">
        <f t="shared" si="24"/>
        <v>#VALUE!</v>
      </c>
      <c r="L61" s="298" t="e">
        <f t="shared" si="25"/>
        <v>#VALUE!</v>
      </c>
      <c r="M61" s="298" t="e">
        <f t="shared" si="26"/>
        <v>#VALUE!</v>
      </c>
      <c r="N61" s="298" t="e">
        <f t="shared" si="27"/>
        <v>#VALUE!</v>
      </c>
      <c r="O61" s="305" t="e">
        <f t="shared" si="28"/>
        <v>#VALUE!</v>
      </c>
      <c r="P61" s="305" t="e">
        <f t="shared" si="29"/>
        <v>#VALUE!</v>
      </c>
      <c r="Q61" s="305" t="e">
        <f t="shared" si="30"/>
        <v>#VALUE!</v>
      </c>
      <c r="R61" s="306" t="e">
        <f t="shared" si="31"/>
        <v>#VALUE!</v>
      </c>
      <c r="S61" s="290" t="e">
        <f t="shared" si="32"/>
        <v>#VALUE!</v>
      </c>
      <c r="T61" s="290"/>
    </row>
    <row r="62" spans="1:20" s="251" customFormat="1" ht="12.75" x14ac:dyDescent="0.25">
      <c r="A62" s="278">
        <v>47</v>
      </c>
      <c r="B62" s="301" t="s">
        <v>121</v>
      </c>
      <c r="C62" s="307">
        <v>19834</v>
      </c>
      <c r="D62" s="303">
        <f t="shared" si="17"/>
        <v>0.41765936398021752</v>
      </c>
      <c r="E62" s="304" t="e">
        <f t="shared" si="18"/>
        <v>#VALUE!</v>
      </c>
      <c r="F62" s="302" t="e">
        <f t="shared" si="19"/>
        <v>#VALUE!</v>
      </c>
      <c r="G62" s="298" t="e">
        <f t="shared" si="20"/>
        <v>#VALUE!</v>
      </c>
      <c r="H62" s="298" t="e">
        <f t="shared" si="21"/>
        <v>#VALUE!</v>
      </c>
      <c r="I62" s="298" t="e">
        <f t="shared" si="22"/>
        <v>#VALUE!</v>
      </c>
      <c r="J62" s="298" t="e">
        <f t="shared" si="23"/>
        <v>#VALUE!</v>
      </c>
      <c r="K62" s="298" t="e">
        <f t="shared" si="24"/>
        <v>#VALUE!</v>
      </c>
      <c r="L62" s="298" t="e">
        <f t="shared" si="25"/>
        <v>#VALUE!</v>
      </c>
      <c r="M62" s="298" t="e">
        <f t="shared" si="26"/>
        <v>#VALUE!</v>
      </c>
      <c r="N62" s="298" t="e">
        <f t="shared" si="27"/>
        <v>#VALUE!</v>
      </c>
      <c r="O62" s="305" t="e">
        <f t="shared" si="28"/>
        <v>#VALUE!</v>
      </c>
      <c r="P62" s="305" t="e">
        <f t="shared" si="29"/>
        <v>#VALUE!</v>
      </c>
      <c r="Q62" s="305" t="e">
        <f t="shared" si="30"/>
        <v>#VALUE!</v>
      </c>
      <c r="R62" s="306" t="e">
        <f t="shared" si="31"/>
        <v>#VALUE!</v>
      </c>
      <c r="S62" s="290" t="e">
        <f t="shared" si="32"/>
        <v>#VALUE!</v>
      </c>
      <c r="T62" s="290"/>
    </row>
    <row r="63" spans="1:20" s="251" customFormat="1" ht="12.75" x14ac:dyDescent="0.25">
      <c r="A63" s="258">
        <v>48</v>
      </c>
      <c r="B63" s="301" t="s">
        <v>47</v>
      </c>
      <c r="C63" s="307">
        <v>5745</v>
      </c>
      <c r="D63" s="303">
        <f t="shared" si="17"/>
        <v>0.12097675940639052</v>
      </c>
      <c r="E63" s="304" t="e">
        <f t="shared" si="18"/>
        <v>#VALUE!</v>
      </c>
      <c r="F63" s="302" t="e">
        <f t="shared" si="19"/>
        <v>#VALUE!</v>
      </c>
      <c r="G63" s="298" t="e">
        <f t="shared" si="20"/>
        <v>#VALUE!</v>
      </c>
      <c r="H63" s="298" t="e">
        <f t="shared" si="21"/>
        <v>#VALUE!</v>
      </c>
      <c r="I63" s="298" t="e">
        <f t="shared" si="22"/>
        <v>#VALUE!</v>
      </c>
      <c r="J63" s="298" t="e">
        <f t="shared" si="23"/>
        <v>#VALUE!</v>
      </c>
      <c r="K63" s="298" t="e">
        <f t="shared" si="24"/>
        <v>#VALUE!</v>
      </c>
      <c r="L63" s="298" t="e">
        <f t="shared" si="25"/>
        <v>#VALUE!</v>
      </c>
      <c r="M63" s="298" t="e">
        <f t="shared" si="26"/>
        <v>#VALUE!</v>
      </c>
      <c r="N63" s="298" t="e">
        <f t="shared" si="27"/>
        <v>#VALUE!</v>
      </c>
      <c r="O63" s="305" t="e">
        <f t="shared" si="28"/>
        <v>#VALUE!</v>
      </c>
      <c r="P63" s="305" t="e">
        <f t="shared" si="29"/>
        <v>#VALUE!</v>
      </c>
      <c r="Q63" s="305" t="e">
        <f t="shared" si="30"/>
        <v>#VALUE!</v>
      </c>
      <c r="R63" s="306" t="e">
        <f t="shared" si="31"/>
        <v>#VALUE!</v>
      </c>
      <c r="S63" s="290" t="e">
        <f t="shared" si="32"/>
        <v>#VALUE!</v>
      </c>
      <c r="T63" s="290"/>
    </row>
    <row r="64" spans="1:20" s="251" customFormat="1" ht="12.75" x14ac:dyDescent="0.25">
      <c r="A64" s="278">
        <v>49</v>
      </c>
      <c r="B64" s="301" t="s">
        <v>115</v>
      </c>
      <c r="C64" s="307">
        <v>19086</v>
      </c>
      <c r="D64" s="303">
        <f t="shared" si="17"/>
        <v>0.40190816884775799</v>
      </c>
      <c r="E64" s="304" t="e">
        <f t="shared" si="18"/>
        <v>#VALUE!</v>
      </c>
      <c r="F64" s="302" t="e">
        <f t="shared" si="19"/>
        <v>#VALUE!</v>
      </c>
      <c r="G64" s="298" t="e">
        <f t="shared" si="20"/>
        <v>#VALUE!</v>
      </c>
      <c r="H64" s="298" t="e">
        <f t="shared" si="21"/>
        <v>#VALUE!</v>
      </c>
      <c r="I64" s="298" t="e">
        <f t="shared" si="22"/>
        <v>#VALUE!</v>
      </c>
      <c r="J64" s="298" t="e">
        <f t="shared" si="23"/>
        <v>#VALUE!</v>
      </c>
      <c r="K64" s="298" t="e">
        <f t="shared" si="24"/>
        <v>#VALUE!</v>
      </c>
      <c r="L64" s="298" t="e">
        <f t="shared" si="25"/>
        <v>#VALUE!</v>
      </c>
      <c r="M64" s="298" t="e">
        <f t="shared" si="26"/>
        <v>#VALUE!</v>
      </c>
      <c r="N64" s="298" t="e">
        <f t="shared" si="27"/>
        <v>#VALUE!</v>
      </c>
      <c r="O64" s="305" t="e">
        <f t="shared" si="28"/>
        <v>#VALUE!</v>
      </c>
      <c r="P64" s="305" t="e">
        <f t="shared" si="29"/>
        <v>#VALUE!</v>
      </c>
      <c r="Q64" s="305" t="e">
        <f t="shared" si="30"/>
        <v>#VALUE!</v>
      </c>
      <c r="R64" s="306" t="e">
        <f t="shared" si="31"/>
        <v>#VALUE!</v>
      </c>
      <c r="S64" s="290" t="e">
        <f t="shared" si="32"/>
        <v>#VALUE!</v>
      </c>
      <c r="T64" s="290"/>
    </row>
    <row r="65" spans="1:20" s="251" customFormat="1" ht="12.75" x14ac:dyDescent="0.25">
      <c r="A65" s="258">
        <v>50</v>
      </c>
      <c r="B65" s="301" t="s">
        <v>69</v>
      </c>
      <c r="C65" s="307">
        <v>89311</v>
      </c>
      <c r="D65" s="303">
        <f t="shared" si="17"/>
        <v>1.8806884872661696</v>
      </c>
      <c r="E65" s="304" t="e">
        <f t="shared" si="18"/>
        <v>#VALUE!</v>
      </c>
      <c r="F65" s="302" t="e">
        <f t="shared" si="19"/>
        <v>#VALUE!</v>
      </c>
      <c r="G65" s="298" t="e">
        <f t="shared" si="20"/>
        <v>#VALUE!</v>
      </c>
      <c r="H65" s="298" t="e">
        <f t="shared" si="21"/>
        <v>#VALUE!</v>
      </c>
      <c r="I65" s="298" t="e">
        <f t="shared" si="22"/>
        <v>#VALUE!</v>
      </c>
      <c r="J65" s="298" t="e">
        <f t="shared" si="23"/>
        <v>#VALUE!</v>
      </c>
      <c r="K65" s="298" t="e">
        <f t="shared" si="24"/>
        <v>#VALUE!</v>
      </c>
      <c r="L65" s="298" t="e">
        <f t="shared" si="25"/>
        <v>#VALUE!</v>
      </c>
      <c r="M65" s="298" t="e">
        <f t="shared" si="26"/>
        <v>#VALUE!</v>
      </c>
      <c r="N65" s="298" t="e">
        <f t="shared" si="27"/>
        <v>#VALUE!</v>
      </c>
      <c r="O65" s="305" t="e">
        <f t="shared" si="28"/>
        <v>#VALUE!</v>
      </c>
      <c r="P65" s="305" t="e">
        <f t="shared" si="29"/>
        <v>#VALUE!</v>
      </c>
      <c r="Q65" s="305" t="e">
        <f t="shared" si="30"/>
        <v>#VALUE!</v>
      </c>
      <c r="R65" s="306" t="e">
        <f t="shared" si="31"/>
        <v>#VALUE!</v>
      </c>
      <c r="S65" s="290" t="e">
        <f t="shared" si="32"/>
        <v>#VALUE!</v>
      </c>
      <c r="T65" s="290"/>
    </row>
    <row r="66" spans="1:20" s="251" customFormat="1" ht="12.75" x14ac:dyDescent="0.25">
      <c r="A66" s="278">
        <v>51</v>
      </c>
      <c r="B66" s="301" t="s">
        <v>126</v>
      </c>
      <c r="C66" s="307">
        <v>13983</v>
      </c>
      <c r="D66" s="303">
        <f t="shared" si="17"/>
        <v>0.29445048333847845</v>
      </c>
      <c r="E66" s="304" t="e">
        <f t="shared" si="18"/>
        <v>#VALUE!</v>
      </c>
      <c r="F66" s="302" t="e">
        <f t="shared" si="19"/>
        <v>#VALUE!</v>
      </c>
      <c r="G66" s="298" t="e">
        <f t="shared" si="20"/>
        <v>#VALUE!</v>
      </c>
      <c r="H66" s="298" t="e">
        <f t="shared" si="21"/>
        <v>#VALUE!</v>
      </c>
      <c r="I66" s="298" t="e">
        <f t="shared" si="22"/>
        <v>#VALUE!</v>
      </c>
      <c r="J66" s="298" t="e">
        <f t="shared" si="23"/>
        <v>#VALUE!</v>
      </c>
      <c r="K66" s="298" t="e">
        <f t="shared" si="24"/>
        <v>#VALUE!</v>
      </c>
      <c r="L66" s="298" t="e">
        <f t="shared" si="25"/>
        <v>#VALUE!</v>
      </c>
      <c r="M66" s="298" t="e">
        <f t="shared" si="26"/>
        <v>#VALUE!</v>
      </c>
      <c r="N66" s="298" t="e">
        <f t="shared" si="27"/>
        <v>#VALUE!</v>
      </c>
      <c r="O66" s="305" t="e">
        <f t="shared" si="28"/>
        <v>#VALUE!</v>
      </c>
      <c r="P66" s="305" t="e">
        <f t="shared" si="29"/>
        <v>#VALUE!</v>
      </c>
      <c r="Q66" s="305" t="e">
        <f t="shared" si="30"/>
        <v>#VALUE!</v>
      </c>
      <c r="R66" s="306" t="e">
        <f t="shared" si="31"/>
        <v>#VALUE!</v>
      </c>
      <c r="S66" s="290" t="e">
        <f t="shared" si="32"/>
        <v>#VALUE!</v>
      </c>
      <c r="T66" s="290"/>
    </row>
    <row r="67" spans="1:20" s="251" customFormat="1" ht="12.75" x14ac:dyDescent="0.25">
      <c r="A67" s="258">
        <v>52</v>
      </c>
      <c r="B67" s="301" t="s">
        <v>58</v>
      </c>
      <c r="C67" s="307">
        <v>196003</v>
      </c>
      <c r="D67" s="303">
        <f t="shared" si="17"/>
        <v>4.1273816838869903</v>
      </c>
      <c r="E67" s="304" t="e">
        <f t="shared" si="18"/>
        <v>#VALUE!</v>
      </c>
      <c r="F67" s="302" t="e">
        <f t="shared" si="19"/>
        <v>#VALUE!</v>
      </c>
      <c r="G67" s="298" t="e">
        <f t="shared" si="20"/>
        <v>#VALUE!</v>
      </c>
      <c r="H67" s="298" t="e">
        <f t="shared" si="21"/>
        <v>#VALUE!</v>
      </c>
      <c r="I67" s="298" t="e">
        <f t="shared" si="22"/>
        <v>#VALUE!</v>
      </c>
      <c r="J67" s="298" t="e">
        <f t="shared" si="23"/>
        <v>#VALUE!</v>
      </c>
      <c r="K67" s="298" t="e">
        <f t="shared" si="24"/>
        <v>#VALUE!</v>
      </c>
      <c r="L67" s="298" t="e">
        <f t="shared" si="25"/>
        <v>#VALUE!</v>
      </c>
      <c r="M67" s="298" t="e">
        <f t="shared" si="26"/>
        <v>#VALUE!</v>
      </c>
      <c r="N67" s="298" t="e">
        <f t="shared" si="27"/>
        <v>#VALUE!</v>
      </c>
      <c r="O67" s="305" t="e">
        <f t="shared" si="28"/>
        <v>#VALUE!</v>
      </c>
      <c r="P67" s="305" t="e">
        <f t="shared" si="29"/>
        <v>#VALUE!</v>
      </c>
      <c r="Q67" s="305" t="e">
        <f t="shared" si="30"/>
        <v>#VALUE!</v>
      </c>
      <c r="R67" s="306" t="e">
        <f t="shared" si="31"/>
        <v>#VALUE!</v>
      </c>
      <c r="S67" s="290" t="e">
        <f t="shared" si="32"/>
        <v>#VALUE!</v>
      </c>
      <c r="T67" s="290"/>
    </row>
    <row r="68" spans="1:20" s="251" customFormat="1" ht="12.75" x14ac:dyDescent="0.25">
      <c r="A68" s="306">
        <v>53</v>
      </c>
      <c r="B68" s="301" t="s">
        <v>103</v>
      </c>
      <c r="C68" s="306">
        <v>849053</v>
      </c>
      <c r="D68" s="303">
        <f t="shared" si="17"/>
        <v>17.879143690909327</v>
      </c>
      <c r="E68" s="304" t="e">
        <f t="shared" si="18"/>
        <v>#VALUE!</v>
      </c>
      <c r="F68" s="302" t="e">
        <f t="shared" si="19"/>
        <v>#VALUE!</v>
      </c>
      <c r="G68" s="298" t="e">
        <f t="shared" si="20"/>
        <v>#VALUE!</v>
      </c>
      <c r="H68" s="298" t="e">
        <f t="shared" si="21"/>
        <v>#VALUE!</v>
      </c>
      <c r="I68" s="298" t="e">
        <f t="shared" si="22"/>
        <v>#VALUE!</v>
      </c>
      <c r="J68" s="298" t="e">
        <f t="shared" si="23"/>
        <v>#VALUE!</v>
      </c>
      <c r="K68" s="298" t="e">
        <f t="shared" si="24"/>
        <v>#VALUE!</v>
      </c>
      <c r="L68" s="298" t="e">
        <f t="shared" si="25"/>
        <v>#VALUE!</v>
      </c>
      <c r="M68" s="298" t="e">
        <f t="shared" si="26"/>
        <v>#VALUE!</v>
      </c>
      <c r="N68" s="298" t="e">
        <f t="shared" si="27"/>
        <v>#VALUE!</v>
      </c>
      <c r="O68" s="305" t="e">
        <f t="shared" si="28"/>
        <v>#VALUE!</v>
      </c>
      <c r="P68" s="305" t="e">
        <f t="shared" si="29"/>
        <v>#VALUE!</v>
      </c>
      <c r="Q68" s="305" t="e">
        <f t="shared" si="30"/>
        <v>#VALUE!</v>
      </c>
      <c r="R68" s="306" t="e">
        <f t="shared" si="31"/>
        <v>#VALUE!</v>
      </c>
      <c r="S68" s="290" t="e">
        <f t="shared" si="32"/>
        <v>#VALUE!</v>
      </c>
      <c r="T68" s="290"/>
    </row>
    <row r="69" spans="1:20" s="251" customFormat="1" ht="12.75" x14ac:dyDescent="0.25">
      <c r="A69" s="258">
        <v>54</v>
      </c>
      <c r="B69" s="301" t="s">
        <v>94</v>
      </c>
      <c r="C69" s="307">
        <v>7983</v>
      </c>
      <c r="D69" s="303">
        <f t="shared" si="17"/>
        <v>0.16810399831874945</v>
      </c>
      <c r="E69" s="304" t="e">
        <f t="shared" si="18"/>
        <v>#VALUE!</v>
      </c>
      <c r="F69" s="302" t="e">
        <f t="shared" si="19"/>
        <v>#VALUE!</v>
      </c>
      <c r="G69" s="298" t="e">
        <f t="shared" si="20"/>
        <v>#VALUE!</v>
      </c>
      <c r="H69" s="298" t="e">
        <f t="shared" si="21"/>
        <v>#VALUE!</v>
      </c>
      <c r="I69" s="298" t="e">
        <f t="shared" si="22"/>
        <v>#VALUE!</v>
      </c>
      <c r="J69" s="298" t="e">
        <f t="shared" si="23"/>
        <v>#VALUE!</v>
      </c>
      <c r="K69" s="298" t="e">
        <f t="shared" si="24"/>
        <v>#VALUE!</v>
      </c>
      <c r="L69" s="298" t="e">
        <f t="shared" si="25"/>
        <v>#VALUE!</v>
      </c>
      <c r="M69" s="298" t="e">
        <f t="shared" si="26"/>
        <v>#VALUE!</v>
      </c>
      <c r="N69" s="298" t="e">
        <f t="shared" si="27"/>
        <v>#VALUE!</v>
      </c>
      <c r="O69" s="305" t="e">
        <f t="shared" si="28"/>
        <v>#VALUE!</v>
      </c>
      <c r="P69" s="305" t="e">
        <f t="shared" si="29"/>
        <v>#VALUE!</v>
      </c>
      <c r="Q69" s="305" t="e">
        <f t="shared" si="30"/>
        <v>#VALUE!</v>
      </c>
      <c r="R69" s="306" t="e">
        <f t="shared" si="31"/>
        <v>#VALUE!</v>
      </c>
      <c r="S69" s="290" t="e">
        <f t="shared" si="32"/>
        <v>#VALUE!</v>
      </c>
      <c r="T69" s="290"/>
    </row>
    <row r="70" spans="1:20" s="251" customFormat="1" ht="12.75" x14ac:dyDescent="0.25">
      <c r="A70" s="278">
        <v>55</v>
      </c>
      <c r="B70" s="301" t="s">
        <v>347</v>
      </c>
      <c r="C70" s="307">
        <v>45732</v>
      </c>
      <c r="D70" s="303">
        <f t="shared" si="17"/>
        <v>0.96301290882037449</v>
      </c>
      <c r="E70" s="304" t="e">
        <f t="shared" si="18"/>
        <v>#VALUE!</v>
      </c>
      <c r="F70" s="302" t="e">
        <f t="shared" si="19"/>
        <v>#VALUE!</v>
      </c>
      <c r="G70" s="298" t="e">
        <f t="shared" si="20"/>
        <v>#VALUE!</v>
      </c>
      <c r="H70" s="298" t="e">
        <f t="shared" si="21"/>
        <v>#VALUE!</v>
      </c>
      <c r="I70" s="298" t="e">
        <f t="shared" si="22"/>
        <v>#VALUE!</v>
      </c>
      <c r="J70" s="298" t="e">
        <f t="shared" si="23"/>
        <v>#VALUE!</v>
      </c>
      <c r="K70" s="298" t="e">
        <f t="shared" si="24"/>
        <v>#VALUE!</v>
      </c>
      <c r="L70" s="298" t="e">
        <f t="shared" si="25"/>
        <v>#VALUE!</v>
      </c>
      <c r="M70" s="298" t="e">
        <f t="shared" si="26"/>
        <v>#VALUE!</v>
      </c>
      <c r="N70" s="298" t="e">
        <f t="shared" si="27"/>
        <v>#VALUE!</v>
      </c>
      <c r="O70" s="305" t="e">
        <f t="shared" si="28"/>
        <v>#VALUE!</v>
      </c>
      <c r="P70" s="305" t="e">
        <f t="shared" si="29"/>
        <v>#VALUE!</v>
      </c>
      <c r="Q70" s="305" t="e">
        <f t="shared" si="30"/>
        <v>#VALUE!</v>
      </c>
      <c r="R70" s="306" t="e">
        <f t="shared" si="31"/>
        <v>#VALUE!</v>
      </c>
      <c r="S70" s="290" t="e">
        <f t="shared" si="32"/>
        <v>#VALUE!</v>
      </c>
      <c r="T70" s="290"/>
    </row>
    <row r="71" spans="1:20" s="251" customFormat="1" ht="12.75" x14ac:dyDescent="0.25">
      <c r="A71" s="258">
        <v>56</v>
      </c>
      <c r="B71" s="301" t="s">
        <v>348</v>
      </c>
      <c r="C71" s="307">
        <v>32598</v>
      </c>
      <c r="D71" s="303">
        <f t="shared" si="17"/>
        <v>0.68644045311218771</v>
      </c>
      <c r="E71" s="304" t="e">
        <f t="shared" si="18"/>
        <v>#VALUE!</v>
      </c>
      <c r="F71" s="302" t="e">
        <f t="shared" si="19"/>
        <v>#VALUE!</v>
      </c>
      <c r="G71" s="298" t="e">
        <f t="shared" si="20"/>
        <v>#VALUE!</v>
      </c>
      <c r="H71" s="298" t="e">
        <f t="shared" si="21"/>
        <v>#VALUE!</v>
      </c>
      <c r="I71" s="298" t="e">
        <f t="shared" si="22"/>
        <v>#VALUE!</v>
      </c>
      <c r="J71" s="298" t="e">
        <f t="shared" si="23"/>
        <v>#VALUE!</v>
      </c>
      <c r="K71" s="298" t="e">
        <f t="shared" si="24"/>
        <v>#VALUE!</v>
      </c>
      <c r="L71" s="298" t="e">
        <f t="shared" si="25"/>
        <v>#VALUE!</v>
      </c>
      <c r="M71" s="298" t="e">
        <f t="shared" si="26"/>
        <v>#VALUE!</v>
      </c>
      <c r="N71" s="298" t="e">
        <f t="shared" si="27"/>
        <v>#VALUE!</v>
      </c>
      <c r="O71" s="305" t="e">
        <f t="shared" si="28"/>
        <v>#VALUE!</v>
      </c>
      <c r="P71" s="305" t="e">
        <f t="shared" si="29"/>
        <v>#VALUE!</v>
      </c>
      <c r="Q71" s="305" t="e">
        <f t="shared" si="30"/>
        <v>#VALUE!</v>
      </c>
      <c r="R71" s="306" t="e">
        <f t="shared" si="31"/>
        <v>#VALUE!</v>
      </c>
      <c r="S71" s="290" t="e">
        <f t="shared" si="32"/>
        <v>#VALUE!</v>
      </c>
      <c r="T71" s="290"/>
    </row>
    <row r="72" spans="1:20" s="255" customFormat="1" ht="12.75" x14ac:dyDescent="0.25">
      <c r="A72" s="278">
        <v>57</v>
      </c>
      <c r="B72" s="301" t="s">
        <v>65</v>
      </c>
      <c r="C72" s="307">
        <v>8196</v>
      </c>
      <c r="D72" s="303">
        <f t="shared" si="17"/>
        <v>0.17258929853694982</v>
      </c>
      <c r="E72" s="304" t="e">
        <f t="shared" si="18"/>
        <v>#VALUE!</v>
      </c>
      <c r="F72" s="302" t="e">
        <f t="shared" si="19"/>
        <v>#VALUE!</v>
      </c>
      <c r="G72" s="298" t="e">
        <f t="shared" si="20"/>
        <v>#VALUE!</v>
      </c>
      <c r="H72" s="298" t="e">
        <f t="shared" si="21"/>
        <v>#VALUE!</v>
      </c>
      <c r="I72" s="298" t="e">
        <f t="shared" si="22"/>
        <v>#VALUE!</v>
      </c>
      <c r="J72" s="298" t="e">
        <f t="shared" si="23"/>
        <v>#VALUE!</v>
      </c>
      <c r="K72" s="298" t="e">
        <f t="shared" si="24"/>
        <v>#VALUE!</v>
      </c>
      <c r="L72" s="298" t="e">
        <f t="shared" si="25"/>
        <v>#VALUE!</v>
      </c>
      <c r="M72" s="298" t="e">
        <f t="shared" si="26"/>
        <v>#VALUE!</v>
      </c>
      <c r="N72" s="298" t="e">
        <f t="shared" si="27"/>
        <v>#VALUE!</v>
      </c>
      <c r="O72" s="305" t="e">
        <f t="shared" si="28"/>
        <v>#VALUE!</v>
      </c>
      <c r="P72" s="305" t="e">
        <f t="shared" si="29"/>
        <v>#VALUE!</v>
      </c>
      <c r="Q72" s="305" t="e">
        <f t="shared" si="30"/>
        <v>#VALUE!</v>
      </c>
      <c r="R72" s="306" t="e">
        <f t="shared" si="31"/>
        <v>#VALUE!</v>
      </c>
      <c r="S72" s="290" t="e">
        <f t="shared" si="32"/>
        <v>#VALUE!</v>
      </c>
      <c r="T72" s="290"/>
    </row>
    <row r="73" spans="1:20" s="251" customFormat="1" ht="12.75" x14ac:dyDescent="0.25">
      <c r="A73" s="258">
        <v>58</v>
      </c>
      <c r="B73" s="301" t="s">
        <v>134</v>
      </c>
      <c r="C73" s="307">
        <v>20981</v>
      </c>
      <c r="D73" s="303">
        <f t="shared" si="17"/>
        <v>0.44181260036648906</v>
      </c>
      <c r="E73" s="304" t="e">
        <f t="shared" si="18"/>
        <v>#VALUE!</v>
      </c>
      <c r="F73" s="302" t="e">
        <f t="shared" si="19"/>
        <v>#VALUE!</v>
      </c>
      <c r="G73" s="298" t="e">
        <f t="shared" si="20"/>
        <v>#VALUE!</v>
      </c>
      <c r="H73" s="298" t="e">
        <f t="shared" si="21"/>
        <v>#VALUE!</v>
      </c>
      <c r="I73" s="298" t="e">
        <f t="shared" si="22"/>
        <v>#VALUE!</v>
      </c>
      <c r="J73" s="298" t="e">
        <f t="shared" si="23"/>
        <v>#VALUE!</v>
      </c>
      <c r="K73" s="298" t="e">
        <f t="shared" si="24"/>
        <v>#VALUE!</v>
      </c>
      <c r="L73" s="298" t="e">
        <f t="shared" si="25"/>
        <v>#VALUE!</v>
      </c>
      <c r="M73" s="298" t="e">
        <f t="shared" si="26"/>
        <v>#VALUE!</v>
      </c>
      <c r="N73" s="298" t="e">
        <f t="shared" si="27"/>
        <v>#VALUE!</v>
      </c>
      <c r="O73" s="305" t="e">
        <f t="shared" si="28"/>
        <v>#VALUE!</v>
      </c>
      <c r="P73" s="305" t="e">
        <f t="shared" si="29"/>
        <v>#VALUE!</v>
      </c>
      <c r="Q73" s="305" t="e">
        <f t="shared" si="30"/>
        <v>#VALUE!</v>
      </c>
      <c r="R73" s="306" t="e">
        <f t="shared" si="31"/>
        <v>#VALUE!</v>
      </c>
      <c r="S73" s="290" t="e">
        <f t="shared" si="32"/>
        <v>#VALUE!</v>
      </c>
      <c r="T73" s="290"/>
    </row>
    <row r="74" spans="1:20" s="251" customFormat="1" ht="12.75" x14ac:dyDescent="0.25">
      <c r="A74" s="278">
        <v>59</v>
      </c>
      <c r="B74" s="301" t="s">
        <v>136</v>
      </c>
      <c r="C74" s="307">
        <v>9027</v>
      </c>
      <c r="D74" s="303">
        <f t="shared" si="17"/>
        <v>0.19008828671218228</v>
      </c>
      <c r="E74" s="304" t="e">
        <f t="shared" si="18"/>
        <v>#VALUE!</v>
      </c>
      <c r="F74" s="302" t="e">
        <f t="shared" si="19"/>
        <v>#VALUE!</v>
      </c>
      <c r="G74" s="298" t="e">
        <f t="shared" si="20"/>
        <v>#VALUE!</v>
      </c>
      <c r="H74" s="298" t="e">
        <f t="shared" si="21"/>
        <v>#VALUE!</v>
      </c>
      <c r="I74" s="298" t="e">
        <f t="shared" si="22"/>
        <v>#VALUE!</v>
      </c>
      <c r="J74" s="298" t="e">
        <f t="shared" si="23"/>
        <v>#VALUE!</v>
      </c>
      <c r="K74" s="298" t="e">
        <f t="shared" si="24"/>
        <v>#VALUE!</v>
      </c>
      <c r="L74" s="298" t="e">
        <f t="shared" si="25"/>
        <v>#VALUE!</v>
      </c>
      <c r="M74" s="298" t="e">
        <f t="shared" si="26"/>
        <v>#VALUE!</v>
      </c>
      <c r="N74" s="298" t="e">
        <f t="shared" si="27"/>
        <v>#VALUE!</v>
      </c>
      <c r="O74" s="305" t="e">
        <f t="shared" si="28"/>
        <v>#VALUE!</v>
      </c>
      <c r="P74" s="305" t="e">
        <f t="shared" si="29"/>
        <v>#VALUE!</v>
      </c>
      <c r="Q74" s="305" t="e">
        <f t="shared" si="30"/>
        <v>#VALUE!</v>
      </c>
      <c r="R74" s="306" t="e">
        <f t="shared" si="31"/>
        <v>#VALUE!</v>
      </c>
      <c r="S74" s="290" t="e">
        <f t="shared" si="32"/>
        <v>#VALUE!</v>
      </c>
      <c r="T74" s="290"/>
    </row>
    <row r="75" spans="1:20" s="251" customFormat="1" ht="12.75" x14ac:dyDescent="0.25">
      <c r="A75" s="258">
        <v>60</v>
      </c>
      <c r="B75" s="301" t="s">
        <v>137</v>
      </c>
      <c r="C75" s="307">
        <v>9437</v>
      </c>
      <c r="D75" s="303">
        <f t="shared" si="17"/>
        <v>0.19872196318853044</v>
      </c>
      <c r="E75" s="304" t="e">
        <f t="shared" si="18"/>
        <v>#VALUE!</v>
      </c>
      <c r="F75" s="302" t="e">
        <f t="shared" si="19"/>
        <v>#VALUE!</v>
      </c>
      <c r="G75" s="298" t="e">
        <f t="shared" si="20"/>
        <v>#VALUE!</v>
      </c>
      <c r="H75" s="298" t="e">
        <f t="shared" si="21"/>
        <v>#VALUE!</v>
      </c>
      <c r="I75" s="298" t="e">
        <f t="shared" si="22"/>
        <v>#VALUE!</v>
      </c>
      <c r="J75" s="298" t="e">
        <f t="shared" si="23"/>
        <v>#VALUE!</v>
      </c>
      <c r="K75" s="298" t="e">
        <f t="shared" si="24"/>
        <v>#VALUE!</v>
      </c>
      <c r="L75" s="298" t="e">
        <f t="shared" si="25"/>
        <v>#VALUE!</v>
      </c>
      <c r="M75" s="298" t="e">
        <f t="shared" si="26"/>
        <v>#VALUE!</v>
      </c>
      <c r="N75" s="298" t="e">
        <f t="shared" si="27"/>
        <v>#VALUE!</v>
      </c>
      <c r="O75" s="305" t="e">
        <f t="shared" si="28"/>
        <v>#VALUE!</v>
      </c>
      <c r="P75" s="305" t="e">
        <f t="shared" si="29"/>
        <v>#VALUE!</v>
      </c>
      <c r="Q75" s="305" t="e">
        <f t="shared" si="30"/>
        <v>#VALUE!</v>
      </c>
      <c r="R75" s="306" t="e">
        <f t="shared" si="31"/>
        <v>#VALUE!</v>
      </c>
      <c r="S75" s="290" t="e">
        <f t="shared" si="32"/>
        <v>#VALUE!</v>
      </c>
      <c r="T75" s="290"/>
    </row>
    <row r="76" spans="1:20" s="251" customFormat="1" ht="12.75" x14ac:dyDescent="0.25">
      <c r="A76" s="278">
        <v>61</v>
      </c>
      <c r="B76" s="301" t="s">
        <v>135</v>
      </c>
      <c r="C76" s="307">
        <v>24774</v>
      </c>
      <c r="D76" s="303">
        <f t="shared" si="17"/>
        <v>0.52168463664646103</v>
      </c>
      <c r="E76" s="304" t="e">
        <f t="shared" si="18"/>
        <v>#VALUE!</v>
      </c>
      <c r="F76" s="302" t="e">
        <f t="shared" si="19"/>
        <v>#VALUE!</v>
      </c>
      <c r="G76" s="298" t="e">
        <f t="shared" si="20"/>
        <v>#VALUE!</v>
      </c>
      <c r="H76" s="298" t="e">
        <f t="shared" si="21"/>
        <v>#VALUE!</v>
      </c>
      <c r="I76" s="298" t="e">
        <f t="shared" si="22"/>
        <v>#VALUE!</v>
      </c>
      <c r="J76" s="298" t="e">
        <f t="shared" si="23"/>
        <v>#VALUE!</v>
      </c>
      <c r="K76" s="298" t="e">
        <f t="shared" si="24"/>
        <v>#VALUE!</v>
      </c>
      <c r="L76" s="298" t="e">
        <f t="shared" si="25"/>
        <v>#VALUE!</v>
      </c>
      <c r="M76" s="298" t="e">
        <f t="shared" si="26"/>
        <v>#VALUE!</v>
      </c>
      <c r="N76" s="298" t="e">
        <f t="shared" si="27"/>
        <v>#VALUE!</v>
      </c>
      <c r="O76" s="305" t="e">
        <f t="shared" si="28"/>
        <v>#VALUE!</v>
      </c>
      <c r="P76" s="305" t="e">
        <f t="shared" si="29"/>
        <v>#VALUE!</v>
      </c>
      <c r="Q76" s="305" t="e">
        <f t="shared" si="30"/>
        <v>#VALUE!</v>
      </c>
      <c r="R76" s="306" t="e">
        <f t="shared" si="31"/>
        <v>#VALUE!</v>
      </c>
      <c r="S76" s="290" t="e">
        <f t="shared" si="32"/>
        <v>#VALUE!</v>
      </c>
      <c r="T76" s="290"/>
    </row>
    <row r="77" spans="1:20" s="251" customFormat="1" ht="12.75" x14ac:dyDescent="0.25">
      <c r="A77" s="258">
        <v>62</v>
      </c>
      <c r="B77" s="301" t="s">
        <v>113</v>
      </c>
      <c r="C77" s="307">
        <v>21028</v>
      </c>
      <c r="D77" s="303">
        <f t="shared" si="17"/>
        <v>0.44280231449914359</v>
      </c>
      <c r="E77" s="304" t="e">
        <f t="shared" si="18"/>
        <v>#VALUE!</v>
      </c>
      <c r="F77" s="302" t="e">
        <f t="shared" si="19"/>
        <v>#VALUE!</v>
      </c>
      <c r="G77" s="298" t="e">
        <f t="shared" si="20"/>
        <v>#VALUE!</v>
      </c>
      <c r="H77" s="298" t="e">
        <f t="shared" si="21"/>
        <v>#VALUE!</v>
      </c>
      <c r="I77" s="298" t="e">
        <f t="shared" si="22"/>
        <v>#VALUE!</v>
      </c>
      <c r="J77" s="298" t="e">
        <f t="shared" si="23"/>
        <v>#VALUE!</v>
      </c>
      <c r="K77" s="298" t="e">
        <f t="shared" si="24"/>
        <v>#VALUE!</v>
      </c>
      <c r="L77" s="298" t="e">
        <f t="shared" si="25"/>
        <v>#VALUE!</v>
      </c>
      <c r="M77" s="298" t="e">
        <f t="shared" si="26"/>
        <v>#VALUE!</v>
      </c>
      <c r="N77" s="298" t="e">
        <f t="shared" si="27"/>
        <v>#VALUE!</v>
      </c>
      <c r="O77" s="305" t="e">
        <f t="shared" si="28"/>
        <v>#VALUE!</v>
      </c>
      <c r="P77" s="305" t="e">
        <f t="shared" si="29"/>
        <v>#VALUE!</v>
      </c>
      <c r="Q77" s="305" t="e">
        <f t="shared" si="30"/>
        <v>#VALUE!</v>
      </c>
      <c r="R77" s="306" t="e">
        <f t="shared" si="31"/>
        <v>#VALUE!</v>
      </c>
      <c r="S77" s="290" t="e">
        <f t="shared" si="32"/>
        <v>#VALUE!</v>
      </c>
      <c r="T77" s="290"/>
    </row>
    <row r="78" spans="1:20" s="251" customFormat="1" ht="12.75" x14ac:dyDescent="0.25">
      <c r="A78" s="278">
        <v>63</v>
      </c>
      <c r="B78" s="301" t="s">
        <v>123</v>
      </c>
      <c r="C78" s="307">
        <v>14889</v>
      </c>
      <c r="D78" s="303">
        <f t="shared" si="17"/>
        <v>0.31352880257645754</v>
      </c>
      <c r="E78" s="304" t="e">
        <f t="shared" si="18"/>
        <v>#VALUE!</v>
      </c>
      <c r="F78" s="302" t="e">
        <f t="shared" si="19"/>
        <v>#VALUE!</v>
      </c>
      <c r="G78" s="298" t="e">
        <f t="shared" si="20"/>
        <v>#VALUE!</v>
      </c>
      <c r="H78" s="298" t="e">
        <f t="shared" si="21"/>
        <v>#VALUE!</v>
      </c>
      <c r="I78" s="298" t="e">
        <f t="shared" si="22"/>
        <v>#VALUE!</v>
      </c>
      <c r="J78" s="298" t="e">
        <f t="shared" si="23"/>
        <v>#VALUE!</v>
      </c>
      <c r="K78" s="298" t="e">
        <f t="shared" si="24"/>
        <v>#VALUE!</v>
      </c>
      <c r="L78" s="298" t="e">
        <f t="shared" si="25"/>
        <v>#VALUE!</v>
      </c>
      <c r="M78" s="298" t="e">
        <f t="shared" si="26"/>
        <v>#VALUE!</v>
      </c>
      <c r="N78" s="298" t="e">
        <f t="shared" si="27"/>
        <v>#VALUE!</v>
      </c>
      <c r="O78" s="305" t="e">
        <f t="shared" si="28"/>
        <v>#VALUE!</v>
      </c>
      <c r="P78" s="305" t="e">
        <f t="shared" si="29"/>
        <v>#VALUE!</v>
      </c>
      <c r="Q78" s="305" t="e">
        <f t="shared" si="30"/>
        <v>#VALUE!</v>
      </c>
      <c r="R78" s="306" t="e">
        <f t="shared" si="31"/>
        <v>#VALUE!</v>
      </c>
      <c r="S78" s="290" t="e">
        <f t="shared" si="32"/>
        <v>#VALUE!</v>
      </c>
      <c r="T78" s="290"/>
    </row>
    <row r="79" spans="1:20" s="251" customFormat="1" ht="12.75" x14ac:dyDescent="0.25">
      <c r="A79" s="258">
        <v>64</v>
      </c>
      <c r="B79" s="301" t="s">
        <v>74</v>
      </c>
      <c r="C79" s="307">
        <v>26832</v>
      </c>
      <c r="D79" s="303">
        <f t="shared" si="17"/>
        <v>0.56502148100822813</v>
      </c>
      <c r="E79" s="304" t="e">
        <f t="shared" si="18"/>
        <v>#VALUE!</v>
      </c>
      <c r="F79" s="302" t="e">
        <f t="shared" si="19"/>
        <v>#VALUE!</v>
      </c>
      <c r="G79" s="298" t="e">
        <f t="shared" si="20"/>
        <v>#VALUE!</v>
      </c>
      <c r="H79" s="298" t="e">
        <f t="shared" si="21"/>
        <v>#VALUE!</v>
      </c>
      <c r="I79" s="298" t="e">
        <f t="shared" si="22"/>
        <v>#VALUE!</v>
      </c>
      <c r="J79" s="298" t="e">
        <f t="shared" si="23"/>
        <v>#VALUE!</v>
      </c>
      <c r="K79" s="298" t="e">
        <f t="shared" si="24"/>
        <v>#VALUE!</v>
      </c>
      <c r="L79" s="298" t="e">
        <f t="shared" si="25"/>
        <v>#VALUE!</v>
      </c>
      <c r="M79" s="298" t="e">
        <f t="shared" si="26"/>
        <v>#VALUE!</v>
      </c>
      <c r="N79" s="298" t="e">
        <f t="shared" si="27"/>
        <v>#VALUE!</v>
      </c>
      <c r="O79" s="305" t="e">
        <f t="shared" si="28"/>
        <v>#VALUE!</v>
      </c>
      <c r="P79" s="305" t="e">
        <f t="shared" si="29"/>
        <v>#VALUE!</v>
      </c>
      <c r="Q79" s="305" t="e">
        <f t="shared" si="30"/>
        <v>#VALUE!</v>
      </c>
      <c r="R79" s="306" t="e">
        <f t="shared" si="31"/>
        <v>#VALUE!</v>
      </c>
      <c r="S79" s="290" t="e">
        <f t="shared" si="32"/>
        <v>#VALUE!</v>
      </c>
      <c r="T79" s="290"/>
    </row>
    <row r="80" spans="1:20" s="251" customFormat="1" ht="12.75" x14ac:dyDescent="0.25">
      <c r="A80" s="278">
        <v>65</v>
      </c>
      <c r="B80" s="301" t="s">
        <v>89</v>
      </c>
      <c r="C80" s="307">
        <v>39657</v>
      </c>
      <c r="D80" s="303">
        <f t="shared" ref="D80:D111" si="33">C80/$C$129%</f>
        <v>0.83508709273789883</v>
      </c>
      <c r="E80" s="304" t="e">
        <f t="shared" ref="E80:E111" si="34">$E$15*D80%</f>
        <v>#VALUE!</v>
      </c>
      <c r="F80" s="302" t="e">
        <f t="shared" ref="F80:F111" si="35">E80/12</f>
        <v>#VALUE!</v>
      </c>
      <c r="G80" s="298" t="e">
        <f t="shared" ref="G80:G111" si="36">E80/12</f>
        <v>#VALUE!</v>
      </c>
      <c r="H80" s="298" t="e">
        <f t="shared" ref="H80:H111" si="37">E80/12</f>
        <v>#VALUE!</v>
      </c>
      <c r="I80" s="298" t="e">
        <f t="shared" ref="I80:I111" si="38">E80/12</f>
        <v>#VALUE!</v>
      </c>
      <c r="J80" s="298" t="e">
        <f t="shared" ref="J80:J111" si="39">E80/12</f>
        <v>#VALUE!</v>
      </c>
      <c r="K80" s="298" t="e">
        <f t="shared" ref="K80:K111" si="40">E80/12</f>
        <v>#VALUE!</v>
      </c>
      <c r="L80" s="298" t="e">
        <f t="shared" ref="L80:L111" si="41">E80/12</f>
        <v>#VALUE!</v>
      </c>
      <c r="M80" s="298" t="e">
        <f t="shared" ref="M80:M111" si="42">E80/12</f>
        <v>#VALUE!</v>
      </c>
      <c r="N80" s="298" t="e">
        <f t="shared" ref="N80:N111" si="43">E80/12</f>
        <v>#VALUE!</v>
      </c>
      <c r="O80" s="305" t="e">
        <f t="shared" ref="O80:O111" si="44">E80/12</f>
        <v>#VALUE!</v>
      </c>
      <c r="P80" s="305" t="e">
        <f t="shared" ref="P80:P111" si="45">E80/12</f>
        <v>#VALUE!</v>
      </c>
      <c r="Q80" s="305" t="e">
        <f t="shared" ref="Q80:Q111" si="46">E80/12</f>
        <v>#VALUE!</v>
      </c>
      <c r="R80" s="306" t="e">
        <f t="shared" ref="R80:R111" si="47">SUM(F80:Q80)</f>
        <v>#VALUE!</v>
      </c>
      <c r="S80" s="290" t="e">
        <f t="shared" ref="S80:S111" si="48">R80-E80</f>
        <v>#VALUE!</v>
      </c>
      <c r="T80" s="290"/>
    </row>
    <row r="81" spans="1:20" s="251" customFormat="1" ht="12.75" x14ac:dyDescent="0.25">
      <c r="A81" s="258">
        <v>66</v>
      </c>
      <c r="B81" s="301" t="s">
        <v>118</v>
      </c>
      <c r="C81" s="307">
        <v>98382</v>
      </c>
      <c r="D81" s="303">
        <f t="shared" si="33"/>
        <v>2.0717033148684965</v>
      </c>
      <c r="E81" s="304" t="e">
        <f t="shared" si="34"/>
        <v>#VALUE!</v>
      </c>
      <c r="F81" s="302" t="e">
        <f t="shared" si="35"/>
        <v>#VALUE!</v>
      </c>
      <c r="G81" s="298" t="e">
        <f t="shared" si="36"/>
        <v>#VALUE!</v>
      </c>
      <c r="H81" s="298" t="e">
        <f t="shared" si="37"/>
        <v>#VALUE!</v>
      </c>
      <c r="I81" s="298" t="e">
        <f t="shared" si="38"/>
        <v>#VALUE!</v>
      </c>
      <c r="J81" s="298" t="e">
        <f t="shared" si="39"/>
        <v>#VALUE!</v>
      </c>
      <c r="K81" s="298" t="e">
        <f t="shared" si="40"/>
        <v>#VALUE!</v>
      </c>
      <c r="L81" s="298" t="e">
        <f t="shared" si="41"/>
        <v>#VALUE!</v>
      </c>
      <c r="M81" s="298" t="e">
        <f t="shared" si="42"/>
        <v>#VALUE!</v>
      </c>
      <c r="N81" s="298" t="e">
        <f t="shared" si="43"/>
        <v>#VALUE!</v>
      </c>
      <c r="O81" s="305" t="e">
        <f t="shared" si="44"/>
        <v>#VALUE!</v>
      </c>
      <c r="P81" s="305" t="e">
        <f t="shared" si="45"/>
        <v>#VALUE!</v>
      </c>
      <c r="Q81" s="305" t="e">
        <f t="shared" si="46"/>
        <v>#VALUE!</v>
      </c>
      <c r="R81" s="306" t="e">
        <f t="shared" si="47"/>
        <v>#VALUE!</v>
      </c>
      <c r="S81" s="290" t="e">
        <f t="shared" si="48"/>
        <v>#VALUE!</v>
      </c>
      <c r="T81" s="290"/>
    </row>
    <row r="82" spans="1:20" s="251" customFormat="1" ht="12.75" x14ac:dyDescent="0.25">
      <c r="A82" s="278">
        <v>67</v>
      </c>
      <c r="B82" s="301" t="s">
        <v>120</v>
      </c>
      <c r="C82" s="307">
        <v>16621</v>
      </c>
      <c r="D82" s="303">
        <f t="shared" si="33"/>
        <v>0.35000082125215265</v>
      </c>
      <c r="E82" s="304" t="e">
        <f t="shared" si="34"/>
        <v>#VALUE!</v>
      </c>
      <c r="F82" s="302" t="e">
        <f t="shared" si="35"/>
        <v>#VALUE!</v>
      </c>
      <c r="G82" s="298" t="e">
        <f t="shared" si="36"/>
        <v>#VALUE!</v>
      </c>
      <c r="H82" s="298" t="e">
        <f t="shared" si="37"/>
        <v>#VALUE!</v>
      </c>
      <c r="I82" s="298" t="e">
        <f t="shared" si="38"/>
        <v>#VALUE!</v>
      </c>
      <c r="J82" s="298" t="e">
        <f t="shared" si="39"/>
        <v>#VALUE!</v>
      </c>
      <c r="K82" s="298" t="e">
        <f t="shared" si="40"/>
        <v>#VALUE!</v>
      </c>
      <c r="L82" s="298" t="e">
        <f t="shared" si="41"/>
        <v>#VALUE!</v>
      </c>
      <c r="M82" s="298" t="e">
        <f t="shared" si="42"/>
        <v>#VALUE!</v>
      </c>
      <c r="N82" s="298" t="e">
        <f t="shared" si="43"/>
        <v>#VALUE!</v>
      </c>
      <c r="O82" s="305" t="e">
        <f t="shared" si="44"/>
        <v>#VALUE!</v>
      </c>
      <c r="P82" s="305" t="e">
        <f t="shared" si="45"/>
        <v>#VALUE!</v>
      </c>
      <c r="Q82" s="305" t="e">
        <f t="shared" si="46"/>
        <v>#VALUE!</v>
      </c>
      <c r="R82" s="306" t="e">
        <f t="shared" si="47"/>
        <v>#VALUE!</v>
      </c>
      <c r="S82" s="290" t="e">
        <f t="shared" si="48"/>
        <v>#VALUE!</v>
      </c>
      <c r="T82" s="290"/>
    </row>
    <row r="83" spans="1:20" s="251" customFormat="1" ht="12.75" x14ac:dyDescent="0.25">
      <c r="A83" s="258">
        <v>68</v>
      </c>
      <c r="B83" s="301" t="s">
        <v>144</v>
      </c>
      <c r="C83" s="307">
        <v>29389</v>
      </c>
      <c r="D83" s="303">
        <f t="shared" si="33"/>
        <v>0.61886614137413598</v>
      </c>
      <c r="E83" s="304" t="e">
        <f t="shared" si="34"/>
        <v>#VALUE!</v>
      </c>
      <c r="F83" s="302" t="e">
        <f t="shared" si="35"/>
        <v>#VALUE!</v>
      </c>
      <c r="G83" s="298" t="e">
        <f t="shared" si="36"/>
        <v>#VALUE!</v>
      </c>
      <c r="H83" s="298" t="e">
        <f t="shared" si="37"/>
        <v>#VALUE!</v>
      </c>
      <c r="I83" s="298" t="e">
        <f t="shared" si="38"/>
        <v>#VALUE!</v>
      </c>
      <c r="J83" s="298" t="e">
        <f t="shared" si="39"/>
        <v>#VALUE!</v>
      </c>
      <c r="K83" s="298" t="e">
        <f t="shared" si="40"/>
        <v>#VALUE!</v>
      </c>
      <c r="L83" s="298" t="e">
        <f t="shared" si="41"/>
        <v>#VALUE!</v>
      </c>
      <c r="M83" s="298" t="e">
        <f t="shared" si="42"/>
        <v>#VALUE!</v>
      </c>
      <c r="N83" s="298" t="e">
        <f t="shared" si="43"/>
        <v>#VALUE!</v>
      </c>
      <c r="O83" s="305" t="e">
        <f t="shared" si="44"/>
        <v>#VALUE!</v>
      </c>
      <c r="P83" s="305" t="e">
        <f t="shared" si="45"/>
        <v>#VALUE!</v>
      </c>
      <c r="Q83" s="305" t="e">
        <f t="shared" si="46"/>
        <v>#VALUE!</v>
      </c>
      <c r="R83" s="306" t="e">
        <f t="shared" si="47"/>
        <v>#VALUE!</v>
      </c>
      <c r="S83" s="290" t="e">
        <f t="shared" si="48"/>
        <v>#VALUE!</v>
      </c>
      <c r="T83" s="290"/>
    </row>
    <row r="84" spans="1:20" s="251" customFormat="1" ht="12.75" x14ac:dyDescent="0.25">
      <c r="A84" s="278">
        <v>69</v>
      </c>
      <c r="B84" s="301" t="s">
        <v>84</v>
      </c>
      <c r="C84" s="307">
        <v>106490</v>
      </c>
      <c r="D84" s="303">
        <f t="shared" si="33"/>
        <v>2.2424395316251569</v>
      </c>
      <c r="E84" s="304" t="e">
        <f t="shared" si="34"/>
        <v>#VALUE!</v>
      </c>
      <c r="F84" s="302" t="e">
        <f t="shared" si="35"/>
        <v>#VALUE!</v>
      </c>
      <c r="G84" s="298" t="e">
        <f t="shared" si="36"/>
        <v>#VALUE!</v>
      </c>
      <c r="H84" s="298" t="e">
        <f t="shared" si="37"/>
        <v>#VALUE!</v>
      </c>
      <c r="I84" s="298" t="e">
        <f t="shared" si="38"/>
        <v>#VALUE!</v>
      </c>
      <c r="J84" s="298" t="e">
        <f t="shared" si="39"/>
        <v>#VALUE!</v>
      </c>
      <c r="K84" s="298" t="e">
        <f t="shared" si="40"/>
        <v>#VALUE!</v>
      </c>
      <c r="L84" s="298" t="e">
        <f t="shared" si="41"/>
        <v>#VALUE!</v>
      </c>
      <c r="M84" s="298" t="e">
        <f t="shared" si="42"/>
        <v>#VALUE!</v>
      </c>
      <c r="N84" s="298" t="e">
        <f t="shared" si="43"/>
        <v>#VALUE!</v>
      </c>
      <c r="O84" s="305" t="e">
        <f t="shared" si="44"/>
        <v>#VALUE!</v>
      </c>
      <c r="P84" s="305" t="e">
        <f t="shared" si="45"/>
        <v>#VALUE!</v>
      </c>
      <c r="Q84" s="305" t="e">
        <f t="shared" si="46"/>
        <v>#VALUE!</v>
      </c>
      <c r="R84" s="306" t="e">
        <f t="shared" si="47"/>
        <v>#VALUE!</v>
      </c>
      <c r="S84" s="290" t="e">
        <f t="shared" si="48"/>
        <v>#VALUE!</v>
      </c>
      <c r="T84" s="290"/>
    </row>
    <row r="85" spans="1:20" s="251" customFormat="1" ht="12.75" x14ac:dyDescent="0.25">
      <c r="A85" s="258">
        <v>70</v>
      </c>
      <c r="B85" s="301" t="s">
        <v>53</v>
      </c>
      <c r="C85" s="307">
        <v>15503</v>
      </c>
      <c r="D85" s="303">
        <f t="shared" si="33"/>
        <v>0.32645825954347646</v>
      </c>
      <c r="E85" s="304" t="e">
        <f t="shared" si="34"/>
        <v>#VALUE!</v>
      </c>
      <c r="F85" s="302" t="e">
        <f t="shared" si="35"/>
        <v>#VALUE!</v>
      </c>
      <c r="G85" s="298" t="e">
        <f t="shared" si="36"/>
        <v>#VALUE!</v>
      </c>
      <c r="H85" s="298" t="e">
        <f t="shared" si="37"/>
        <v>#VALUE!</v>
      </c>
      <c r="I85" s="298" t="e">
        <f t="shared" si="38"/>
        <v>#VALUE!</v>
      </c>
      <c r="J85" s="298" t="e">
        <f t="shared" si="39"/>
        <v>#VALUE!</v>
      </c>
      <c r="K85" s="298" t="e">
        <f t="shared" si="40"/>
        <v>#VALUE!</v>
      </c>
      <c r="L85" s="298" t="e">
        <f t="shared" si="41"/>
        <v>#VALUE!</v>
      </c>
      <c r="M85" s="298" t="e">
        <f t="shared" si="42"/>
        <v>#VALUE!</v>
      </c>
      <c r="N85" s="298" t="e">
        <f t="shared" si="43"/>
        <v>#VALUE!</v>
      </c>
      <c r="O85" s="305" t="e">
        <f t="shared" si="44"/>
        <v>#VALUE!</v>
      </c>
      <c r="P85" s="305" t="e">
        <f t="shared" si="45"/>
        <v>#VALUE!</v>
      </c>
      <c r="Q85" s="305" t="e">
        <f t="shared" si="46"/>
        <v>#VALUE!</v>
      </c>
      <c r="R85" s="306" t="e">
        <f t="shared" si="47"/>
        <v>#VALUE!</v>
      </c>
      <c r="S85" s="290" t="e">
        <f t="shared" si="48"/>
        <v>#VALUE!</v>
      </c>
      <c r="T85" s="290"/>
    </row>
    <row r="86" spans="1:20" s="251" customFormat="1" ht="12.75" x14ac:dyDescent="0.25">
      <c r="A86" s="278">
        <v>71</v>
      </c>
      <c r="B86" s="301" t="s">
        <v>143</v>
      </c>
      <c r="C86" s="307">
        <v>69260</v>
      </c>
      <c r="D86" s="303">
        <f t="shared" si="33"/>
        <v>1.4584595920777386</v>
      </c>
      <c r="E86" s="304" t="e">
        <f t="shared" si="34"/>
        <v>#VALUE!</v>
      </c>
      <c r="F86" s="302" t="e">
        <f t="shared" si="35"/>
        <v>#VALUE!</v>
      </c>
      <c r="G86" s="298" t="e">
        <f t="shared" si="36"/>
        <v>#VALUE!</v>
      </c>
      <c r="H86" s="298" t="e">
        <f t="shared" si="37"/>
        <v>#VALUE!</v>
      </c>
      <c r="I86" s="298" t="e">
        <f t="shared" si="38"/>
        <v>#VALUE!</v>
      </c>
      <c r="J86" s="298" t="e">
        <f t="shared" si="39"/>
        <v>#VALUE!</v>
      </c>
      <c r="K86" s="298" t="e">
        <f t="shared" si="40"/>
        <v>#VALUE!</v>
      </c>
      <c r="L86" s="298" t="e">
        <f t="shared" si="41"/>
        <v>#VALUE!</v>
      </c>
      <c r="M86" s="298" t="e">
        <f t="shared" si="42"/>
        <v>#VALUE!</v>
      </c>
      <c r="N86" s="298" t="e">
        <f t="shared" si="43"/>
        <v>#VALUE!</v>
      </c>
      <c r="O86" s="305" t="e">
        <f t="shared" si="44"/>
        <v>#VALUE!</v>
      </c>
      <c r="P86" s="305" t="e">
        <f t="shared" si="45"/>
        <v>#VALUE!</v>
      </c>
      <c r="Q86" s="305" t="e">
        <f t="shared" si="46"/>
        <v>#VALUE!</v>
      </c>
      <c r="R86" s="306" t="e">
        <f t="shared" si="47"/>
        <v>#VALUE!</v>
      </c>
      <c r="S86" s="290" t="e">
        <f t="shared" si="48"/>
        <v>#VALUE!</v>
      </c>
      <c r="T86" s="290"/>
    </row>
    <row r="87" spans="1:20" s="251" customFormat="1" ht="12.75" x14ac:dyDescent="0.25">
      <c r="A87" s="258">
        <v>72</v>
      </c>
      <c r="B87" s="301" t="s">
        <v>132</v>
      </c>
      <c r="C87" s="307">
        <v>13961</v>
      </c>
      <c r="D87" s="303">
        <f t="shared" si="33"/>
        <v>0.29398721289340612</v>
      </c>
      <c r="E87" s="304" t="e">
        <f t="shared" si="34"/>
        <v>#VALUE!</v>
      </c>
      <c r="F87" s="302" t="e">
        <f t="shared" si="35"/>
        <v>#VALUE!</v>
      </c>
      <c r="G87" s="298" t="e">
        <f t="shared" si="36"/>
        <v>#VALUE!</v>
      </c>
      <c r="H87" s="298" t="e">
        <f t="shared" si="37"/>
        <v>#VALUE!</v>
      </c>
      <c r="I87" s="298" t="e">
        <f t="shared" si="38"/>
        <v>#VALUE!</v>
      </c>
      <c r="J87" s="298" t="e">
        <f t="shared" si="39"/>
        <v>#VALUE!</v>
      </c>
      <c r="K87" s="298" t="e">
        <f t="shared" si="40"/>
        <v>#VALUE!</v>
      </c>
      <c r="L87" s="298" t="e">
        <f t="shared" si="41"/>
        <v>#VALUE!</v>
      </c>
      <c r="M87" s="298" t="e">
        <f t="shared" si="42"/>
        <v>#VALUE!</v>
      </c>
      <c r="N87" s="298" t="e">
        <f t="shared" si="43"/>
        <v>#VALUE!</v>
      </c>
      <c r="O87" s="305" t="e">
        <f t="shared" si="44"/>
        <v>#VALUE!</v>
      </c>
      <c r="P87" s="305" t="e">
        <f t="shared" si="45"/>
        <v>#VALUE!</v>
      </c>
      <c r="Q87" s="305" t="e">
        <f t="shared" si="46"/>
        <v>#VALUE!</v>
      </c>
      <c r="R87" s="306" t="e">
        <f t="shared" si="47"/>
        <v>#VALUE!</v>
      </c>
      <c r="S87" s="290" t="e">
        <f t="shared" si="48"/>
        <v>#VALUE!</v>
      </c>
      <c r="T87" s="290"/>
    </row>
    <row r="88" spans="1:20" s="251" customFormat="1" ht="12.75" x14ac:dyDescent="0.25">
      <c r="A88" s="278">
        <v>73</v>
      </c>
      <c r="B88" s="301" t="s">
        <v>85</v>
      </c>
      <c r="C88" s="307">
        <v>27176</v>
      </c>
      <c r="D88" s="303">
        <f t="shared" si="33"/>
        <v>0.5722653461493592</v>
      </c>
      <c r="E88" s="304" t="e">
        <f t="shared" si="34"/>
        <v>#VALUE!</v>
      </c>
      <c r="F88" s="302" t="e">
        <f t="shared" si="35"/>
        <v>#VALUE!</v>
      </c>
      <c r="G88" s="298" t="e">
        <f t="shared" si="36"/>
        <v>#VALUE!</v>
      </c>
      <c r="H88" s="298" t="e">
        <f t="shared" si="37"/>
        <v>#VALUE!</v>
      </c>
      <c r="I88" s="298" t="e">
        <f t="shared" si="38"/>
        <v>#VALUE!</v>
      </c>
      <c r="J88" s="298" t="e">
        <f t="shared" si="39"/>
        <v>#VALUE!</v>
      </c>
      <c r="K88" s="298" t="e">
        <f t="shared" si="40"/>
        <v>#VALUE!</v>
      </c>
      <c r="L88" s="298" t="e">
        <f t="shared" si="41"/>
        <v>#VALUE!</v>
      </c>
      <c r="M88" s="298" t="e">
        <f t="shared" si="42"/>
        <v>#VALUE!</v>
      </c>
      <c r="N88" s="298" t="e">
        <f t="shared" si="43"/>
        <v>#VALUE!</v>
      </c>
      <c r="O88" s="305" t="e">
        <f t="shared" si="44"/>
        <v>#VALUE!</v>
      </c>
      <c r="P88" s="305" t="e">
        <f t="shared" si="45"/>
        <v>#VALUE!</v>
      </c>
      <c r="Q88" s="305" t="e">
        <f t="shared" si="46"/>
        <v>#VALUE!</v>
      </c>
      <c r="R88" s="306" t="e">
        <f t="shared" si="47"/>
        <v>#VALUE!</v>
      </c>
      <c r="S88" s="290" t="e">
        <f t="shared" si="48"/>
        <v>#VALUE!</v>
      </c>
      <c r="T88" s="290"/>
    </row>
    <row r="89" spans="1:20" s="251" customFormat="1" ht="12.75" x14ac:dyDescent="0.25">
      <c r="A89" s="258">
        <v>74</v>
      </c>
      <c r="B89" s="301" t="s">
        <v>427</v>
      </c>
      <c r="C89" s="307">
        <v>10553</v>
      </c>
      <c r="D89" s="303">
        <f t="shared" si="33"/>
        <v>0.22222240940220003</v>
      </c>
      <c r="E89" s="304" t="e">
        <f t="shared" si="34"/>
        <v>#VALUE!</v>
      </c>
      <c r="F89" s="302" t="e">
        <f t="shared" si="35"/>
        <v>#VALUE!</v>
      </c>
      <c r="G89" s="298" t="e">
        <f t="shared" si="36"/>
        <v>#VALUE!</v>
      </c>
      <c r="H89" s="298" t="e">
        <f t="shared" si="37"/>
        <v>#VALUE!</v>
      </c>
      <c r="I89" s="298" t="e">
        <f t="shared" si="38"/>
        <v>#VALUE!</v>
      </c>
      <c r="J89" s="298" t="e">
        <f t="shared" si="39"/>
        <v>#VALUE!</v>
      </c>
      <c r="K89" s="298" t="e">
        <f t="shared" si="40"/>
        <v>#VALUE!</v>
      </c>
      <c r="L89" s="298" t="e">
        <f t="shared" si="41"/>
        <v>#VALUE!</v>
      </c>
      <c r="M89" s="298" t="e">
        <f t="shared" si="42"/>
        <v>#VALUE!</v>
      </c>
      <c r="N89" s="298" t="e">
        <f t="shared" si="43"/>
        <v>#VALUE!</v>
      </c>
      <c r="O89" s="305" t="e">
        <f t="shared" si="44"/>
        <v>#VALUE!</v>
      </c>
      <c r="P89" s="305" t="e">
        <f t="shared" si="45"/>
        <v>#VALUE!</v>
      </c>
      <c r="Q89" s="305" t="e">
        <f t="shared" si="46"/>
        <v>#VALUE!</v>
      </c>
      <c r="R89" s="306" t="e">
        <f t="shared" si="47"/>
        <v>#VALUE!</v>
      </c>
      <c r="S89" s="290" t="e">
        <f t="shared" si="48"/>
        <v>#VALUE!</v>
      </c>
      <c r="T89" s="290"/>
    </row>
    <row r="90" spans="1:20" s="251" customFormat="1" ht="12.75" x14ac:dyDescent="0.25">
      <c r="A90" s="278">
        <v>75</v>
      </c>
      <c r="B90" s="301" t="s">
        <v>146</v>
      </c>
      <c r="C90" s="307">
        <v>78935</v>
      </c>
      <c r="D90" s="303">
        <f t="shared" si="33"/>
        <v>1.6621932991720516</v>
      </c>
      <c r="E90" s="304" t="e">
        <f t="shared" si="34"/>
        <v>#VALUE!</v>
      </c>
      <c r="F90" s="302" t="e">
        <f t="shared" si="35"/>
        <v>#VALUE!</v>
      </c>
      <c r="G90" s="298" t="e">
        <f t="shared" si="36"/>
        <v>#VALUE!</v>
      </c>
      <c r="H90" s="298" t="e">
        <f t="shared" si="37"/>
        <v>#VALUE!</v>
      </c>
      <c r="I90" s="298" t="e">
        <f t="shared" si="38"/>
        <v>#VALUE!</v>
      </c>
      <c r="J90" s="298" t="e">
        <f t="shared" si="39"/>
        <v>#VALUE!</v>
      </c>
      <c r="K90" s="298" t="e">
        <f t="shared" si="40"/>
        <v>#VALUE!</v>
      </c>
      <c r="L90" s="298" t="e">
        <f t="shared" si="41"/>
        <v>#VALUE!</v>
      </c>
      <c r="M90" s="298" t="e">
        <f t="shared" si="42"/>
        <v>#VALUE!</v>
      </c>
      <c r="N90" s="298" t="e">
        <f t="shared" si="43"/>
        <v>#VALUE!</v>
      </c>
      <c r="O90" s="305" t="e">
        <f t="shared" si="44"/>
        <v>#VALUE!</v>
      </c>
      <c r="P90" s="305" t="e">
        <f t="shared" si="45"/>
        <v>#VALUE!</v>
      </c>
      <c r="Q90" s="305" t="e">
        <f t="shared" si="46"/>
        <v>#VALUE!</v>
      </c>
      <c r="R90" s="306" t="e">
        <f t="shared" si="47"/>
        <v>#VALUE!</v>
      </c>
      <c r="S90" s="290" t="e">
        <f t="shared" si="48"/>
        <v>#VALUE!</v>
      </c>
      <c r="T90" s="290"/>
    </row>
    <row r="91" spans="1:20" s="251" customFormat="1" ht="12.75" x14ac:dyDescent="0.25">
      <c r="A91" s="258">
        <v>76</v>
      </c>
      <c r="B91" s="301" t="s">
        <v>148</v>
      </c>
      <c r="C91" s="307">
        <v>78477</v>
      </c>
      <c r="D91" s="303">
        <f t="shared" si="33"/>
        <v>1.6525488508155455</v>
      </c>
      <c r="E91" s="304" t="e">
        <f t="shared" si="34"/>
        <v>#VALUE!</v>
      </c>
      <c r="F91" s="302" t="e">
        <f t="shared" si="35"/>
        <v>#VALUE!</v>
      </c>
      <c r="G91" s="298" t="e">
        <f t="shared" si="36"/>
        <v>#VALUE!</v>
      </c>
      <c r="H91" s="298" t="e">
        <f t="shared" si="37"/>
        <v>#VALUE!</v>
      </c>
      <c r="I91" s="298" t="e">
        <f t="shared" si="38"/>
        <v>#VALUE!</v>
      </c>
      <c r="J91" s="298" t="e">
        <f t="shared" si="39"/>
        <v>#VALUE!</v>
      </c>
      <c r="K91" s="298" t="e">
        <f t="shared" si="40"/>
        <v>#VALUE!</v>
      </c>
      <c r="L91" s="298" t="e">
        <f t="shared" si="41"/>
        <v>#VALUE!</v>
      </c>
      <c r="M91" s="298" t="e">
        <f t="shared" si="42"/>
        <v>#VALUE!</v>
      </c>
      <c r="N91" s="298" t="e">
        <f t="shared" si="43"/>
        <v>#VALUE!</v>
      </c>
      <c r="O91" s="305" t="e">
        <f t="shared" si="44"/>
        <v>#VALUE!</v>
      </c>
      <c r="P91" s="305" t="e">
        <f t="shared" si="45"/>
        <v>#VALUE!</v>
      </c>
      <c r="Q91" s="305" t="e">
        <f t="shared" si="46"/>
        <v>#VALUE!</v>
      </c>
      <c r="R91" s="306" t="e">
        <f t="shared" si="47"/>
        <v>#VALUE!</v>
      </c>
      <c r="S91" s="290" t="e">
        <f t="shared" si="48"/>
        <v>#VALUE!</v>
      </c>
      <c r="T91" s="290"/>
    </row>
    <row r="92" spans="1:20" s="251" customFormat="1" ht="12.75" x14ac:dyDescent="0.25">
      <c r="A92" s="278">
        <v>77</v>
      </c>
      <c r="B92" s="301" t="s">
        <v>45</v>
      </c>
      <c r="C92" s="307">
        <v>17677</v>
      </c>
      <c r="D92" s="303">
        <f t="shared" si="33"/>
        <v>0.37223780261562495</v>
      </c>
      <c r="E92" s="304" t="e">
        <f t="shared" si="34"/>
        <v>#VALUE!</v>
      </c>
      <c r="F92" s="302" t="e">
        <f t="shared" si="35"/>
        <v>#VALUE!</v>
      </c>
      <c r="G92" s="298" t="e">
        <f t="shared" si="36"/>
        <v>#VALUE!</v>
      </c>
      <c r="H92" s="298" t="e">
        <f t="shared" si="37"/>
        <v>#VALUE!</v>
      </c>
      <c r="I92" s="298" t="e">
        <f t="shared" si="38"/>
        <v>#VALUE!</v>
      </c>
      <c r="J92" s="298" t="e">
        <f t="shared" si="39"/>
        <v>#VALUE!</v>
      </c>
      <c r="K92" s="298" t="e">
        <f t="shared" si="40"/>
        <v>#VALUE!</v>
      </c>
      <c r="L92" s="298" t="e">
        <f t="shared" si="41"/>
        <v>#VALUE!</v>
      </c>
      <c r="M92" s="298" t="e">
        <f t="shared" si="42"/>
        <v>#VALUE!</v>
      </c>
      <c r="N92" s="298" t="e">
        <f t="shared" si="43"/>
        <v>#VALUE!</v>
      </c>
      <c r="O92" s="305" t="e">
        <f t="shared" si="44"/>
        <v>#VALUE!</v>
      </c>
      <c r="P92" s="305" t="e">
        <f t="shared" si="45"/>
        <v>#VALUE!</v>
      </c>
      <c r="Q92" s="305" t="e">
        <f t="shared" si="46"/>
        <v>#VALUE!</v>
      </c>
      <c r="R92" s="306" t="e">
        <f t="shared" si="47"/>
        <v>#VALUE!</v>
      </c>
      <c r="S92" s="290" t="e">
        <f t="shared" si="48"/>
        <v>#VALUE!</v>
      </c>
      <c r="T92" s="290"/>
    </row>
    <row r="93" spans="1:20" s="251" customFormat="1" ht="12.75" x14ac:dyDescent="0.25">
      <c r="A93" s="258">
        <v>78</v>
      </c>
      <c r="B93" s="301" t="s">
        <v>349</v>
      </c>
      <c r="C93" s="307">
        <v>12812</v>
      </c>
      <c r="D93" s="303">
        <f t="shared" si="33"/>
        <v>0.26979186101212799</v>
      </c>
      <c r="E93" s="304" t="e">
        <f t="shared" si="34"/>
        <v>#VALUE!</v>
      </c>
      <c r="F93" s="302" t="e">
        <f t="shared" si="35"/>
        <v>#VALUE!</v>
      </c>
      <c r="G93" s="298" t="e">
        <f t="shared" si="36"/>
        <v>#VALUE!</v>
      </c>
      <c r="H93" s="298" t="e">
        <f t="shared" si="37"/>
        <v>#VALUE!</v>
      </c>
      <c r="I93" s="298" t="e">
        <f t="shared" si="38"/>
        <v>#VALUE!</v>
      </c>
      <c r="J93" s="298" t="e">
        <f t="shared" si="39"/>
        <v>#VALUE!</v>
      </c>
      <c r="K93" s="298" t="e">
        <f t="shared" si="40"/>
        <v>#VALUE!</v>
      </c>
      <c r="L93" s="298" t="e">
        <f t="shared" si="41"/>
        <v>#VALUE!</v>
      </c>
      <c r="M93" s="298" t="e">
        <f t="shared" si="42"/>
        <v>#VALUE!</v>
      </c>
      <c r="N93" s="298" t="e">
        <f t="shared" si="43"/>
        <v>#VALUE!</v>
      </c>
      <c r="O93" s="305" t="e">
        <f t="shared" si="44"/>
        <v>#VALUE!</v>
      </c>
      <c r="P93" s="305" t="e">
        <f t="shared" si="45"/>
        <v>#VALUE!</v>
      </c>
      <c r="Q93" s="305" t="e">
        <f t="shared" si="46"/>
        <v>#VALUE!</v>
      </c>
      <c r="R93" s="306" t="e">
        <f t="shared" si="47"/>
        <v>#VALUE!</v>
      </c>
      <c r="S93" s="290" t="e">
        <f t="shared" si="48"/>
        <v>#VALUE!</v>
      </c>
      <c r="T93" s="290"/>
    </row>
    <row r="94" spans="1:20" s="251" customFormat="1" ht="12.75" x14ac:dyDescent="0.25">
      <c r="A94" s="278">
        <v>79</v>
      </c>
      <c r="B94" s="301" t="s">
        <v>138</v>
      </c>
      <c r="C94" s="307">
        <v>49896</v>
      </c>
      <c r="D94" s="303">
        <f t="shared" si="33"/>
        <v>1.0506973694240664</v>
      </c>
      <c r="E94" s="304" t="e">
        <f t="shared" si="34"/>
        <v>#VALUE!</v>
      </c>
      <c r="F94" s="302" t="e">
        <f t="shared" si="35"/>
        <v>#VALUE!</v>
      </c>
      <c r="G94" s="298" t="e">
        <f t="shared" si="36"/>
        <v>#VALUE!</v>
      </c>
      <c r="H94" s="298" t="e">
        <f t="shared" si="37"/>
        <v>#VALUE!</v>
      </c>
      <c r="I94" s="298" t="e">
        <f t="shared" si="38"/>
        <v>#VALUE!</v>
      </c>
      <c r="J94" s="298" t="e">
        <f t="shared" si="39"/>
        <v>#VALUE!</v>
      </c>
      <c r="K94" s="298" t="e">
        <f t="shared" si="40"/>
        <v>#VALUE!</v>
      </c>
      <c r="L94" s="298" t="e">
        <f t="shared" si="41"/>
        <v>#VALUE!</v>
      </c>
      <c r="M94" s="298" t="e">
        <f t="shared" si="42"/>
        <v>#VALUE!</v>
      </c>
      <c r="N94" s="298" t="e">
        <f t="shared" si="43"/>
        <v>#VALUE!</v>
      </c>
      <c r="O94" s="305" t="e">
        <f t="shared" si="44"/>
        <v>#VALUE!</v>
      </c>
      <c r="P94" s="305" t="e">
        <f t="shared" si="45"/>
        <v>#VALUE!</v>
      </c>
      <c r="Q94" s="305" t="e">
        <f t="shared" si="46"/>
        <v>#VALUE!</v>
      </c>
      <c r="R94" s="306" t="e">
        <f t="shared" si="47"/>
        <v>#VALUE!</v>
      </c>
      <c r="S94" s="290" t="e">
        <f t="shared" si="48"/>
        <v>#VALUE!</v>
      </c>
      <c r="T94" s="290"/>
    </row>
    <row r="95" spans="1:20" s="251" customFormat="1" ht="12.75" x14ac:dyDescent="0.25">
      <c r="A95" s="258">
        <v>80</v>
      </c>
      <c r="B95" s="301" t="s">
        <v>93</v>
      </c>
      <c r="C95" s="307">
        <v>19833</v>
      </c>
      <c r="D95" s="303">
        <f t="shared" si="33"/>
        <v>0.41763830623271425</v>
      </c>
      <c r="E95" s="304" t="e">
        <f t="shared" si="34"/>
        <v>#VALUE!</v>
      </c>
      <c r="F95" s="302" t="e">
        <f t="shared" si="35"/>
        <v>#VALUE!</v>
      </c>
      <c r="G95" s="298" t="e">
        <f t="shared" si="36"/>
        <v>#VALUE!</v>
      </c>
      <c r="H95" s="298" t="e">
        <f t="shared" si="37"/>
        <v>#VALUE!</v>
      </c>
      <c r="I95" s="298" t="e">
        <f t="shared" si="38"/>
        <v>#VALUE!</v>
      </c>
      <c r="J95" s="298" t="e">
        <f t="shared" si="39"/>
        <v>#VALUE!</v>
      </c>
      <c r="K95" s="298" t="e">
        <f t="shared" si="40"/>
        <v>#VALUE!</v>
      </c>
      <c r="L95" s="298" t="e">
        <f t="shared" si="41"/>
        <v>#VALUE!</v>
      </c>
      <c r="M95" s="298" t="e">
        <f t="shared" si="42"/>
        <v>#VALUE!</v>
      </c>
      <c r="N95" s="298" t="e">
        <f t="shared" si="43"/>
        <v>#VALUE!</v>
      </c>
      <c r="O95" s="305" t="e">
        <f t="shared" si="44"/>
        <v>#VALUE!</v>
      </c>
      <c r="P95" s="305" t="e">
        <f t="shared" si="45"/>
        <v>#VALUE!</v>
      </c>
      <c r="Q95" s="305" t="e">
        <f t="shared" si="46"/>
        <v>#VALUE!</v>
      </c>
      <c r="R95" s="306" t="e">
        <f t="shared" si="47"/>
        <v>#VALUE!</v>
      </c>
      <c r="S95" s="290" t="e">
        <f t="shared" si="48"/>
        <v>#VALUE!</v>
      </c>
      <c r="T95" s="290"/>
    </row>
    <row r="96" spans="1:20" s="251" customFormat="1" ht="12.75" x14ac:dyDescent="0.25">
      <c r="A96" s="278">
        <v>81</v>
      </c>
      <c r="B96" s="301" t="s">
        <v>116</v>
      </c>
      <c r="C96" s="307">
        <v>9076</v>
      </c>
      <c r="D96" s="303">
        <f t="shared" si="33"/>
        <v>0.19112011633984341</v>
      </c>
      <c r="E96" s="304" t="e">
        <f t="shared" si="34"/>
        <v>#VALUE!</v>
      </c>
      <c r="F96" s="302" t="e">
        <f t="shared" si="35"/>
        <v>#VALUE!</v>
      </c>
      <c r="G96" s="298" t="e">
        <f t="shared" si="36"/>
        <v>#VALUE!</v>
      </c>
      <c r="H96" s="298" t="e">
        <f t="shared" si="37"/>
        <v>#VALUE!</v>
      </c>
      <c r="I96" s="298" t="e">
        <f t="shared" si="38"/>
        <v>#VALUE!</v>
      </c>
      <c r="J96" s="298" t="e">
        <f t="shared" si="39"/>
        <v>#VALUE!</v>
      </c>
      <c r="K96" s="298" t="e">
        <f t="shared" si="40"/>
        <v>#VALUE!</v>
      </c>
      <c r="L96" s="298" t="e">
        <f t="shared" si="41"/>
        <v>#VALUE!</v>
      </c>
      <c r="M96" s="298" t="e">
        <f t="shared" si="42"/>
        <v>#VALUE!</v>
      </c>
      <c r="N96" s="298" t="e">
        <f t="shared" si="43"/>
        <v>#VALUE!</v>
      </c>
      <c r="O96" s="305" t="e">
        <f t="shared" si="44"/>
        <v>#VALUE!</v>
      </c>
      <c r="P96" s="305" t="e">
        <f t="shared" si="45"/>
        <v>#VALUE!</v>
      </c>
      <c r="Q96" s="305" t="e">
        <f t="shared" si="46"/>
        <v>#VALUE!</v>
      </c>
      <c r="R96" s="306" t="e">
        <f t="shared" si="47"/>
        <v>#VALUE!</v>
      </c>
      <c r="S96" s="290" t="e">
        <f t="shared" si="48"/>
        <v>#VALUE!</v>
      </c>
      <c r="T96" s="290"/>
    </row>
    <row r="97" spans="1:20" s="251" customFormat="1" ht="12.75" x14ac:dyDescent="0.25">
      <c r="A97" s="258">
        <v>82</v>
      </c>
      <c r="B97" s="301" t="s">
        <v>152</v>
      </c>
      <c r="C97" s="307">
        <v>79540</v>
      </c>
      <c r="D97" s="303">
        <f t="shared" si="33"/>
        <v>1.6749332364115408</v>
      </c>
      <c r="E97" s="304" t="e">
        <f t="shared" si="34"/>
        <v>#VALUE!</v>
      </c>
      <c r="F97" s="302" t="e">
        <f t="shared" si="35"/>
        <v>#VALUE!</v>
      </c>
      <c r="G97" s="298" t="e">
        <f t="shared" si="36"/>
        <v>#VALUE!</v>
      </c>
      <c r="H97" s="298" t="e">
        <f t="shared" si="37"/>
        <v>#VALUE!</v>
      </c>
      <c r="I97" s="298" t="e">
        <f t="shared" si="38"/>
        <v>#VALUE!</v>
      </c>
      <c r="J97" s="298" t="e">
        <f t="shared" si="39"/>
        <v>#VALUE!</v>
      </c>
      <c r="K97" s="298" t="e">
        <f t="shared" si="40"/>
        <v>#VALUE!</v>
      </c>
      <c r="L97" s="298" t="e">
        <f t="shared" si="41"/>
        <v>#VALUE!</v>
      </c>
      <c r="M97" s="298" t="e">
        <f t="shared" si="42"/>
        <v>#VALUE!</v>
      </c>
      <c r="N97" s="298" t="e">
        <f t="shared" si="43"/>
        <v>#VALUE!</v>
      </c>
      <c r="O97" s="305" t="e">
        <f t="shared" si="44"/>
        <v>#VALUE!</v>
      </c>
      <c r="P97" s="305" t="e">
        <f t="shared" si="45"/>
        <v>#VALUE!</v>
      </c>
      <c r="Q97" s="305" t="e">
        <f t="shared" si="46"/>
        <v>#VALUE!</v>
      </c>
      <c r="R97" s="306" t="e">
        <f t="shared" si="47"/>
        <v>#VALUE!</v>
      </c>
      <c r="S97" s="290" t="e">
        <f t="shared" si="48"/>
        <v>#VALUE!</v>
      </c>
      <c r="T97" s="290"/>
    </row>
    <row r="98" spans="1:20" s="251" customFormat="1" ht="12.75" x14ac:dyDescent="0.25">
      <c r="A98" s="278">
        <v>83</v>
      </c>
      <c r="B98" s="301" t="s">
        <v>153</v>
      </c>
      <c r="C98" s="307">
        <v>33453</v>
      </c>
      <c r="D98" s="303">
        <f t="shared" si="33"/>
        <v>0.70444482722749913</v>
      </c>
      <c r="E98" s="304" t="e">
        <f t="shared" si="34"/>
        <v>#VALUE!</v>
      </c>
      <c r="F98" s="302" t="e">
        <f t="shared" si="35"/>
        <v>#VALUE!</v>
      </c>
      <c r="G98" s="298" t="e">
        <f t="shared" si="36"/>
        <v>#VALUE!</v>
      </c>
      <c r="H98" s="298" t="e">
        <f t="shared" si="37"/>
        <v>#VALUE!</v>
      </c>
      <c r="I98" s="298" t="e">
        <f t="shared" si="38"/>
        <v>#VALUE!</v>
      </c>
      <c r="J98" s="298" t="e">
        <f t="shared" si="39"/>
        <v>#VALUE!</v>
      </c>
      <c r="K98" s="298" t="e">
        <f t="shared" si="40"/>
        <v>#VALUE!</v>
      </c>
      <c r="L98" s="298" t="e">
        <f t="shared" si="41"/>
        <v>#VALUE!</v>
      </c>
      <c r="M98" s="298" t="e">
        <f t="shared" si="42"/>
        <v>#VALUE!</v>
      </c>
      <c r="N98" s="298" t="e">
        <f t="shared" si="43"/>
        <v>#VALUE!</v>
      </c>
      <c r="O98" s="305" t="e">
        <f t="shared" si="44"/>
        <v>#VALUE!</v>
      </c>
      <c r="P98" s="305" t="e">
        <f t="shared" si="45"/>
        <v>#VALUE!</v>
      </c>
      <c r="Q98" s="305" t="e">
        <f t="shared" si="46"/>
        <v>#VALUE!</v>
      </c>
      <c r="R98" s="306" t="e">
        <f t="shared" si="47"/>
        <v>#VALUE!</v>
      </c>
      <c r="S98" s="290" t="e">
        <f t="shared" si="48"/>
        <v>#VALUE!</v>
      </c>
      <c r="T98" s="290"/>
    </row>
    <row r="99" spans="1:20" s="251" customFormat="1" ht="12.75" x14ac:dyDescent="0.25">
      <c r="A99" s="258">
        <v>84</v>
      </c>
      <c r="B99" s="301" t="s">
        <v>107</v>
      </c>
      <c r="C99" s="307">
        <v>31716</v>
      </c>
      <c r="D99" s="303">
        <f t="shared" si="33"/>
        <v>0.66786751981428749</v>
      </c>
      <c r="E99" s="304" t="e">
        <f t="shared" si="34"/>
        <v>#VALUE!</v>
      </c>
      <c r="F99" s="302" t="e">
        <f t="shared" si="35"/>
        <v>#VALUE!</v>
      </c>
      <c r="G99" s="298" t="e">
        <f t="shared" si="36"/>
        <v>#VALUE!</v>
      </c>
      <c r="H99" s="298" t="e">
        <f t="shared" si="37"/>
        <v>#VALUE!</v>
      </c>
      <c r="I99" s="298" t="e">
        <f t="shared" si="38"/>
        <v>#VALUE!</v>
      </c>
      <c r="J99" s="298" t="e">
        <f t="shared" si="39"/>
        <v>#VALUE!</v>
      </c>
      <c r="K99" s="298" t="e">
        <f t="shared" si="40"/>
        <v>#VALUE!</v>
      </c>
      <c r="L99" s="298" t="e">
        <f t="shared" si="41"/>
        <v>#VALUE!</v>
      </c>
      <c r="M99" s="298" t="e">
        <f t="shared" si="42"/>
        <v>#VALUE!</v>
      </c>
      <c r="N99" s="298" t="e">
        <f t="shared" si="43"/>
        <v>#VALUE!</v>
      </c>
      <c r="O99" s="305" t="e">
        <f t="shared" si="44"/>
        <v>#VALUE!</v>
      </c>
      <c r="P99" s="305" t="e">
        <f t="shared" si="45"/>
        <v>#VALUE!</v>
      </c>
      <c r="Q99" s="305" t="e">
        <f t="shared" si="46"/>
        <v>#VALUE!</v>
      </c>
      <c r="R99" s="306" t="e">
        <f t="shared" si="47"/>
        <v>#VALUE!</v>
      </c>
      <c r="S99" s="290" t="e">
        <f t="shared" si="48"/>
        <v>#VALUE!</v>
      </c>
      <c r="T99" s="290"/>
    </row>
    <row r="100" spans="1:20" s="251" customFormat="1" ht="12.75" x14ac:dyDescent="0.25">
      <c r="A100" s="278">
        <v>85</v>
      </c>
      <c r="B100" s="301" t="s">
        <v>124</v>
      </c>
      <c r="C100" s="307">
        <v>35256</v>
      </c>
      <c r="D100" s="303">
        <f t="shared" si="33"/>
        <v>0.74241194597592763</v>
      </c>
      <c r="E100" s="304" t="e">
        <f t="shared" si="34"/>
        <v>#VALUE!</v>
      </c>
      <c r="F100" s="302" t="e">
        <f t="shared" si="35"/>
        <v>#VALUE!</v>
      </c>
      <c r="G100" s="298" t="e">
        <f t="shared" si="36"/>
        <v>#VALUE!</v>
      </c>
      <c r="H100" s="298" t="e">
        <f t="shared" si="37"/>
        <v>#VALUE!</v>
      </c>
      <c r="I100" s="298" t="e">
        <f t="shared" si="38"/>
        <v>#VALUE!</v>
      </c>
      <c r="J100" s="298" t="e">
        <f t="shared" si="39"/>
        <v>#VALUE!</v>
      </c>
      <c r="K100" s="298" t="e">
        <f t="shared" si="40"/>
        <v>#VALUE!</v>
      </c>
      <c r="L100" s="298" t="e">
        <f t="shared" si="41"/>
        <v>#VALUE!</v>
      </c>
      <c r="M100" s="298" t="e">
        <f t="shared" si="42"/>
        <v>#VALUE!</v>
      </c>
      <c r="N100" s="298" t="e">
        <f t="shared" si="43"/>
        <v>#VALUE!</v>
      </c>
      <c r="O100" s="305" t="e">
        <f t="shared" si="44"/>
        <v>#VALUE!</v>
      </c>
      <c r="P100" s="305" t="e">
        <f t="shared" si="45"/>
        <v>#VALUE!</v>
      </c>
      <c r="Q100" s="305" t="e">
        <f t="shared" si="46"/>
        <v>#VALUE!</v>
      </c>
      <c r="R100" s="306" t="e">
        <f t="shared" si="47"/>
        <v>#VALUE!</v>
      </c>
      <c r="S100" s="290" t="e">
        <f t="shared" si="48"/>
        <v>#VALUE!</v>
      </c>
      <c r="T100" s="290"/>
    </row>
    <row r="101" spans="1:20" s="251" customFormat="1" ht="12.75" x14ac:dyDescent="0.25">
      <c r="A101" s="258">
        <v>86</v>
      </c>
      <c r="B101" s="301" t="s">
        <v>129</v>
      </c>
      <c r="C101" s="307">
        <v>15534</v>
      </c>
      <c r="D101" s="303">
        <f t="shared" si="33"/>
        <v>0.32711104971607841</v>
      </c>
      <c r="E101" s="304" t="e">
        <f t="shared" si="34"/>
        <v>#VALUE!</v>
      </c>
      <c r="F101" s="302" t="e">
        <f t="shared" si="35"/>
        <v>#VALUE!</v>
      </c>
      <c r="G101" s="298" t="e">
        <f t="shared" si="36"/>
        <v>#VALUE!</v>
      </c>
      <c r="H101" s="298" t="e">
        <f t="shared" si="37"/>
        <v>#VALUE!</v>
      </c>
      <c r="I101" s="298" t="e">
        <f t="shared" si="38"/>
        <v>#VALUE!</v>
      </c>
      <c r="J101" s="298" t="e">
        <f t="shared" si="39"/>
        <v>#VALUE!</v>
      </c>
      <c r="K101" s="298" t="e">
        <f t="shared" si="40"/>
        <v>#VALUE!</v>
      </c>
      <c r="L101" s="298" t="e">
        <f t="shared" si="41"/>
        <v>#VALUE!</v>
      </c>
      <c r="M101" s="298" t="e">
        <f t="shared" si="42"/>
        <v>#VALUE!</v>
      </c>
      <c r="N101" s="298" t="e">
        <f t="shared" si="43"/>
        <v>#VALUE!</v>
      </c>
      <c r="O101" s="305" t="e">
        <f t="shared" si="44"/>
        <v>#VALUE!</v>
      </c>
      <c r="P101" s="305" t="e">
        <f t="shared" si="45"/>
        <v>#VALUE!</v>
      </c>
      <c r="Q101" s="305" t="e">
        <f t="shared" si="46"/>
        <v>#VALUE!</v>
      </c>
      <c r="R101" s="306" t="e">
        <f t="shared" si="47"/>
        <v>#VALUE!</v>
      </c>
      <c r="S101" s="290" t="e">
        <f t="shared" si="48"/>
        <v>#VALUE!</v>
      </c>
      <c r="T101" s="290"/>
    </row>
    <row r="102" spans="1:20" s="251" customFormat="1" ht="12.75" x14ac:dyDescent="0.25">
      <c r="A102" s="278">
        <v>87</v>
      </c>
      <c r="B102" s="301" t="s">
        <v>350</v>
      </c>
      <c r="C102" s="307">
        <v>15589</v>
      </c>
      <c r="D102" s="303">
        <f t="shared" si="33"/>
        <v>0.32826922582875923</v>
      </c>
      <c r="E102" s="304" t="e">
        <f t="shared" si="34"/>
        <v>#VALUE!</v>
      </c>
      <c r="F102" s="302" t="e">
        <f t="shared" si="35"/>
        <v>#VALUE!</v>
      </c>
      <c r="G102" s="298" t="e">
        <f t="shared" si="36"/>
        <v>#VALUE!</v>
      </c>
      <c r="H102" s="298" t="e">
        <f t="shared" si="37"/>
        <v>#VALUE!</v>
      </c>
      <c r="I102" s="298" t="e">
        <f t="shared" si="38"/>
        <v>#VALUE!</v>
      </c>
      <c r="J102" s="298" t="e">
        <f t="shared" si="39"/>
        <v>#VALUE!</v>
      </c>
      <c r="K102" s="298" t="e">
        <f t="shared" si="40"/>
        <v>#VALUE!</v>
      </c>
      <c r="L102" s="298" t="e">
        <f t="shared" si="41"/>
        <v>#VALUE!</v>
      </c>
      <c r="M102" s="298" t="e">
        <f t="shared" si="42"/>
        <v>#VALUE!</v>
      </c>
      <c r="N102" s="298" t="e">
        <f t="shared" si="43"/>
        <v>#VALUE!</v>
      </c>
      <c r="O102" s="305" t="e">
        <f t="shared" si="44"/>
        <v>#VALUE!</v>
      </c>
      <c r="P102" s="305" t="e">
        <f t="shared" si="45"/>
        <v>#VALUE!</v>
      </c>
      <c r="Q102" s="305" t="e">
        <f t="shared" si="46"/>
        <v>#VALUE!</v>
      </c>
      <c r="R102" s="306" t="e">
        <f t="shared" si="47"/>
        <v>#VALUE!</v>
      </c>
      <c r="S102" s="290" t="e">
        <f t="shared" si="48"/>
        <v>#VALUE!</v>
      </c>
      <c r="T102" s="290"/>
    </row>
    <row r="103" spans="1:20" s="251" customFormat="1" ht="12.75" x14ac:dyDescent="0.25">
      <c r="A103" s="258">
        <v>88</v>
      </c>
      <c r="B103" s="301" t="s">
        <v>99</v>
      </c>
      <c r="C103" s="307">
        <v>114513</v>
      </c>
      <c r="D103" s="303">
        <f t="shared" si="33"/>
        <v>2.411385839844038</v>
      </c>
      <c r="E103" s="304" t="e">
        <f t="shared" si="34"/>
        <v>#VALUE!</v>
      </c>
      <c r="F103" s="302" t="e">
        <f t="shared" si="35"/>
        <v>#VALUE!</v>
      </c>
      <c r="G103" s="298" t="e">
        <f t="shared" si="36"/>
        <v>#VALUE!</v>
      </c>
      <c r="H103" s="298" t="e">
        <f t="shared" si="37"/>
        <v>#VALUE!</v>
      </c>
      <c r="I103" s="298" t="e">
        <f t="shared" si="38"/>
        <v>#VALUE!</v>
      </c>
      <c r="J103" s="298" t="e">
        <f t="shared" si="39"/>
        <v>#VALUE!</v>
      </c>
      <c r="K103" s="298" t="e">
        <f t="shared" si="40"/>
        <v>#VALUE!</v>
      </c>
      <c r="L103" s="298" t="e">
        <f t="shared" si="41"/>
        <v>#VALUE!</v>
      </c>
      <c r="M103" s="298" t="e">
        <f t="shared" si="42"/>
        <v>#VALUE!</v>
      </c>
      <c r="N103" s="298" t="e">
        <f t="shared" si="43"/>
        <v>#VALUE!</v>
      </c>
      <c r="O103" s="305" t="e">
        <f t="shared" si="44"/>
        <v>#VALUE!</v>
      </c>
      <c r="P103" s="305" t="e">
        <f t="shared" si="45"/>
        <v>#VALUE!</v>
      </c>
      <c r="Q103" s="305" t="e">
        <f t="shared" si="46"/>
        <v>#VALUE!</v>
      </c>
      <c r="R103" s="306" t="e">
        <f t="shared" si="47"/>
        <v>#VALUE!</v>
      </c>
      <c r="S103" s="290" t="e">
        <f t="shared" si="48"/>
        <v>#VALUE!</v>
      </c>
      <c r="T103" s="290"/>
    </row>
    <row r="104" spans="1:20" s="251" customFormat="1" ht="12.75" x14ac:dyDescent="0.25">
      <c r="A104" s="278">
        <v>89</v>
      </c>
      <c r="B104" s="301" t="s">
        <v>55</v>
      </c>
      <c r="C104" s="307">
        <v>24074</v>
      </c>
      <c r="D104" s="303">
        <f t="shared" si="33"/>
        <v>0.50694421339415929</v>
      </c>
      <c r="E104" s="304" t="e">
        <f t="shared" si="34"/>
        <v>#VALUE!</v>
      </c>
      <c r="F104" s="302" t="e">
        <f t="shared" si="35"/>
        <v>#VALUE!</v>
      </c>
      <c r="G104" s="298" t="e">
        <f t="shared" si="36"/>
        <v>#VALUE!</v>
      </c>
      <c r="H104" s="298" t="e">
        <f t="shared" si="37"/>
        <v>#VALUE!</v>
      </c>
      <c r="I104" s="298" t="e">
        <f t="shared" si="38"/>
        <v>#VALUE!</v>
      </c>
      <c r="J104" s="298" t="e">
        <f t="shared" si="39"/>
        <v>#VALUE!</v>
      </c>
      <c r="K104" s="298" t="e">
        <f t="shared" si="40"/>
        <v>#VALUE!</v>
      </c>
      <c r="L104" s="298" t="e">
        <f t="shared" si="41"/>
        <v>#VALUE!</v>
      </c>
      <c r="M104" s="298" t="e">
        <f t="shared" si="42"/>
        <v>#VALUE!</v>
      </c>
      <c r="N104" s="298" t="e">
        <f t="shared" si="43"/>
        <v>#VALUE!</v>
      </c>
      <c r="O104" s="305" t="e">
        <f t="shared" si="44"/>
        <v>#VALUE!</v>
      </c>
      <c r="P104" s="305" t="e">
        <f t="shared" si="45"/>
        <v>#VALUE!</v>
      </c>
      <c r="Q104" s="305" t="e">
        <f t="shared" si="46"/>
        <v>#VALUE!</v>
      </c>
      <c r="R104" s="306" t="e">
        <f t="shared" si="47"/>
        <v>#VALUE!</v>
      </c>
      <c r="S104" s="290" t="e">
        <f t="shared" si="48"/>
        <v>#VALUE!</v>
      </c>
      <c r="T104" s="290"/>
    </row>
    <row r="105" spans="1:20" s="251" customFormat="1" ht="12.75" x14ac:dyDescent="0.25">
      <c r="A105" s="258">
        <v>90</v>
      </c>
      <c r="B105" s="301" t="s">
        <v>147</v>
      </c>
      <c r="C105" s="307">
        <v>16325</v>
      </c>
      <c r="D105" s="303">
        <f t="shared" si="33"/>
        <v>0.34376772799117933</v>
      </c>
      <c r="E105" s="304" t="e">
        <f t="shared" si="34"/>
        <v>#VALUE!</v>
      </c>
      <c r="F105" s="302" t="e">
        <f t="shared" si="35"/>
        <v>#VALUE!</v>
      </c>
      <c r="G105" s="298" t="e">
        <f t="shared" si="36"/>
        <v>#VALUE!</v>
      </c>
      <c r="H105" s="298" t="e">
        <f t="shared" si="37"/>
        <v>#VALUE!</v>
      </c>
      <c r="I105" s="298" t="e">
        <f t="shared" si="38"/>
        <v>#VALUE!</v>
      </c>
      <c r="J105" s="298" t="e">
        <f t="shared" si="39"/>
        <v>#VALUE!</v>
      </c>
      <c r="K105" s="298" t="e">
        <f t="shared" si="40"/>
        <v>#VALUE!</v>
      </c>
      <c r="L105" s="298" t="e">
        <f t="shared" si="41"/>
        <v>#VALUE!</v>
      </c>
      <c r="M105" s="298" t="e">
        <f t="shared" si="42"/>
        <v>#VALUE!</v>
      </c>
      <c r="N105" s="298" t="e">
        <f t="shared" si="43"/>
        <v>#VALUE!</v>
      </c>
      <c r="O105" s="305" t="e">
        <f t="shared" si="44"/>
        <v>#VALUE!</v>
      </c>
      <c r="P105" s="305" t="e">
        <f t="shared" si="45"/>
        <v>#VALUE!</v>
      </c>
      <c r="Q105" s="305" t="e">
        <f t="shared" si="46"/>
        <v>#VALUE!</v>
      </c>
      <c r="R105" s="306" t="e">
        <f t="shared" si="47"/>
        <v>#VALUE!</v>
      </c>
      <c r="S105" s="290" t="e">
        <f t="shared" si="48"/>
        <v>#VALUE!</v>
      </c>
      <c r="T105" s="290"/>
    </row>
    <row r="106" spans="1:20" s="251" customFormat="1" ht="12.75" x14ac:dyDescent="0.25">
      <c r="A106" s="278">
        <v>91</v>
      </c>
      <c r="B106" s="301" t="s">
        <v>351</v>
      </c>
      <c r="C106" s="307">
        <v>14934</v>
      </c>
      <c r="D106" s="303">
        <f t="shared" si="33"/>
        <v>0.31447640121410547</v>
      </c>
      <c r="E106" s="304" t="e">
        <f t="shared" si="34"/>
        <v>#VALUE!</v>
      </c>
      <c r="F106" s="302" t="e">
        <f t="shared" si="35"/>
        <v>#VALUE!</v>
      </c>
      <c r="G106" s="298" t="e">
        <f t="shared" si="36"/>
        <v>#VALUE!</v>
      </c>
      <c r="H106" s="298" t="e">
        <f t="shared" si="37"/>
        <v>#VALUE!</v>
      </c>
      <c r="I106" s="298" t="e">
        <f t="shared" si="38"/>
        <v>#VALUE!</v>
      </c>
      <c r="J106" s="298" t="e">
        <f t="shared" si="39"/>
        <v>#VALUE!</v>
      </c>
      <c r="K106" s="298" t="e">
        <f t="shared" si="40"/>
        <v>#VALUE!</v>
      </c>
      <c r="L106" s="298" t="e">
        <f t="shared" si="41"/>
        <v>#VALUE!</v>
      </c>
      <c r="M106" s="298" t="e">
        <f t="shared" si="42"/>
        <v>#VALUE!</v>
      </c>
      <c r="N106" s="298" t="e">
        <f t="shared" si="43"/>
        <v>#VALUE!</v>
      </c>
      <c r="O106" s="305" t="e">
        <f t="shared" si="44"/>
        <v>#VALUE!</v>
      </c>
      <c r="P106" s="305" t="e">
        <f t="shared" si="45"/>
        <v>#VALUE!</v>
      </c>
      <c r="Q106" s="305" t="e">
        <f t="shared" si="46"/>
        <v>#VALUE!</v>
      </c>
      <c r="R106" s="306" t="e">
        <f t="shared" si="47"/>
        <v>#VALUE!</v>
      </c>
      <c r="S106" s="290" t="e">
        <f t="shared" si="48"/>
        <v>#VALUE!</v>
      </c>
      <c r="T106" s="290"/>
    </row>
    <row r="107" spans="1:20" s="251" customFormat="1" ht="12.75" x14ac:dyDescent="0.25">
      <c r="A107" s="258">
        <v>92</v>
      </c>
      <c r="B107" s="301" t="s">
        <v>428</v>
      </c>
      <c r="C107" s="307">
        <v>12836</v>
      </c>
      <c r="D107" s="303">
        <f t="shared" si="33"/>
        <v>0.27029724695220692</v>
      </c>
      <c r="E107" s="304" t="e">
        <f t="shared" si="34"/>
        <v>#VALUE!</v>
      </c>
      <c r="F107" s="302" t="e">
        <f t="shared" si="35"/>
        <v>#VALUE!</v>
      </c>
      <c r="G107" s="298" t="e">
        <f t="shared" si="36"/>
        <v>#VALUE!</v>
      </c>
      <c r="H107" s="298" t="e">
        <f t="shared" si="37"/>
        <v>#VALUE!</v>
      </c>
      <c r="I107" s="298" t="e">
        <f t="shared" si="38"/>
        <v>#VALUE!</v>
      </c>
      <c r="J107" s="298" t="e">
        <f t="shared" si="39"/>
        <v>#VALUE!</v>
      </c>
      <c r="K107" s="298" t="e">
        <f t="shared" si="40"/>
        <v>#VALUE!</v>
      </c>
      <c r="L107" s="298" t="e">
        <f t="shared" si="41"/>
        <v>#VALUE!</v>
      </c>
      <c r="M107" s="298" t="e">
        <f t="shared" si="42"/>
        <v>#VALUE!</v>
      </c>
      <c r="N107" s="298" t="e">
        <f t="shared" si="43"/>
        <v>#VALUE!</v>
      </c>
      <c r="O107" s="305" t="e">
        <f t="shared" si="44"/>
        <v>#VALUE!</v>
      </c>
      <c r="P107" s="305" t="e">
        <f t="shared" si="45"/>
        <v>#VALUE!</v>
      </c>
      <c r="Q107" s="305" t="e">
        <f t="shared" si="46"/>
        <v>#VALUE!</v>
      </c>
      <c r="R107" s="306" t="e">
        <f t="shared" si="47"/>
        <v>#VALUE!</v>
      </c>
      <c r="S107" s="290" t="e">
        <f t="shared" si="48"/>
        <v>#VALUE!</v>
      </c>
      <c r="T107" s="290"/>
    </row>
    <row r="108" spans="1:20" s="251" customFormat="1" ht="12.75" x14ac:dyDescent="0.25">
      <c r="A108" s="278">
        <v>93</v>
      </c>
      <c r="B108" s="301" t="s">
        <v>353</v>
      </c>
      <c r="C108" s="307">
        <v>28556</v>
      </c>
      <c r="D108" s="303">
        <f t="shared" si="33"/>
        <v>0.60132503770389689</v>
      </c>
      <c r="E108" s="304" t="e">
        <f t="shared" si="34"/>
        <v>#VALUE!</v>
      </c>
      <c r="F108" s="302" t="e">
        <f t="shared" si="35"/>
        <v>#VALUE!</v>
      </c>
      <c r="G108" s="298" t="e">
        <f t="shared" si="36"/>
        <v>#VALUE!</v>
      </c>
      <c r="H108" s="298" t="e">
        <f t="shared" si="37"/>
        <v>#VALUE!</v>
      </c>
      <c r="I108" s="298" t="e">
        <f t="shared" si="38"/>
        <v>#VALUE!</v>
      </c>
      <c r="J108" s="298" t="e">
        <f t="shared" si="39"/>
        <v>#VALUE!</v>
      </c>
      <c r="K108" s="298" t="e">
        <f t="shared" si="40"/>
        <v>#VALUE!</v>
      </c>
      <c r="L108" s="298" t="e">
        <f t="shared" si="41"/>
        <v>#VALUE!</v>
      </c>
      <c r="M108" s="298" t="e">
        <f t="shared" si="42"/>
        <v>#VALUE!</v>
      </c>
      <c r="N108" s="298" t="e">
        <f t="shared" si="43"/>
        <v>#VALUE!</v>
      </c>
      <c r="O108" s="305" t="e">
        <f t="shared" si="44"/>
        <v>#VALUE!</v>
      </c>
      <c r="P108" s="305" t="e">
        <f t="shared" si="45"/>
        <v>#VALUE!</v>
      </c>
      <c r="Q108" s="305" t="e">
        <f t="shared" si="46"/>
        <v>#VALUE!</v>
      </c>
      <c r="R108" s="306" t="e">
        <f t="shared" si="47"/>
        <v>#VALUE!</v>
      </c>
      <c r="S108" s="290" t="e">
        <f t="shared" si="48"/>
        <v>#VALUE!</v>
      </c>
      <c r="T108" s="290"/>
    </row>
    <row r="109" spans="1:20" s="251" customFormat="1" ht="12.75" x14ac:dyDescent="0.25">
      <c r="A109" s="258">
        <v>94</v>
      </c>
      <c r="B109" s="301" t="s">
        <v>354</v>
      </c>
      <c r="C109" s="307">
        <v>6420</v>
      </c>
      <c r="D109" s="303">
        <f t="shared" si="33"/>
        <v>0.13519073897111003</v>
      </c>
      <c r="E109" s="304" t="e">
        <f t="shared" si="34"/>
        <v>#VALUE!</v>
      </c>
      <c r="F109" s="302" t="e">
        <f t="shared" si="35"/>
        <v>#VALUE!</v>
      </c>
      <c r="G109" s="298" t="e">
        <f t="shared" si="36"/>
        <v>#VALUE!</v>
      </c>
      <c r="H109" s="298" t="e">
        <f t="shared" si="37"/>
        <v>#VALUE!</v>
      </c>
      <c r="I109" s="298" t="e">
        <f t="shared" si="38"/>
        <v>#VALUE!</v>
      </c>
      <c r="J109" s="298" t="e">
        <f t="shared" si="39"/>
        <v>#VALUE!</v>
      </c>
      <c r="K109" s="298" t="e">
        <f t="shared" si="40"/>
        <v>#VALUE!</v>
      </c>
      <c r="L109" s="298" t="e">
        <f t="shared" si="41"/>
        <v>#VALUE!</v>
      </c>
      <c r="M109" s="298" t="e">
        <f t="shared" si="42"/>
        <v>#VALUE!</v>
      </c>
      <c r="N109" s="298" t="e">
        <f t="shared" si="43"/>
        <v>#VALUE!</v>
      </c>
      <c r="O109" s="305" t="e">
        <f t="shared" si="44"/>
        <v>#VALUE!</v>
      </c>
      <c r="P109" s="305" t="e">
        <f t="shared" si="45"/>
        <v>#VALUE!</v>
      </c>
      <c r="Q109" s="305" t="e">
        <f t="shared" si="46"/>
        <v>#VALUE!</v>
      </c>
      <c r="R109" s="306" t="e">
        <f t="shared" si="47"/>
        <v>#VALUE!</v>
      </c>
      <c r="S109" s="290" t="e">
        <f t="shared" si="48"/>
        <v>#VALUE!</v>
      </c>
      <c r="T109" s="290"/>
    </row>
    <row r="110" spans="1:20" s="251" customFormat="1" ht="12.75" x14ac:dyDescent="0.25">
      <c r="A110" s="278">
        <v>95</v>
      </c>
      <c r="B110" s="301" t="s">
        <v>100</v>
      </c>
      <c r="C110" s="307">
        <v>12325</v>
      </c>
      <c r="D110" s="303">
        <f t="shared" si="33"/>
        <v>0.25953673797802668</v>
      </c>
      <c r="E110" s="304" t="e">
        <f t="shared" si="34"/>
        <v>#VALUE!</v>
      </c>
      <c r="F110" s="302" t="e">
        <f t="shared" si="35"/>
        <v>#VALUE!</v>
      </c>
      <c r="G110" s="298" t="e">
        <f t="shared" si="36"/>
        <v>#VALUE!</v>
      </c>
      <c r="H110" s="298" t="e">
        <f t="shared" si="37"/>
        <v>#VALUE!</v>
      </c>
      <c r="I110" s="298" t="e">
        <f t="shared" si="38"/>
        <v>#VALUE!</v>
      </c>
      <c r="J110" s="298" t="e">
        <f t="shared" si="39"/>
        <v>#VALUE!</v>
      </c>
      <c r="K110" s="298" t="e">
        <f t="shared" si="40"/>
        <v>#VALUE!</v>
      </c>
      <c r="L110" s="298" t="e">
        <f t="shared" si="41"/>
        <v>#VALUE!</v>
      </c>
      <c r="M110" s="298" t="e">
        <f t="shared" si="42"/>
        <v>#VALUE!</v>
      </c>
      <c r="N110" s="298" t="e">
        <f t="shared" si="43"/>
        <v>#VALUE!</v>
      </c>
      <c r="O110" s="305" t="e">
        <f t="shared" si="44"/>
        <v>#VALUE!</v>
      </c>
      <c r="P110" s="305" t="e">
        <f t="shared" si="45"/>
        <v>#VALUE!</v>
      </c>
      <c r="Q110" s="305" t="e">
        <f t="shared" si="46"/>
        <v>#VALUE!</v>
      </c>
      <c r="R110" s="306" t="e">
        <f t="shared" si="47"/>
        <v>#VALUE!</v>
      </c>
      <c r="S110" s="290" t="e">
        <f t="shared" si="48"/>
        <v>#VALUE!</v>
      </c>
      <c r="T110" s="290"/>
    </row>
    <row r="111" spans="1:20" s="251" customFormat="1" ht="12.75" x14ac:dyDescent="0.25">
      <c r="A111" s="258">
        <v>96</v>
      </c>
      <c r="B111" s="301" t="s">
        <v>78</v>
      </c>
      <c r="C111" s="307">
        <v>5971</v>
      </c>
      <c r="D111" s="303">
        <f t="shared" si="33"/>
        <v>0.12573581034213366</v>
      </c>
      <c r="E111" s="304" t="e">
        <f t="shared" si="34"/>
        <v>#VALUE!</v>
      </c>
      <c r="F111" s="302" t="e">
        <f t="shared" si="35"/>
        <v>#VALUE!</v>
      </c>
      <c r="G111" s="298" t="e">
        <f t="shared" si="36"/>
        <v>#VALUE!</v>
      </c>
      <c r="H111" s="298" t="e">
        <f t="shared" si="37"/>
        <v>#VALUE!</v>
      </c>
      <c r="I111" s="298" t="e">
        <f t="shared" si="38"/>
        <v>#VALUE!</v>
      </c>
      <c r="J111" s="298" t="e">
        <f t="shared" si="39"/>
        <v>#VALUE!</v>
      </c>
      <c r="K111" s="298" t="e">
        <f t="shared" si="40"/>
        <v>#VALUE!</v>
      </c>
      <c r="L111" s="298" t="e">
        <f t="shared" si="41"/>
        <v>#VALUE!</v>
      </c>
      <c r="M111" s="298" t="e">
        <f t="shared" si="42"/>
        <v>#VALUE!</v>
      </c>
      <c r="N111" s="298" t="e">
        <f t="shared" si="43"/>
        <v>#VALUE!</v>
      </c>
      <c r="O111" s="305" t="e">
        <f t="shared" si="44"/>
        <v>#VALUE!</v>
      </c>
      <c r="P111" s="305" t="e">
        <f t="shared" si="45"/>
        <v>#VALUE!</v>
      </c>
      <c r="Q111" s="305" t="e">
        <f t="shared" si="46"/>
        <v>#VALUE!</v>
      </c>
      <c r="R111" s="306" t="e">
        <f t="shared" si="47"/>
        <v>#VALUE!</v>
      </c>
      <c r="S111" s="290" t="e">
        <f t="shared" si="48"/>
        <v>#VALUE!</v>
      </c>
      <c r="T111" s="290"/>
    </row>
    <row r="112" spans="1:20" s="251" customFormat="1" ht="12.75" x14ac:dyDescent="0.25">
      <c r="A112" s="278">
        <v>97</v>
      </c>
      <c r="B112" s="301" t="s">
        <v>130</v>
      </c>
      <c r="C112" s="307">
        <v>29056</v>
      </c>
      <c r="D112" s="303">
        <f t="shared" ref="D112:D128" si="49">C112/$C$129%</f>
        <v>0.61185391145554102</v>
      </c>
      <c r="E112" s="304" t="e">
        <f t="shared" ref="E112:E128" si="50">$E$15*D112%</f>
        <v>#VALUE!</v>
      </c>
      <c r="F112" s="302" t="e">
        <f t="shared" ref="F112:F128" si="51">E112/12</f>
        <v>#VALUE!</v>
      </c>
      <c r="G112" s="298" t="e">
        <f t="shared" ref="G112:G128" si="52">E112/12</f>
        <v>#VALUE!</v>
      </c>
      <c r="H112" s="298" t="e">
        <f t="shared" ref="H112:H128" si="53">E112/12</f>
        <v>#VALUE!</v>
      </c>
      <c r="I112" s="298" t="e">
        <f t="shared" ref="I112:I128" si="54">E112/12</f>
        <v>#VALUE!</v>
      </c>
      <c r="J112" s="298" t="e">
        <f t="shared" ref="J112:J128" si="55">E112/12</f>
        <v>#VALUE!</v>
      </c>
      <c r="K112" s="298" t="e">
        <f t="shared" ref="K112:K128" si="56">E112/12</f>
        <v>#VALUE!</v>
      </c>
      <c r="L112" s="298" t="e">
        <f t="shared" ref="L112:L128" si="57">E112/12</f>
        <v>#VALUE!</v>
      </c>
      <c r="M112" s="298" t="e">
        <f t="shared" ref="M112:M128" si="58">E112/12</f>
        <v>#VALUE!</v>
      </c>
      <c r="N112" s="298" t="e">
        <f t="shared" ref="N112:N128" si="59">E112/12</f>
        <v>#VALUE!</v>
      </c>
      <c r="O112" s="305" t="e">
        <f t="shared" ref="O112:O128" si="60">E112/12</f>
        <v>#VALUE!</v>
      </c>
      <c r="P112" s="305" t="e">
        <f t="shared" ref="P112:P128" si="61">E112/12</f>
        <v>#VALUE!</v>
      </c>
      <c r="Q112" s="305" t="e">
        <f t="shared" ref="Q112:Q128" si="62">E112/12</f>
        <v>#VALUE!</v>
      </c>
      <c r="R112" s="306" t="e">
        <f t="shared" ref="R112:R128" si="63">SUM(F112:Q112)</f>
        <v>#VALUE!</v>
      </c>
      <c r="S112" s="290" t="e">
        <f t="shared" ref="S112:S128" si="64">R112-E112</f>
        <v>#VALUE!</v>
      </c>
      <c r="T112" s="290"/>
    </row>
    <row r="113" spans="1:20" s="251" customFormat="1" ht="12.75" x14ac:dyDescent="0.25">
      <c r="A113" s="258">
        <v>98</v>
      </c>
      <c r="B113" s="301" t="s">
        <v>355</v>
      </c>
      <c r="C113" s="307">
        <v>25757</v>
      </c>
      <c r="D113" s="303">
        <f t="shared" si="49"/>
        <v>0.54238440244219333</v>
      </c>
      <c r="E113" s="304" t="e">
        <f t="shared" si="50"/>
        <v>#VALUE!</v>
      </c>
      <c r="F113" s="302" t="e">
        <f t="shared" si="51"/>
        <v>#VALUE!</v>
      </c>
      <c r="G113" s="298" t="e">
        <f t="shared" si="52"/>
        <v>#VALUE!</v>
      </c>
      <c r="H113" s="298" t="e">
        <f t="shared" si="53"/>
        <v>#VALUE!</v>
      </c>
      <c r="I113" s="298" t="e">
        <f t="shared" si="54"/>
        <v>#VALUE!</v>
      </c>
      <c r="J113" s="298" t="e">
        <f t="shared" si="55"/>
        <v>#VALUE!</v>
      </c>
      <c r="K113" s="298" t="e">
        <f t="shared" si="56"/>
        <v>#VALUE!</v>
      </c>
      <c r="L113" s="298" t="e">
        <f t="shared" si="57"/>
        <v>#VALUE!</v>
      </c>
      <c r="M113" s="298" t="e">
        <f t="shared" si="58"/>
        <v>#VALUE!</v>
      </c>
      <c r="N113" s="298" t="e">
        <f t="shared" si="59"/>
        <v>#VALUE!</v>
      </c>
      <c r="O113" s="305" t="e">
        <f t="shared" si="60"/>
        <v>#VALUE!</v>
      </c>
      <c r="P113" s="305" t="e">
        <f t="shared" si="61"/>
        <v>#VALUE!</v>
      </c>
      <c r="Q113" s="305" t="e">
        <f t="shared" si="62"/>
        <v>#VALUE!</v>
      </c>
      <c r="R113" s="306" t="e">
        <f t="shared" si="63"/>
        <v>#VALUE!</v>
      </c>
      <c r="S113" s="290" t="e">
        <f t="shared" si="64"/>
        <v>#VALUE!</v>
      </c>
      <c r="T113" s="290"/>
    </row>
    <row r="114" spans="1:20" s="251" customFormat="1" ht="12.75" x14ac:dyDescent="0.25">
      <c r="A114" s="278">
        <v>99</v>
      </c>
      <c r="B114" s="301" t="s">
        <v>139</v>
      </c>
      <c r="C114" s="307">
        <v>14329</v>
      </c>
      <c r="D114" s="303">
        <f t="shared" si="49"/>
        <v>0.30173646397461618</v>
      </c>
      <c r="E114" s="304" t="e">
        <f t="shared" si="50"/>
        <v>#VALUE!</v>
      </c>
      <c r="F114" s="302" t="e">
        <f t="shared" si="51"/>
        <v>#VALUE!</v>
      </c>
      <c r="G114" s="298" t="e">
        <f t="shared" si="52"/>
        <v>#VALUE!</v>
      </c>
      <c r="H114" s="298" t="e">
        <f t="shared" si="53"/>
        <v>#VALUE!</v>
      </c>
      <c r="I114" s="298" t="e">
        <f t="shared" si="54"/>
        <v>#VALUE!</v>
      </c>
      <c r="J114" s="298" t="e">
        <f t="shared" si="55"/>
        <v>#VALUE!</v>
      </c>
      <c r="K114" s="298" t="e">
        <f t="shared" si="56"/>
        <v>#VALUE!</v>
      </c>
      <c r="L114" s="298" t="e">
        <f t="shared" si="57"/>
        <v>#VALUE!</v>
      </c>
      <c r="M114" s="298" t="e">
        <f t="shared" si="58"/>
        <v>#VALUE!</v>
      </c>
      <c r="N114" s="298" t="e">
        <f t="shared" si="59"/>
        <v>#VALUE!</v>
      </c>
      <c r="O114" s="305" t="e">
        <f t="shared" si="60"/>
        <v>#VALUE!</v>
      </c>
      <c r="P114" s="305" t="e">
        <f t="shared" si="61"/>
        <v>#VALUE!</v>
      </c>
      <c r="Q114" s="305" t="e">
        <f t="shared" si="62"/>
        <v>#VALUE!</v>
      </c>
      <c r="R114" s="306" t="e">
        <f t="shared" si="63"/>
        <v>#VALUE!</v>
      </c>
      <c r="S114" s="290" t="e">
        <f t="shared" si="64"/>
        <v>#VALUE!</v>
      </c>
      <c r="T114" s="290"/>
    </row>
    <row r="115" spans="1:20" s="251" customFormat="1" ht="12.75" x14ac:dyDescent="0.25">
      <c r="A115" s="258">
        <v>100</v>
      </c>
      <c r="B115" s="301" t="s">
        <v>125</v>
      </c>
      <c r="C115" s="307">
        <v>14911</v>
      </c>
      <c r="D115" s="303">
        <f t="shared" si="49"/>
        <v>0.31399207302152987</v>
      </c>
      <c r="E115" s="304" t="e">
        <f t="shared" si="50"/>
        <v>#VALUE!</v>
      </c>
      <c r="F115" s="302" t="e">
        <f t="shared" si="51"/>
        <v>#VALUE!</v>
      </c>
      <c r="G115" s="298" t="e">
        <f t="shared" si="52"/>
        <v>#VALUE!</v>
      </c>
      <c r="H115" s="298" t="e">
        <f t="shared" si="53"/>
        <v>#VALUE!</v>
      </c>
      <c r="I115" s="298" t="e">
        <f t="shared" si="54"/>
        <v>#VALUE!</v>
      </c>
      <c r="J115" s="298" t="e">
        <f t="shared" si="55"/>
        <v>#VALUE!</v>
      </c>
      <c r="K115" s="298" t="e">
        <f t="shared" si="56"/>
        <v>#VALUE!</v>
      </c>
      <c r="L115" s="298" t="e">
        <f t="shared" si="57"/>
        <v>#VALUE!</v>
      </c>
      <c r="M115" s="298" t="e">
        <f t="shared" si="58"/>
        <v>#VALUE!</v>
      </c>
      <c r="N115" s="298" t="e">
        <f t="shared" si="59"/>
        <v>#VALUE!</v>
      </c>
      <c r="O115" s="305" t="e">
        <f t="shared" si="60"/>
        <v>#VALUE!</v>
      </c>
      <c r="P115" s="305" t="e">
        <f t="shared" si="61"/>
        <v>#VALUE!</v>
      </c>
      <c r="Q115" s="305" t="e">
        <f t="shared" si="62"/>
        <v>#VALUE!</v>
      </c>
      <c r="R115" s="306" t="e">
        <f t="shared" si="63"/>
        <v>#VALUE!</v>
      </c>
      <c r="S115" s="290" t="e">
        <f t="shared" si="64"/>
        <v>#VALUE!</v>
      </c>
      <c r="T115" s="290"/>
    </row>
    <row r="116" spans="1:20" s="251" customFormat="1" ht="12.75" x14ac:dyDescent="0.25">
      <c r="A116" s="278">
        <v>101</v>
      </c>
      <c r="B116" s="301" t="s">
        <v>66</v>
      </c>
      <c r="C116" s="307">
        <v>8855</v>
      </c>
      <c r="D116" s="303">
        <f t="shared" si="49"/>
        <v>0.18646635414161672</v>
      </c>
      <c r="E116" s="304" t="e">
        <f t="shared" si="50"/>
        <v>#VALUE!</v>
      </c>
      <c r="F116" s="302" t="e">
        <f t="shared" si="51"/>
        <v>#VALUE!</v>
      </c>
      <c r="G116" s="298" t="e">
        <f t="shared" si="52"/>
        <v>#VALUE!</v>
      </c>
      <c r="H116" s="298" t="e">
        <f t="shared" si="53"/>
        <v>#VALUE!</v>
      </c>
      <c r="I116" s="298" t="e">
        <f t="shared" si="54"/>
        <v>#VALUE!</v>
      </c>
      <c r="J116" s="298" t="e">
        <f t="shared" si="55"/>
        <v>#VALUE!</v>
      </c>
      <c r="K116" s="298" t="e">
        <f t="shared" si="56"/>
        <v>#VALUE!</v>
      </c>
      <c r="L116" s="298" t="e">
        <f t="shared" si="57"/>
        <v>#VALUE!</v>
      </c>
      <c r="M116" s="298" t="e">
        <f t="shared" si="58"/>
        <v>#VALUE!</v>
      </c>
      <c r="N116" s="298" t="e">
        <f t="shared" si="59"/>
        <v>#VALUE!</v>
      </c>
      <c r="O116" s="305" t="e">
        <f t="shared" si="60"/>
        <v>#VALUE!</v>
      </c>
      <c r="P116" s="305" t="e">
        <f t="shared" si="61"/>
        <v>#VALUE!</v>
      </c>
      <c r="Q116" s="305" t="e">
        <f t="shared" si="62"/>
        <v>#VALUE!</v>
      </c>
      <c r="R116" s="306" t="e">
        <f t="shared" si="63"/>
        <v>#VALUE!</v>
      </c>
      <c r="S116" s="290" t="e">
        <f t="shared" si="64"/>
        <v>#VALUE!</v>
      </c>
      <c r="T116" s="290"/>
    </row>
    <row r="117" spans="1:20" s="251" customFormat="1" ht="12.75" x14ac:dyDescent="0.25">
      <c r="A117" s="258">
        <v>102</v>
      </c>
      <c r="B117" s="301" t="s">
        <v>117</v>
      </c>
      <c r="C117" s="307">
        <v>356786</v>
      </c>
      <c r="D117" s="303">
        <f t="shared" si="49"/>
        <v>7.5131095007081719</v>
      </c>
      <c r="E117" s="304" t="e">
        <f t="shared" si="50"/>
        <v>#VALUE!</v>
      </c>
      <c r="F117" s="302" t="e">
        <f t="shared" si="51"/>
        <v>#VALUE!</v>
      </c>
      <c r="G117" s="298" t="e">
        <f t="shared" si="52"/>
        <v>#VALUE!</v>
      </c>
      <c r="H117" s="298" t="e">
        <f t="shared" si="53"/>
        <v>#VALUE!</v>
      </c>
      <c r="I117" s="298" t="e">
        <f t="shared" si="54"/>
        <v>#VALUE!</v>
      </c>
      <c r="J117" s="298" t="e">
        <f t="shared" si="55"/>
        <v>#VALUE!</v>
      </c>
      <c r="K117" s="298" t="e">
        <f t="shared" si="56"/>
        <v>#VALUE!</v>
      </c>
      <c r="L117" s="298" t="e">
        <f t="shared" si="57"/>
        <v>#VALUE!</v>
      </c>
      <c r="M117" s="298" t="e">
        <f t="shared" si="58"/>
        <v>#VALUE!</v>
      </c>
      <c r="N117" s="298" t="e">
        <f t="shared" si="59"/>
        <v>#VALUE!</v>
      </c>
      <c r="O117" s="305" t="e">
        <f t="shared" si="60"/>
        <v>#VALUE!</v>
      </c>
      <c r="P117" s="305" t="e">
        <f t="shared" si="61"/>
        <v>#VALUE!</v>
      </c>
      <c r="Q117" s="305" t="e">
        <f t="shared" si="62"/>
        <v>#VALUE!</v>
      </c>
      <c r="R117" s="306" t="e">
        <f t="shared" si="63"/>
        <v>#VALUE!</v>
      </c>
      <c r="S117" s="290" t="e">
        <f t="shared" si="64"/>
        <v>#VALUE!</v>
      </c>
      <c r="T117" s="290"/>
    </row>
    <row r="118" spans="1:20" s="251" customFormat="1" ht="12.75" x14ac:dyDescent="0.25">
      <c r="A118" s="278">
        <v>103</v>
      </c>
      <c r="B118" s="301" t="s">
        <v>356</v>
      </c>
      <c r="C118" s="307">
        <v>23469</v>
      </c>
      <c r="D118" s="303">
        <f t="shared" si="49"/>
        <v>0.49420427615467</v>
      </c>
      <c r="E118" s="304" t="e">
        <f t="shared" si="50"/>
        <v>#VALUE!</v>
      </c>
      <c r="F118" s="302" t="e">
        <f t="shared" si="51"/>
        <v>#VALUE!</v>
      </c>
      <c r="G118" s="298" t="e">
        <f t="shared" si="52"/>
        <v>#VALUE!</v>
      </c>
      <c r="H118" s="298" t="e">
        <f t="shared" si="53"/>
        <v>#VALUE!</v>
      </c>
      <c r="I118" s="298" t="e">
        <f t="shared" si="54"/>
        <v>#VALUE!</v>
      </c>
      <c r="J118" s="298" t="e">
        <f t="shared" si="55"/>
        <v>#VALUE!</v>
      </c>
      <c r="K118" s="298" t="e">
        <f t="shared" si="56"/>
        <v>#VALUE!</v>
      </c>
      <c r="L118" s="298" t="e">
        <f t="shared" si="57"/>
        <v>#VALUE!</v>
      </c>
      <c r="M118" s="298" t="e">
        <f t="shared" si="58"/>
        <v>#VALUE!</v>
      </c>
      <c r="N118" s="298" t="e">
        <f t="shared" si="59"/>
        <v>#VALUE!</v>
      </c>
      <c r="O118" s="305" t="e">
        <f t="shared" si="60"/>
        <v>#VALUE!</v>
      </c>
      <c r="P118" s="305" t="e">
        <f t="shared" si="61"/>
        <v>#VALUE!</v>
      </c>
      <c r="Q118" s="305" t="e">
        <f t="shared" si="62"/>
        <v>#VALUE!</v>
      </c>
      <c r="R118" s="306" t="e">
        <f t="shared" si="63"/>
        <v>#VALUE!</v>
      </c>
      <c r="S118" s="290" t="e">
        <f t="shared" si="64"/>
        <v>#VALUE!</v>
      </c>
      <c r="T118" s="290"/>
    </row>
    <row r="119" spans="1:20" s="251" customFormat="1" ht="12.75" x14ac:dyDescent="0.25">
      <c r="A119" s="258">
        <v>104</v>
      </c>
      <c r="B119" s="301" t="s">
        <v>109</v>
      </c>
      <c r="C119" s="307">
        <v>15864</v>
      </c>
      <c r="D119" s="303">
        <f t="shared" si="49"/>
        <v>0.33406010639216349</v>
      </c>
      <c r="E119" s="304" t="e">
        <f t="shared" si="50"/>
        <v>#VALUE!</v>
      </c>
      <c r="F119" s="302" t="e">
        <f t="shared" si="51"/>
        <v>#VALUE!</v>
      </c>
      <c r="G119" s="298" t="e">
        <f t="shared" si="52"/>
        <v>#VALUE!</v>
      </c>
      <c r="H119" s="298" t="e">
        <f t="shared" si="53"/>
        <v>#VALUE!</v>
      </c>
      <c r="I119" s="298" t="e">
        <f t="shared" si="54"/>
        <v>#VALUE!</v>
      </c>
      <c r="J119" s="298" t="e">
        <f t="shared" si="55"/>
        <v>#VALUE!</v>
      </c>
      <c r="K119" s="298" t="e">
        <f t="shared" si="56"/>
        <v>#VALUE!</v>
      </c>
      <c r="L119" s="298" t="e">
        <f t="shared" si="57"/>
        <v>#VALUE!</v>
      </c>
      <c r="M119" s="298" t="e">
        <f t="shared" si="58"/>
        <v>#VALUE!</v>
      </c>
      <c r="N119" s="298" t="e">
        <f t="shared" si="59"/>
        <v>#VALUE!</v>
      </c>
      <c r="O119" s="305" t="e">
        <f t="shared" si="60"/>
        <v>#VALUE!</v>
      </c>
      <c r="P119" s="305" t="e">
        <f t="shared" si="61"/>
        <v>#VALUE!</v>
      </c>
      <c r="Q119" s="305" t="e">
        <f t="shared" si="62"/>
        <v>#VALUE!</v>
      </c>
      <c r="R119" s="306" t="e">
        <f t="shared" si="63"/>
        <v>#VALUE!</v>
      </c>
      <c r="S119" s="290" t="e">
        <f t="shared" si="64"/>
        <v>#VALUE!</v>
      </c>
      <c r="T119" s="290"/>
    </row>
    <row r="120" spans="1:20" s="251" customFormat="1" ht="12.75" x14ac:dyDescent="0.25">
      <c r="A120" s="278">
        <v>105</v>
      </c>
      <c r="B120" s="301" t="s">
        <v>150</v>
      </c>
      <c r="C120" s="307">
        <v>20982</v>
      </c>
      <c r="D120" s="303">
        <f t="shared" si="49"/>
        <v>0.44183365811399233</v>
      </c>
      <c r="E120" s="304" t="e">
        <f t="shared" si="50"/>
        <v>#VALUE!</v>
      </c>
      <c r="F120" s="302" t="e">
        <f t="shared" si="51"/>
        <v>#VALUE!</v>
      </c>
      <c r="G120" s="298" t="e">
        <f t="shared" si="52"/>
        <v>#VALUE!</v>
      </c>
      <c r="H120" s="298" t="e">
        <f t="shared" si="53"/>
        <v>#VALUE!</v>
      </c>
      <c r="I120" s="298" t="e">
        <f t="shared" si="54"/>
        <v>#VALUE!</v>
      </c>
      <c r="J120" s="298" t="e">
        <f t="shared" si="55"/>
        <v>#VALUE!</v>
      </c>
      <c r="K120" s="298" t="e">
        <f t="shared" si="56"/>
        <v>#VALUE!</v>
      </c>
      <c r="L120" s="298" t="e">
        <f t="shared" si="57"/>
        <v>#VALUE!</v>
      </c>
      <c r="M120" s="298" t="e">
        <f t="shared" si="58"/>
        <v>#VALUE!</v>
      </c>
      <c r="N120" s="298" t="e">
        <f t="shared" si="59"/>
        <v>#VALUE!</v>
      </c>
      <c r="O120" s="305" t="e">
        <f t="shared" si="60"/>
        <v>#VALUE!</v>
      </c>
      <c r="P120" s="305" t="e">
        <f t="shared" si="61"/>
        <v>#VALUE!</v>
      </c>
      <c r="Q120" s="305" t="e">
        <f t="shared" si="62"/>
        <v>#VALUE!</v>
      </c>
      <c r="R120" s="306" t="e">
        <f t="shared" si="63"/>
        <v>#VALUE!</v>
      </c>
      <c r="S120" s="290" t="e">
        <f t="shared" si="64"/>
        <v>#VALUE!</v>
      </c>
      <c r="T120" s="290"/>
    </row>
    <row r="121" spans="1:20" s="251" customFormat="1" ht="12.75" x14ac:dyDescent="0.25">
      <c r="A121" s="258">
        <v>106</v>
      </c>
      <c r="B121" s="301" t="s">
        <v>357</v>
      </c>
      <c r="C121" s="307">
        <v>32303</v>
      </c>
      <c r="D121" s="303">
        <f t="shared" si="49"/>
        <v>0.68022841759871766</v>
      </c>
      <c r="E121" s="304" t="e">
        <f t="shared" si="50"/>
        <v>#VALUE!</v>
      </c>
      <c r="F121" s="302" t="e">
        <f t="shared" si="51"/>
        <v>#VALUE!</v>
      </c>
      <c r="G121" s="298" t="e">
        <f t="shared" si="52"/>
        <v>#VALUE!</v>
      </c>
      <c r="H121" s="298" t="e">
        <f t="shared" si="53"/>
        <v>#VALUE!</v>
      </c>
      <c r="I121" s="298" t="e">
        <f t="shared" si="54"/>
        <v>#VALUE!</v>
      </c>
      <c r="J121" s="298" t="e">
        <f t="shared" si="55"/>
        <v>#VALUE!</v>
      </c>
      <c r="K121" s="298" t="e">
        <f t="shared" si="56"/>
        <v>#VALUE!</v>
      </c>
      <c r="L121" s="298" t="e">
        <f t="shared" si="57"/>
        <v>#VALUE!</v>
      </c>
      <c r="M121" s="298" t="e">
        <f t="shared" si="58"/>
        <v>#VALUE!</v>
      </c>
      <c r="N121" s="298" t="e">
        <f t="shared" si="59"/>
        <v>#VALUE!</v>
      </c>
      <c r="O121" s="305" t="e">
        <f t="shared" si="60"/>
        <v>#VALUE!</v>
      </c>
      <c r="P121" s="305" t="e">
        <f t="shared" si="61"/>
        <v>#VALUE!</v>
      </c>
      <c r="Q121" s="305" t="e">
        <f t="shared" si="62"/>
        <v>#VALUE!</v>
      </c>
      <c r="R121" s="306" t="e">
        <f t="shared" si="63"/>
        <v>#VALUE!</v>
      </c>
      <c r="S121" s="290" t="e">
        <f t="shared" si="64"/>
        <v>#VALUE!</v>
      </c>
      <c r="T121" s="290"/>
    </row>
    <row r="122" spans="1:20" s="251" customFormat="1" ht="12.75" x14ac:dyDescent="0.25">
      <c r="A122" s="278">
        <v>107</v>
      </c>
      <c r="B122" s="301" t="s">
        <v>358</v>
      </c>
      <c r="C122" s="307">
        <v>76829</v>
      </c>
      <c r="D122" s="303">
        <f t="shared" si="49"/>
        <v>1.6178456829301266</v>
      </c>
      <c r="E122" s="304" t="e">
        <f t="shared" si="50"/>
        <v>#VALUE!</v>
      </c>
      <c r="F122" s="302" t="e">
        <f t="shared" si="51"/>
        <v>#VALUE!</v>
      </c>
      <c r="G122" s="298" t="e">
        <f t="shared" si="52"/>
        <v>#VALUE!</v>
      </c>
      <c r="H122" s="298" t="e">
        <f t="shared" si="53"/>
        <v>#VALUE!</v>
      </c>
      <c r="I122" s="298" t="e">
        <f t="shared" si="54"/>
        <v>#VALUE!</v>
      </c>
      <c r="J122" s="298" t="e">
        <f t="shared" si="55"/>
        <v>#VALUE!</v>
      </c>
      <c r="K122" s="298" t="e">
        <f t="shared" si="56"/>
        <v>#VALUE!</v>
      </c>
      <c r="L122" s="298" t="e">
        <f t="shared" si="57"/>
        <v>#VALUE!</v>
      </c>
      <c r="M122" s="298" t="e">
        <f t="shared" si="58"/>
        <v>#VALUE!</v>
      </c>
      <c r="N122" s="298" t="e">
        <f t="shared" si="59"/>
        <v>#VALUE!</v>
      </c>
      <c r="O122" s="305" t="e">
        <f t="shared" si="60"/>
        <v>#VALUE!</v>
      </c>
      <c r="P122" s="305" t="e">
        <f t="shared" si="61"/>
        <v>#VALUE!</v>
      </c>
      <c r="Q122" s="305" t="e">
        <f t="shared" si="62"/>
        <v>#VALUE!</v>
      </c>
      <c r="R122" s="306" t="e">
        <f t="shared" si="63"/>
        <v>#VALUE!</v>
      </c>
      <c r="S122" s="290" t="e">
        <f t="shared" si="64"/>
        <v>#VALUE!</v>
      </c>
      <c r="T122" s="290"/>
    </row>
    <row r="123" spans="1:20" s="251" customFormat="1" ht="12.75" x14ac:dyDescent="0.25">
      <c r="A123" s="258">
        <v>108</v>
      </c>
      <c r="B123" s="301" t="s">
        <v>149</v>
      </c>
      <c r="C123" s="307">
        <v>204860</v>
      </c>
      <c r="D123" s="303">
        <f t="shared" si="49"/>
        <v>4.313890153523614</v>
      </c>
      <c r="E123" s="304" t="e">
        <f t="shared" si="50"/>
        <v>#VALUE!</v>
      </c>
      <c r="F123" s="302" t="e">
        <f t="shared" si="51"/>
        <v>#VALUE!</v>
      </c>
      <c r="G123" s="298" t="e">
        <f t="shared" si="52"/>
        <v>#VALUE!</v>
      </c>
      <c r="H123" s="298" t="e">
        <f t="shared" si="53"/>
        <v>#VALUE!</v>
      </c>
      <c r="I123" s="298" t="e">
        <f t="shared" si="54"/>
        <v>#VALUE!</v>
      </c>
      <c r="J123" s="298" t="e">
        <f t="shared" si="55"/>
        <v>#VALUE!</v>
      </c>
      <c r="K123" s="298" t="e">
        <f t="shared" si="56"/>
        <v>#VALUE!</v>
      </c>
      <c r="L123" s="298" t="e">
        <f t="shared" si="57"/>
        <v>#VALUE!</v>
      </c>
      <c r="M123" s="298" t="e">
        <f t="shared" si="58"/>
        <v>#VALUE!</v>
      </c>
      <c r="N123" s="298" t="e">
        <f t="shared" si="59"/>
        <v>#VALUE!</v>
      </c>
      <c r="O123" s="305" t="e">
        <f t="shared" si="60"/>
        <v>#VALUE!</v>
      </c>
      <c r="P123" s="305" t="e">
        <f t="shared" si="61"/>
        <v>#VALUE!</v>
      </c>
      <c r="Q123" s="305" t="e">
        <f t="shared" si="62"/>
        <v>#VALUE!</v>
      </c>
      <c r="R123" s="306" t="e">
        <f t="shared" si="63"/>
        <v>#VALUE!</v>
      </c>
      <c r="S123" s="290" t="e">
        <f t="shared" si="64"/>
        <v>#VALUE!</v>
      </c>
      <c r="T123" s="290"/>
    </row>
    <row r="124" spans="1:20" s="251" customFormat="1" ht="12.75" x14ac:dyDescent="0.25">
      <c r="A124" s="278">
        <v>109</v>
      </c>
      <c r="B124" s="301" t="s">
        <v>50</v>
      </c>
      <c r="C124" s="307">
        <v>3232</v>
      </c>
      <c r="D124" s="303">
        <f t="shared" si="49"/>
        <v>6.8058639930627357E-2</v>
      </c>
      <c r="E124" s="304" t="e">
        <f t="shared" si="50"/>
        <v>#VALUE!</v>
      </c>
      <c r="F124" s="302" t="e">
        <f t="shared" si="51"/>
        <v>#VALUE!</v>
      </c>
      <c r="G124" s="298" t="e">
        <f t="shared" si="52"/>
        <v>#VALUE!</v>
      </c>
      <c r="H124" s="298" t="e">
        <f t="shared" si="53"/>
        <v>#VALUE!</v>
      </c>
      <c r="I124" s="298" t="e">
        <f t="shared" si="54"/>
        <v>#VALUE!</v>
      </c>
      <c r="J124" s="298" t="e">
        <f t="shared" si="55"/>
        <v>#VALUE!</v>
      </c>
      <c r="K124" s="298" t="e">
        <f t="shared" si="56"/>
        <v>#VALUE!</v>
      </c>
      <c r="L124" s="298" t="e">
        <f t="shared" si="57"/>
        <v>#VALUE!</v>
      </c>
      <c r="M124" s="298" t="e">
        <f t="shared" si="58"/>
        <v>#VALUE!</v>
      </c>
      <c r="N124" s="298" t="e">
        <f t="shared" si="59"/>
        <v>#VALUE!</v>
      </c>
      <c r="O124" s="305" t="e">
        <f t="shared" si="60"/>
        <v>#VALUE!</v>
      </c>
      <c r="P124" s="305" t="e">
        <f t="shared" si="61"/>
        <v>#VALUE!</v>
      </c>
      <c r="Q124" s="305" t="e">
        <f t="shared" si="62"/>
        <v>#VALUE!</v>
      </c>
      <c r="R124" s="306" t="e">
        <f t="shared" si="63"/>
        <v>#VALUE!</v>
      </c>
      <c r="S124" s="290" t="e">
        <f t="shared" si="64"/>
        <v>#VALUE!</v>
      </c>
      <c r="T124" s="290"/>
    </row>
    <row r="125" spans="1:20" s="251" customFormat="1" ht="12.75" x14ac:dyDescent="0.25">
      <c r="A125" s="258">
        <v>110</v>
      </c>
      <c r="B125" s="301" t="s">
        <v>111</v>
      </c>
      <c r="C125" s="307">
        <v>49005</v>
      </c>
      <c r="D125" s="303">
        <f t="shared" si="49"/>
        <v>1.0319349163986367</v>
      </c>
      <c r="E125" s="304" t="e">
        <f t="shared" si="50"/>
        <v>#VALUE!</v>
      </c>
      <c r="F125" s="302" t="e">
        <f t="shared" si="51"/>
        <v>#VALUE!</v>
      </c>
      <c r="G125" s="298" t="e">
        <f t="shared" si="52"/>
        <v>#VALUE!</v>
      </c>
      <c r="H125" s="298" t="e">
        <f t="shared" si="53"/>
        <v>#VALUE!</v>
      </c>
      <c r="I125" s="298" t="e">
        <f t="shared" si="54"/>
        <v>#VALUE!</v>
      </c>
      <c r="J125" s="298" t="e">
        <f t="shared" si="55"/>
        <v>#VALUE!</v>
      </c>
      <c r="K125" s="298" t="e">
        <f t="shared" si="56"/>
        <v>#VALUE!</v>
      </c>
      <c r="L125" s="298" t="e">
        <f t="shared" si="57"/>
        <v>#VALUE!</v>
      </c>
      <c r="M125" s="298" t="e">
        <f t="shared" si="58"/>
        <v>#VALUE!</v>
      </c>
      <c r="N125" s="298" t="e">
        <f t="shared" si="59"/>
        <v>#VALUE!</v>
      </c>
      <c r="O125" s="305" t="e">
        <f t="shared" si="60"/>
        <v>#VALUE!</v>
      </c>
      <c r="P125" s="305" t="e">
        <f t="shared" si="61"/>
        <v>#VALUE!</v>
      </c>
      <c r="Q125" s="305" t="e">
        <f t="shared" si="62"/>
        <v>#VALUE!</v>
      </c>
      <c r="R125" s="306" t="e">
        <f t="shared" si="63"/>
        <v>#VALUE!</v>
      </c>
      <c r="S125" s="290" t="e">
        <f t="shared" si="64"/>
        <v>#VALUE!</v>
      </c>
      <c r="T125" s="290"/>
    </row>
    <row r="126" spans="1:20" s="251" customFormat="1" ht="12.75" x14ac:dyDescent="0.25">
      <c r="A126" s="278">
        <v>111</v>
      </c>
      <c r="B126" s="301" t="s">
        <v>140</v>
      </c>
      <c r="C126" s="307">
        <v>18402</v>
      </c>
      <c r="D126" s="303">
        <f t="shared" si="49"/>
        <v>0.38750466955550888</v>
      </c>
      <c r="E126" s="304" t="e">
        <f t="shared" si="50"/>
        <v>#VALUE!</v>
      </c>
      <c r="F126" s="302" t="e">
        <f t="shared" si="51"/>
        <v>#VALUE!</v>
      </c>
      <c r="G126" s="298" t="e">
        <f t="shared" si="52"/>
        <v>#VALUE!</v>
      </c>
      <c r="H126" s="298" t="e">
        <f t="shared" si="53"/>
        <v>#VALUE!</v>
      </c>
      <c r="I126" s="298" t="e">
        <f t="shared" si="54"/>
        <v>#VALUE!</v>
      </c>
      <c r="J126" s="298" t="e">
        <f t="shared" si="55"/>
        <v>#VALUE!</v>
      </c>
      <c r="K126" s="298" t="e">
        <f t="shared" si="56"/>
        <v>#VALUE!</v>
      </c>
      <c r="L126" s="298" t="e">
        <f t="shared" si="57"/>
        <v>#VALUE!</v>
      </c>
      <c r="M126" s="298" t="e">
        <f t="shared" si="58"/>
        <v>#VALUE!</v>
      </c>
      <c r="N126" s="298" t="e">
        <f t="shared" si="59"/>
        <v>#VALUE!</v>
      </c>
      <c r="O126" s="305" t="e">
        <f t="shared" si="60"/>
        <v>#VALUE!</v>
      </c>
      <c r="P126" s="305" t="e">
        <f t="shared" si="61"/>
        <v>#VALUE!</v>
      </c>
      <c r="Q126" s="305" t="e">
        <f t="shared" si="62"/>
        <v>#VALUE!</v>
      </c>
      <c r="R126" s="306" t="e">
        <f t="shared" si="63"/>
        <v>#VALUE!</v>
      </c>
      <c r="S126" s="290" t="e">
        <f t="shared" si="64"/>
        <v>#VALUE!</v>
      </c>
      <c r="T126" s="290"/>
    </row>
    <row r="127" spans="1:20" s="251" customFormat="1" ht="12.75" x14ac:dyDescent="0.25">
      <c r="A127" s="258">
        <v>112</v>
      </c>
      <c r="B127" s="301" t="s">
        <v>142</v>
      </c>
      <c r="C127" s="307">
        <v>157056</v>
      </c>
      <c r="D127" s="303">
        <f t="shared" si="49"/>
        <v>3.3072455918764265</v>
      </c>
      <c r="E127" s="304" t="e">
        <f t="shared" si="50"/>
        <v>#VALUE!</v>
      </c>
      <c r="F127" s="302" t="e">
        <f t="shared" si="51"/>
        <v>#VALUE!</v>
      </c>
      <c r="G127" s="298" t="e">
        <f t="shared" si="52"/>
        <v>#VALUE!</v>
      </c>
      <c r="H127" s="298" t="e">
        <f t="shared" si="53"/>
        <v>#VALUE!</v>
      </c>
      <c r="I127" s="298" t="e">
        <f t="shared" si="54"/>
        <v>#VALUE!</v>
      </c>
      <c r="J127" s="298" t="e">
        <f t="shared" si="55"/>
        <v>#VALUE!</v>
      </c>
      <c r="K127" s="298" t="e">
        <f t="shared" si="56"/>
        <v>#VALUE!</v>
      </c>
      <c r="L127" s="298" t="e">
        <f t="shared" si="57"/>
        <v>#VALUE!</v>
      </c>
      <c r="M127" s="298" t="e">
        <f t="shared" si="58"/>
        <v>#VALUE!</v>
      </c>
      <c r="N127" s="298" t="e">
        <f t="shared" si="59"/>
        <v>#VALUE!</v>
      </c>
      <c r="O127" s="305" t="e">
        <f t="shared" si="60"/>
        <v>#VALUE!</v>
      </c>
      <c r="P127" s="305" t="e">
        <f t="shared" si="61"/>
        <v>#VALUE!</v>
      </c>
      <c r="Q127" s="305" t="e">
        <f t="shared" si="62"/>
        <v>#VALUE!</v>
      </c>
      <c r="R127" s="306" t="e">
        <f t="shared" si="63"/>
        <v>#VALUE!</v>
      </c>
      <c r="S127" s="290" t="e">
        <f t="shared" si="64"/>
        <v>#VALUE!</v>
      </c>
      <c r="T127" s="290"/>
    </row>
    <row r="128" spans="1:20" s="251" customFormat="1" ht="12.75" x14ac:dyDescent="0.25">
      <c r="A128" s="278">
        <v>113</v>
      </c>
      <c r="B128" s="301" t="s">
        <v>101</v>
      </c>
      <c r="C128" s="307">
        <v>26213</v>
      </c>
      <c r="D128" s="303">
        <f t="shared" si="49"/>
        <v>0.55198673530369269</v>
      </c>
      <c r="E128" s="304" t="e">
        <f t="shared" si="50"/>
        <v>#VALUE!</v>
      </c>
      <c r="F128" s="302" t="e">
        <f t="shared" si="51"/>
        <v>#VALUE!</v>
      </c>
      <c r="G128" s="298" t="e">
        <f t="shared" si="52"/>
        <v>#VALUE!</v>
      </c>
      <c r="H128" s="298" t="e">
        <f t="shared" si="53"/>
        <v>#VALUE!</v>
      </c>
      <c r="I128" s="298" t="e">
        <f t="shared" si="54"/>
        <v>#VALUE!</v>
      </c>
      <c r="J128" s="298" t="e">
        <f t="shared" si="55"/>
        <v>#VALUE!</v>
      </c>
      <c r="K128" s="298" t="e">
        <f t="shared" si="56"/>
        <v>#VALUE!</v>
      </c>
      <c r="L128" s="298" t="e">
        <f t="shared" si="57"/>
        <v>#VALUE!</v>
      </c>
      <c r="M128" s="298" t="e">
        <f t="shared" si="58"/>
        <v>#VALUE!</v>
      </c>
      <c r="N128" s="298" t="e">
        <f t="shared" si="59"/>
        <v>#VALUE!</v>
      </c>
      <c r="O128" s="305" t="e">
        <f t="shared" si="60"/>
        <v>#VALUE!</v>
      </c>
      <c r="P128" s="305" t="e">
        <f t="shared" si="61"/>
        <v>#VALUE!</v>
      </c>
      <c r="Q128" s="305" t="e">
        <f t="shared" si="62"/>
        <v>#VALUE!</v>
      </c>
      <c r="R128" s="306" t="e">
        <f t="shared" si="63"/>
        <v>#VALUE!</v>
      </c>
      <c r="S128" s="290" t="e">
        <f t="shared" si="64"/>
        <v>#VALUE!</v>
      </c>
      <c r="T128" s="290"/>
    </row>
    <row r="129" spans="1:18" s="255" customFormat="1" ht="12.75" x14ac:dyDescent="0.25">
      <c r="A129" s="296"/>
      <c r="B129" s="308" t="s">
        <v>156</v>
      </c>
      <c r="C129" s="309">
        <f t="shared" ref="C129:R129" si="65">SUM(C16:C128)</f>
        <v>4748846</v>
      </c>
      <c r="D129" s="310">
        <f t="shared" si="65"/>
        <v>100.00000000000004</v>
      </c>
      <c r="E129" s="311" t="e">
        <f t="shared" si="65"/>
        <v>#VALUE!</v>
      </c>
      <c r="F129" s="309" t="e">
        <f t="shared" si="65"/>
        <v>#VALUE!</v>
      </c>
      <c r="G129" s="309" t="e">
        <f t="shared" si="65"/>
        <v>#VALUE!</v>
      </c>
      <c r="H129" s="309" t="e">
        <f t="shared" si="65"/>
        <v>#VALUE!</v>
      </c>
      <c r="I129" s="309" t="e">
        <f t="shared" si="65"/>
        <v>#VALUE!</v>
      </c>
      <c r="J129" s="309" t="e">
        <f t="shared" si="65"/>
        <v>#VALUE!</v>
      </c>
      <c r="K129" s="309" t="e">
        <f t="shared" si="65"/>
        <v>#VALUE!</v>
      </c>
      <c r="L129" s="309" t="e">
        <f t="shared" si="65"/>
        <v>#VALUE!</v>
      </c>
      <c r="M129" s="309" t="e">
        <f t="shared" si="65"/>
        <v>#VALUE!</v>
      </c>
      <c r="N129" s="309" t="e">
        <f t="shared" si="65"/>
        <v>#VALUE!</v>
      </c>
      <c r="O129" s="309" t="e">
        <f t="shared" si="65"/>
        <v>#VALUE!</v>
      </c>
      <c r="P129" s="309" t="e">
        <f t="shared" si="65"/>
        <v>#VALUE!</v>
      </c>
      <c r="Q129" s="309" t="e">
        <f t="shared" si="65"/>
        <v>#VALUE!</v>
      </c>
      <c r="R129" s="309" t="e">
        <f t="shared" si="65"/>
        <v>#VALUE!</v>
      </c>
    </row>
    <row r="130" spans="1:18" s="251" customFormat="1" ht="12.75" x14ac:dyDescent="0.25">
      <c r="C130" s="290">
        <f t="shared" ref="C130:R130" si="66">C15-C129</f>
        <v>0</v>
      </c>
      <c r="D130" s="290">
        <f t="shared" si="66"/>
        <v>0</v>
      </c>
      <c r="E130" s="290" t="e">
        <f t="shared" si="66"/>
        <v>#VALUE!</v>
      </c>
      <c r="F130" s="290" t="e">
        <f t="shared" si="66"/>
        <v>#VALUE!</v>
      </c>
      <c r="G130" s="290" t="e">
        <f t="shared" si="66"/>
        <v>#VALUE!</v>
      </c>
      <c r="H130" s="290" t="e">
        <f t="shared" si="66"/>
        <v>#VALUE!</v>
      </c>
      <c r="I130" s="290" t="e">
        <f t="shared" si="66"/>
        <v>#VALUE!</v>
      </c>
      <c r="J130" s="290" t="e">
        <f t="shared" si="66"/>
        <v>#VALUE!</v>
      </c>
      <c r="K130" s="290" t="e">
        <f t="shared" si="66"/>
        <v>#VALUE!</v>
      </c>
      <c r="L130" s="290" t="e">
        <f t="shared" si="66"/>
        <v>#VALUE!</v>
      </c>
      <c r="M130" s="290" t="e">
        <f t="shared" si="66"/>
        <v>#VALUE!</v>
      </c>
      <c r="N130" s="290" t="e">
        <f t="shared" si="66"/>
        <v>#VALUE!</v>
      </c>
      <c r="O130" s="290" t="e">
        <f t="shared" si="66"/>
        <v>#VALUE!</v>
      </c>
      <c r="P130" s="290" t="e">
        <f t="shared" si="66"/>
        <v>#VALUE!</v>
      </c>
      <c r="Q130" s="290" t="e">
        <f t="shared" si="66"/>
        <v>#VALUE!</v>
      </c>
      <c r="R130" s="290" t="e">
        <f t="shared" si="66"/>
        <v>#VALUE!</v>
      </c>
    </row>
    <row r="131" spans="1:18" s="251" customFormat="1" ht="12.75" x14ac:dyDescent="0.25"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</row>
    <row r="132" spans="1:18" s="251" customFormat="1" ht="12.75" x14ac:dyDescent="0.25"/>
    <row r="133" spans="1:18" s="251" customFormat="1" ht="12.75" x14ac:dyDescent="0.25"/>
    <row r="134" spans="1:18" s="251" customFormat="1" ht="12.75" x14ac:dyDescent="0.25"/>
    <row r="135" spans="1:18" s="251" customFormat="1" ht="12.75" x14ac:dyDescent="0.25">
      <c r="A135" s="251" t="s">
        <v>7</v>
      </c>
      <c r="B135" s="251" t="s">
        <v>7</v>
      </c>
    </row>
    <row r="136" spans="1:18" s="251" customFormat="1" ht="12.75" x14ac:dyDescent="0.25">
      <c r="A136" s="251" t="s">
        <v>7</v>
      </c>
      <c r="B136" s="251" t="s">
        <v>7</v>
      </c>
    </row>
    <row r="137" spans="1:18" s="251" customFormat="1" ht="12.75" x14ac:dyDescent="0.25"/>
    <row r="138" spans="1:18" s="251" customFormat="1" ht="12.75" x14ac:dyDescent="0.25"/>
    <row r="139" spans="1:18" s="251" customFormat="1" ht="12.75" x14ac:dyDescent="0.25"/>
    <row r="140" spans="1:18" s="251" customFormat="1" ht="12.75" x14ac:dyDescent="0.25"/>
    <row r="141" spans="1:18" s="251" customFormat="1" ht="12.75" x14ac:dyDescent="0.25"/>
    <row r="142" spans="1:18" s="251" customFormat="1" ht="12.75" x14ac:dyDescent="0.25"/>
    <row r="143" spans="1:18" s="251" customFormat="1" ht="12.75" x14ac:dyDescent="0.25"/>
    <row r="144" spans="1:18" s="251" customFormat="1" ht="12.75" x14ac:dyDescent="0.25"/>
    <row r="145" s="251" customFormat="1" ht="12.75" x14ac:dyDescent="0.25"/>
    <row r="146" s="251" customFormat="1" ht="12.75" x14ac:dyDescent="0.25"/>
    <row r="147" s="251" customFormat="1" ht="12.75" x14ac:dyDescent="0.25"/>
    <row r="148" s="251" customFormat="1" ht="12.75" x14ac:dyDescent="0.25"/>
    <row r="149" s="251" customFormat="1" ht="12.75" x14ac:dyDescent="0.25"/>
    <row r="150" s="251" customFormat="1" ht="12.75" x14ac:dyDescent="0.25"/>
    <row r="151" s="251" customFormat="1" ht="12.75" x14ac:dyDescent="0.25"/>
    <row r="152" s="251" customFormat="1" ht="12.75" x14ac:dyDescent="0.25"/>
    <row r="153" s="251" customFormat="1" ht="12.75" x14ac:dyDescent="0.25"/>
    <row r="154" s="251" customFormat="1" ht="12.75" x14ac:dyDescent="0.25"/>
    <row r="155" s="251" customFormat="1" ht="12.75" x14ac:dyDescent="0.25"/>
    <row r="156" s="251" customFormat="1" ht="12.75" x14ac:dyDescent="0.25"/>
    <row r="157" s="251" customFormat="1" ht="12.75" x14ac:dyDescent="0.25"/>
    <row r="158" s="251" customFormat="1" ht="12.75" x14ac:dyDescent="0.25"/>
    <row r="159" s="251" customFormat="1" ht="12.75" x14ac:dyDescent="0.25"/>
    <row r="160" s="251" customFormat="1" ht="12.75" x14ac:dyDescent="0.25"/>
    <row r="161" s="251" customFormat="1" ht="12.75" x14ac:dyDescent="0.25"/>
    <row r="162" s="251" customFormat="1" ht="12.75" x14ac:dyDescent="0.25"/>
    <row r="163" s="251" customFormat="1" ht="12.75" x14ac:dyDescent="0.25"/>
    <row r="164" s="251" customFormat="1" ht="12.75" x14ac:dyDescent="0.25"/>
    <row r="165" s="251" customFormat="1" ht="12.75" x14ac:dyDescent="0.25"/>
    <row r="166" s="251" customFormat="1" ht="12.75" x14ac:dyDescent="0.25"/>
    <row r="167" s="251" customFormat="1" ht="12.75" x14ac:dyDescent="0.25"/>
    <row r="168" s="251" customFormat="1" ht="12.75" x14ac:dyDescent="0.25"/>
    <row r="169" s="251" customFormat="1" ht="12.75" x14ac:dyDescent="0.25"/>
    <row r="170" s="251" customFormat="1" ht="12.75" x14ac:dyDescent="0.25"/>
    <row r="171" s="251" customFormat="1" ht="12.75" x14ac:dyDescent="0.25"/>
    <row r="172" s="251" customFormat="1" ht="12.75" x14ac:dyDescent="0.25"/>
    <row r="173" s="251" customFormat="1" ht="12.75" x14ac:dyDescent="0.25"/>
    <row r="174" s="251" customFormat="1" ht="12.75" x14ac:dyDescent="0.25"/>
    <row r="175" s="251" customFormat="1" ht="12.75" x14ac:dyDescent="0.25"/>
    <row r="176" s="251" customFormat="1" ht="12.75" x14ac:dyDescent="0.25"/>
    <row r="177" s="251" customFormat="1" ht="12.75" x14ac:dyDescent="0.25"/>
    <row r="178" s="251" customFormat="1" ht="12.75" x14ac:dyDescent="0.25"/>
    <row r="179" s="251" customFormat="1" ht="12.75" x14ac:dyDescent="0.25"/>
    <row r="180" s="251" customFormat="1" ht="12.75" x14ac:dyDescent="0.25"/>
    <row r="181" s="251" customFormat="1" ht="12.75" x14ac:dyDescent="0.25"/>
    <row r="182" s="251" customFormat="1" ht="12.75" x14ac:dyDescent="0.25"/>
    <row r="183" s="251" customFormat="1" ht="12.75" x14ac:dyDescent="0.25"/>
    <row r="184" s="251" customFormat="1" ht="12.75" x14ac:dyDescent="0.25"/>
    <row r="185" s="251" customFormat="1" ht="12.75" x14ac:dyDescent="0.25"/>
    <row r="186" s="251" customFormat="1" ht="12.75" x14ac:dyDescent="0.25"/>
    <row r="187" s="251" customFormat="1" ht="12.75" x14ac:dyDescent="0.25"/>
    <row r="188" s="251" customFormat="1" ht="12.75" x14ac:dyDescent="0.25"/>
    <row r="189" s="251" customFormat="1" ht="12.75" x14ac:dyDescent="0.25"/>
    <row r="190" s="251" customFormat="1" ht="12.75" x14ac:dyDescent="0.25"/>
    <row r="191" s="251" customFormat="1" ht="12.75" x14ac:dyDescent="0.25"/>
    <row r="192" s="251" customFormat="1" ht="12.75" x14ac:dyDescent="0.25"/>
    <row r="193" s="251" customFormat="1" ht="12.75" x14ac:dyDescent="0.25"/>
    <row r="194" s="251" customFormat="1" ht="12.75" x14ac:dyDescent="0.25"/>
    <row r="195" s="251" customFormat="1" ht="12.75" x14ac:dyDescent="0.25"/>
    <row r="196" s="251" customFormat="1" ht="12.75" x14ac:dyDescent="0.25"/>
    <row r="197" s="251" customFormat="1" ht="12.75" x14ac:dyDescent="0.25"/>
    <row r="198" s="251" customFormat="1" ht="12.75" x14ac:dyDescent="0.25"/>
    <row r="199" s="251" customFormat="1" ht="12.75" x14ac:dyDescent="0.25"/>
    <row r="200" s="251" customFormat="1" ht="12.75" x14ac:dyDescent="0.25"/>
    <row r="201" s="251" customFormat="1" ht="12.75" x14ac:dyDescent="0.25"/>
    <row r="202" s="251" customFormat="1" ht="12.75" x14ac:dyDescent="0.25"/>
    <row r="203" s="251" customFormat="1" ht="12.75" x14ac:dyDescent="0.25"/>
    <row r="204" s="251" customFormat="1" ht="12.75" x14ac:dyDescent="0.25"/>
    <row r="205" s="251" customFormat="1" ht="12.75" x14ac:dyDescent="0.25"/>
    <row r="206" s="251" customFormat="1" ht="12.75" x14ac:dyDescent="0.25"/>
    <row r="207" s="251" customFormat="1" ht="12.75" x14ac:dyDescent="0.25"/>
    <row r="208" s="251" customFormat="1" ht="12.75" x14ac:dyDescent="0.25"/>
    <row r="209" s="251" customFormat="1" ht="12.75" x14ac:dyDescent="0.25"/>
    <row r="210" s="251" customFormat="1" ht="12.75" x14ac:dyDescent="0.25"/>
    <row r="211" s="251" customFormat="1" ht="12.75" x14ac:dyDescent="0.25"/>
    <row r="212" s="251" customFormat="1" ht="12.75" x14ac:dyDescent="0.25"/>
    <row r="213" s="251" customFormat="1" ht="12.75" x14ac:dyDescent="0.25"/>
    <row r="214" s="251" customFormat="1" ht="12.75" x14ac:dyDescent="0.25"/>
    <row r="215" s="251" customFormat="1" ht="12.75" x14ac:dyDescent="0.25"/>
    <row r="216" s="251" customFormat="1" ht="12.75" x14ac:dyDescent="0.25"/>
    <row r="217" s="251" customFormat="1" ht="12.75" x14ac:dyDescent="0.25"/>
    <row r="218" s="251" customFormat="1" ht="12.75" x14ac:dyDescent="0.25"/>
    <row r="219" s="251" customFormat="1" ht="12.75" x14ac:dyDescent="0.25"/>
    <row r="220" s="251" customFormat="1" ht="12.75" x14ac:dyDescent="0.25"/>
    <row r="221" s="251" customFormat="1" ht="12.75" x14ac:dyDescent="0.25"/>
    <row r="222" s="251" customFormat="1" ht="12.75" x14ac:dyDescent="0.25"/>
    <row r="223" s="251" customFormat="1" ht="12.75" x14ac:dyDescent="0.25"/>
    <row r="224" s="251" customFormat="1" ht="12.75" x14ac:dyDescent="0.25"/>
    <row r="225" s="251" customFormat="1" ht="12.75" x14ac:dyDescent="0.25"/>
    <row r="226" s="251" customFormat="1" ht="12.75" x14ac:dyDescent="0.25"/>
    <row r="227" s="251" customFormat="1" ht="12.75" x14ac:dyDescent="0.25"/>
    <row r="228" s="251" customFormat="1" ht="12.75" x14ac:dyDescent="0.25"/>
    <row r="229" s="251" customFormat="1" ht="12.75" x14ac:dyDescent="0.25"/>
    <row r="230" s="251" customFormat="1" ht="12.75" x14ac:dyDescent="0.25"/>
    <row r="231" s="251" customFormat="1" ht="12.75" x14ac:dyDescent="0.25"/>
    <row r="232" s="251" customFormat="1" ht="12.75" x14ac:dyDescent="0.25"/>
    <row r="233" s="251" customFormat="1" ht="12.75" x14ac:dyDescent="0.25"/>
    <row r="234" s="251" customFormat="1" ht="12.75" x14ac:dyDescent="0.25"/>
    <row r="235" s="251" customFormat="1" ht="12.75" x14ac:dyDescent="0.25"/>
    <row r="236" s="251" customFormat="1" ht="12.75" x14ac:dyDescent="0.25"/>
    <row r="237" s="251" customFormat="1" ht="12.75" x14ac:dyDescent="0.25"/>
    <row r="238" s="251" customFormat="1" ht="12.75" x14ac:dyDescent="0.25"/>
    <row r="239" s="251" customFormat="1" ht="12.75" x14ac:dyDescent="0.25"/>
    <row r="240" s="251" customFormat="1" ht="12.75" x14ac:dyDescent="0.25"/>
    <row r="241" s="251" customFormat="1" ht="12.75" x14ac:dyDescent="0.25"/>
    <row r="242" s="251" customFormat="1" ht="12.75" x14ac:dyDescent="0.25"/>
    <row r="243" s="251" customFormat="1" ht="12.75" x14ac:dyDescent="0.25"/>
    <row r="244" s="251" customFormat="1" ht="12.75" x14ac:dyDescent="0.25"/>
    <row r="245" s="251" customFormat="1" ht="12.75" x14ac:dyDescent="0.25"/>
    <row r="246" s="251" customFormat="1" ht="12.75" x14ac:dyDescent="0.25"/>
    <row r="247" s="251" customFormat="1" ht="12.75" x14ac:dyDescent="0.25"/>
    <row r="248" s="251" customFormat="1" ht="12.75" x14ac:dyDescent="0.25"/>
    <row r="249" s="251" customFormat="1" ht="12.75" x14ac:dyDescent="0.25"/>
    <row r="250" s="251" customFormat="1" ht="12.75" x14ac:dyDescent="0.25"/>
    <row r="251" s="251" customFormat="1" ht="12.75" x14ac:dyDescent="0.25"/>
    <row r="252" s="251" customFormat="1" ht="12.75" x14ac:dyDescent="0.25"/>
    <row r="253" s="251" customFormat="1" ht="12.75" x14ac:dyDescent="0.25"/>
    <row r="254" s="251" customFormat="1" ht="12.75" x14ac:dyDescent="0.25"/>
    <row r="255" s="251" customFormat="1" ht="12.75" x14ac:dyDescent="0.25"/>
    <row r="256" s="251" customFormat="1" ht="12.75" x14ac:dyDescent="0.25"/>
    <row r="257" s="251" customFormat="1" ht="12.75" x14ac:dyDescent="0.25"/>
    <row r="258" s="251" customFormat="1" ht="12.75" x14ac:dyDescent="0.25"/>
    <row r="259" s="251" customFormat="1" ht="12.75" x14ac:dyDescent="0.25"/>
    <row r="260" s="251" customFormat="1" ht="12.75" x14ac:dyDescent="0.25"/>
    <row r="261" s="251" customFormat="1" ht="12.75" x14ac:dyDescent="0.25"/>
    <row r="262" s="251" customFormat="1" ht="12.75" x14ac:dyDescent="0.25"/>
    <row r="263" s="251" customFormat="1" ht="12.75" x14ac:dyDescent="0.25"/>
    <row r="264" s="251" customFormat="1" ht="12.75" x14ac:dyDescent="0.25"/>
    <row r="265" s="251" customFormat="1" ht="12.75" x14ac:dyDescent="0.25"/>
    <row r="266" s="251" customFormat="1" ht="12.75" x14ac:dyDescent="0.25"/>
    <row r="267" s="251" customFormat="1" ht="12.75" x14ac:dyDescent="0.25"/>
    <row r="268" s="251" customFormat="1" ht="12.75" x14ac:dyDescent="0.25"/>
    <row r="269" s="251" customFormat="1" ht="12.75" x14ac:dyDescent="0.25"/>
    <row r="270" s="251" customFormat="1" ht="12.75" x14ac:dyDescent="0.25"/>
    <row r="271" s="251" customFormat="1" ht="12.75" x14ac:dyDescent="0.25"/>
    <row r="272" s="251" customFormat="1" ht="12.75" x14ac:dyDescent="0.25"/>
    <row r="273" s="251" customFormat="1" ht="12.75" x14ac:dyDescent="0.25"/>
    <row r="274" s="251" customFormat="1" ht="12.75" x14ac:dyDescent="0.25"/>
    <row r="275" s="251" customFormat="1" ht="12.75" x14ac:dyDescent="0.25"/>
    <row r="276" s="251" customFormat="1" ht="12.75" x14ac:dyDescent="0.25"/>
    <row r="277" s="251" customFormat="1" ht="12.75" x14ac:dyDescent="0.25"/>
    <row r="278" s="251" customFormat="1" ht="12.75" x14ac:dyDescent="0.25"/>
    <row r="279" s="251" customFormat="1" ht="12.75" x14ac:dyDescent="0.25"/>
    <row r="280" s="251" customFormat="1" ht="12.75" x14ac:dyDescent="0.25"/>
    <row r="281" s="251" customFormat="1" ht="12.75" x14ac:dyDescent="0.25"/>
    <row r="282" s="251" customFormat="1" ht="12.75" x14ac:dyDescent="0.25"/>
    <row r="283" s="251" customFormat="1" ht="12.75" x14ac:dyDescent="0.25"/>
    <row r="284" s="251" customFormat="1" ht="12.75" x14ac:dyDescent="0.25"/>
    <row r="285" s="251" customFormat="1" ht="12.75" x14ac:dyDescent="0.25"/>
    <row r="286" s="251" customFormat="1" ht="12.75" x14ac:dyDescent="0.25"/>
    <row r="287" s="251" customFormat="1" ht="12.75" x14ac:dyDescent="0.25"/>
    <row r="288" s="251" customFormat="1" ht="12.75" x14ac:dyDescent="0.25"/>
    <row r="289" s="251" customFormat="1" ht="12.75" x14ac:dyDescent="0.25"/>
    <row r="290" s="251" customFormat="1" ht="12.75" x14ac:dyDescent="0.25"/>
    <row r="291" s="251" customFormat="1" ht="12.75" x14ac:dyDescent="0.25"/>
    <row r="292" s="251" customFormat="1" ht="12.75" x14ac:dyDescent="0.25"/>
    <row r="293" s="251" customFormat="1" ht="12.75" x14ac:dyDescent="0.25"/>
    <row r="294" s="251" customFormat="1" ht="12.75" x14ac:dyDescent="0.25"/>
    <row r="295" s="251" customFormat="1" ht="12.75" x14ac:dyDescent="0.25"/>
    <row r="296" s="251" customFormat="1" ht="12.75" x14ac:dyDescent="0.25"/>
    <row r="297" s="251" customFormat="1" ht="12.75" x14ac:dyDescent="0.25"/>
    <row r="298" s="251" customFormat="1" ht="12.75" x14ac:dyDescent="0.25"/>
    <row r="299" s="251" customFormat="1" ht="12.75" x14ac:dyDescent="0.25"/>
    <row r="300" s="251" customFormat="1" ht="12.75" x14ac:dyDescent="0.25"/>
    <row r="301" s="251" customFormat="1" ht="12.75" x14ac:dyDescent="0.25"/>
    <row r="302" s="251" customFormat="1" ht="12.75" x14ac:dyDescent="0.25"/>
    <row r="303" s="251" customFormat="1" ht="12.75" x14ac:dyDescent="0.25"/>
    <row r="304" s="251" customFormat="1" ht="12.75" x14ac:dyDescent="0.25"/>
    <row r="305" s="251" customFormat="1" ht="12.75" x14ac:dyDescent="0.25"/>
    <row r="306" s="251" customFormat="1" ht="12.75" x14ac:dyDescent="0.25"/>
    <row r="307" s="251" customFormat="1" ht="12.75" x14ac:dyDescent="0.25"/>
    <row r="308" s="251" customFormat="1" ht="12.75" x14ac:dyDescent="0.25"/>
    <row r="309" s="251" customFormat="1" ht="12.75" x14ac:dyDescent="0.25"/>
    <row r="310" s="251" customFormat="1" ht="12.75" x14ac:dyDescent="0.25"/>
    <row r="311" s="251" customFormat="1" ht="12.75" x14ac:dyDescent="0.25"/>
    <row r="312" s="251" customFormat="1" ht="12.75" x14ac:dyDescent="0.25"/>
    <row r="313" s="251" customFormat="1" ht="12.75" x14ac:dyDescent="0.25"/>
    <row r="314" s="251" customFormat="1" ht="12.75" x14ac:dyDescent="0.25"/>
    <row r="315" s="251" customFormat="1" ht="12.75" x14ac:dyDescent="0.25"/>
    <row r="316" s="251" customFormat="1" ht="12.75" x14ac:dyDescent="0.25"/>
    <row r="317" s="251" customFormat="1" ht="12.75" x14ac:dyDescent="0.25"/>
    <row r="318" s="251" customFormat="1" ht="12.75" x14ac:dyDescent="0.25"/>
    <row r="319" s="251" customFormat="1" ht="12.75" x14ac:dyDescent="0.25"/>
    <row r="320" s="251" customFormat="1" ht="12.75" x14ac:dyDescent="0.25"/>
    <row r="321" s="251" customFormat="1" ht="12.75" x14ac:dyDescent="0.25"/>
    <row r="322" s="251" customFormat="1" ht="12.75" x14ac:dyDescent="0.25"/>
    <row r="323" s="251" customFormat="1" ht="12.75" x14ac:dyDescent="0.25"/>
    <row r="324" s="251" customFormat="1" ht="12.75" x14ac:dyDescent="0.25"/>
    <row r="325" s="251" customFormat="1" ht="12.75" x14ac:dyDescent="0.25"/>
    <row r="326" s="251" customFormat="1" ht="12.75" x14ac:dyDescent="0.25"/>
    <row r="327" s="251" customFormat="1" ht="12.75" x14ac:dyDescent="0.25"/>
    <row r="328" s="251" customFormat="1" ht="12.75" x14ac:dyDescent="0.25"/>
    <row r="329" s="251" customFormat="1" ht="12.75" x14ac:dyDescent="0.25"/>
    <row r="330" s="251" customFormat="1" ht="12.75" x14ac:dyDescent="0.25"/>
    <row r="331" s="251" customFormat="1" ht="12.75" x14ac:dyDescent="0.25"/>
    <row r="332" s="251" customFormat="1" ht="12.75" x14ac:dyDescent="0.25"/>
    <row r="333" s="251" customFormat="1" ht="12.75" x14ac:dyDescent="0.25"/>
    <row r="334" s="251" customFormat="1" ht="12.75" x14ac:dyDescent="0.25"/>
    <row r="335" s="251" customFormat="1" ht="12.75" x14ac:dyDescent="0.25"/>
    <row r="336" s="251" customFormat="1" ht="12.75" x14ac:dyDescent="0.25"/>
    <row r="337" s="251" customFormat="1" ht="12.75" x14ac:dyDescent="0.25"/>
    <row r="338" s="251" customFormat="1" ht="12.75" x14ac:dyDescent="0.25"/>
    <row r="339" s="251" customFormat="1" ht="12.75" x14ac:dyDescent="0.25"/>
    <row r="340" s="251" customFormat="1" ht="12.75" x14ac:dyDescent="0.25"/>
    <row r="341" s="251" customFormat="1" ht="12.75" x14ac:dyDescent="0.25"/>
    <row r="342" s="251" customFormat="1" ht="12.75" x14ac:dyDescent="0.25"/>
    <row r="343" s="251" customFormat="1" ht="12.75" x14ac:dyDescent="0.25"/>
    <row r="344" s="251" customFormat="1" ht="12.75" x14ac:dyDescent="0.25"/>
    <row r="345" s="251" customFormat="1" ht="12.75" x14ac:dyDescent="0.25"/>
    <row r="346" s="251" customFormat="1" ht="12.75" x14ac:dyDescent="0.25"/>
    <row r="347" s="251" customFormat="1" ht="12.75" x14ac:dyDescent="0.25"/>
    <row r="348" s="251" customFormat="1" ht="12.75" x14ac:dyDescent="0.25"/>
    <row r="349" s="251" customFormat="1" ht="12.75" x14ac:dyDescent="0.25"/>
    <row r="350" s="251" customFormat="1" ht="12.75" x14ac:dyDescent="0.25"/>
    <row r="351" s="251" customFormat="1" ht="12.75" x14ac:dyDescent="0.25"/>
    <row r="352" s="251" customFormat="1" ht="12.75" x14ac:dyDescent="0.25"/>
    <row r="353" s="251" customFormat="1" ht="12.75" x14ac:dyDescent="0.25"/>
    <row r="354" s="251" customFormat="1" ht="12.75" x14ac:dyDescent="0.25"/>
    <row r="355" s="251" customFormat="1" ht="12.75" x14ac:dyDescent="0.25"/>
    <row r="356" s="251" customFormat="1" ht="12.75" x14ac:dyDescent="0.25"/>
    <row r="357" s="251" customFormat="1" ht="12.75" x14ac:dyDescent="0.25"/>
    <row r="358" s="251" customFormat="1" ht="12.75" x14ac:dyDescent="0.25"/>
    <row r="359" s="251" customFormat="1" ht="12.75" x14ac:dyDescent="0.25"/>
    <row r="360" s="251" customFormat="1" ht="12.75" x14ac:dyDescent="0.25"/>
    <row r="361" s="251" customFormat="1" ht="12.75" x14ac:dyDescent="0.25"/>
    <row r="362" s="251" customFormat="1" ht="12.75" x14ac:dyDescent="0.25"/>
    <row r="363" s="251" customFormat="1" ht="12.75" x14ac:dyDescent="0.25"/>
    <row r="364" s="251" customFormat="1" ht="12.75" x14ac:dyDescent="0.25"/>
    <row r="365" s="251" customFormat="1" ht="12.75" x14ac:dyDescent="0.25"/>
    <row r="366" s="251" customFormat="1" ht="12.75" x14ac:dyDescent="0.25"/>
    <row r="367" s="251" customFormat="1" ht="12.75" x14ac:dyDescent="0.25"/>
    <row r="368" s="251" customFormat="1" ht="12.75" x14ac:dyDescent="0.25"/>
    <row r="369" s="251" customFormat="1" ht="12.75" x14ac:dyDescent="0.25"/>
    <row r="370" s="251" customFormat="1" ht="12.75" x14ac:dyDescent="0.25"/>
    <row r="371" s="251" customFormat="1" ht="12.75" x14ac:dyDescent="0.25"/>
    <row r="372" s="251" customFormat="1" ht="12.75" x14ac:dyDescent="0.25"/>
    <row r="373" s="251" customFormat="1" ht="12.75" x14ac:dyDescent="0.25"/>
    <row r="374" s="251" customFormat="1" ht="12.75" x14ac:dyDescent="0.25"/>
    <row r="375" s="251" customFormat="1" ht="12.75" x14ac:dyDescent="0.25"/>
    <row r="376" s="251" customFormat="1" ht="12.75" x14ac:dyDescent="0.25"/>
    <row r="377" s="251" customFormat="1" ht="12.75" x14ac:dyDescent="0.25"/>
    <row r="378" s="251" customFormat="1" ht="12.75" x14ac:dyDescent="0.25"/>
    <row r="379" s="251" customFormat="1" ht="12.75" x14ac:dyDescent="0.25"/>
    <row r="380" s="251" customFormat="1" ht="12.75" x14ac:dyDescent="0.25"/>
    <row r="381" s="251" customFormat="1" ht="12.75" x14ac:dyDescent="0.25"/>
    <row r="382" s="251" customFormat="1" ht="12.75" x14ac:dyDescent="0.25"/>
    <row r="383" s="251" customFormat="1" ht="12.75" x14ac:dyDescent="0.25"/>
    <row r="384" s="251" customFormat="1" ht="12.75" x14ac:dyDescent="0.25"/>
    <row r="385" s="251" customFormat="1" ht="12.75" x14ac:dyDescent="0.25"/>
    <row r="386" s="251" customFormat="1" ht="12.75" x14ac:dyDescent="0.25"/>
    <row r="387" s="251" customFormat="1" ht="12.75" x14ac:dyDescent="0.25"/>
    <row r="388" s="251" customFormat="1" ht="12.75" x14ac:dyDescent="0.25"/>
    <row r="389" s="251" customFormat="1" ht="12.75" x14ac:dyDescent="0.25"/>
    <row r="390" s="251" customFormat="1" ht="12.75" x14ac:dyDescent="0.25"/>
    <row r="391" s="251" customFormat="1" ht="12.75" x14ac:dyDescent="0.25"/>
    <row r="392" s="251" customFormat="1" ht="12.75" x14ac:dyDescent="0.25"/>
    <row r="393" s="251" customFormat="1" ht="12.75" x14ac:dyDescent="0.25"/>
    <row r="394" s="251" customFormat="1" ht="12.75" x14ac:dyDescent="0.25"/>
    <row r="395" s="251" customFormat="1" ht="12.75" x14ac:dyDescent="0.25"/>
    <row r="396" s="251" customFormat="1" ht="12.75" x14ac:dyDescent="0.25"/>
    <row r="397" s="251" customFormat="1" ht="12.75" x14ac:dyDescent="0.25"/>
    <row r="398" s="251" customFormat="1" ht="12.75" x14ac:dyDescent="0.25"/>
    <row r="399" s="251" customFormat="1" ht="12.75" x14ac:dyDescent="0.25"/>
    <row r="400" s="251" customFormat="1" ht="12.75" x14ac:dyDescent="0.25"/>
    <row r="401" s="251" customFormat="1" ht="12.75" x14ac:dyDescent="0.25"/>
    <row r="402" s="251" customFormat="1" ht="12.75" x14ac:dyDescent="0.25"/>
    <row r="403" s="251" customFormat="1" ht="12.75" x14ac:dyDescent="0.25"/>
    <row r="404" s="251" customFormat="1" ht="12.75" x14ac:dyDescent="0.25"/>
    <row r="405" s="251" customFormat="1" ht="12.75" x14ac:dyDescent="0.25"/>
    <row r="406" s="251" customFormat="1" ht="12.75" x14ac:dyDescent="0.25"/>
    <row r="407" s="251" customFormat="1" ht="12.75" x14ac:dyDescent="0.25"/>
    <row r="408" s="251" customFormat="1" ht="12.75" x14ac:dyDescent="0.25"/>
    <row r="409" s="251" customFormat="1" ht="12.75" x14ac:dyDescent="0.25"/>
    <row r="410" s="251" customFormat="1" ht="12.75" x14ac:dyDescent="0.25"/>
    <row r="411" s="251" customFormat="1" ht="12.75" x14ac:dyDescent="0.25"/>
    <row r="412" s="251" customFormat="1" ht="12.75" x14ac:dyDescent="0.25"/>
    <row r="413" s="251" customFormat="1" ht="12.75" x14ac:dyDescent="0.25"/>
    <row r="414" s="251" customFormat="1" ht="12.75" x14ac:dyDescent="0.25"/>
    <row r="415" s="251" customFormat="1" ht="12.75" x14ac:dyDescent="0.25"/>
    <row r="416" s="251" customFormat="1" ht="12.75" x14ac:dyDescent="0.25"/>
    <row r="417" s="251" customFormat="1" ht="12.75" x14ac:dyDescent="0.25"/>
    <row r="418" s="251" customFormat="1" ht="12.75" x14ac:dyDescent="0.25"/>
    <row r="419" s="251" customFormat="1" ht="12.75" x14ac:dyDescent="0.25"/>
    <row r="420" s="251" customFormat="1" ht="12.75" x14ac:dyDescent="0.25"/>
    <row r="421" s="251" customFormat="1" ht="12.75" x14ac:dyDescent="0.25"/>
    <row r="422" s="251" customFormat="1" ht="12.75" x14ac:dyDescent="0.25"/>
    <row r="423" s="251" customFormat="1" ht="12.75" x14ac:dyDescent="0.25"/>
    <row r="424" s="251" customFormat="1" ht="12.75" x14ac:dyDescent="0.25"/>
    <row r="425" s="251" customFormat="1" ht="12.75" x14ac:dyDescent="0.25"/>
    <row r="426" s="251" customFormat="1" ht="12.75" x14ac:dyDescent="0.25"/>
    <row r="427" s="251" customFormat="1" ht="12.75" x14ac:dyDescent="0.25"/>
    <row r="428" s="251" customFormat="1" ht="12.75" x14ac:dyDescent="0.25"/>
    <row r="429" s="251" customFormat="1" ht="12.75" x14ac:dyDescent="0.25"/>
    <row r="430" s="251" customFormat="1" ht="12.75" x14ac:dyDescent="0.25"/>
    <row r="431" s="251" customFormat="1" ht="12.75" x14ac:dyDescent="0.25"/>
    <row r="432" s="251" customFormat="1" ht="12.75" x14ac:dyDescent="0.25"/>
    <row r="433" s="251" customFormat="1" ht="12.75" x14ac:dyDescent="0.25"/>
    <row r="434" s="251" customFormat="1" ht="12.75" x14ac:dyDescent="0.25"/>
    <row r="435" s="251" customFormat="1" ht="12.75" x14ac:dyDescent="0.25"/>
    <row r="436" s="251" customFormat="1" ht="12.75" x14ac:dyDescent="0.25"/>
    <row r="437" s="251" customFormat="1" ht="12.75" x14ac:dyDescent="0.25"/>
    <row r="438" s="251" customFormat="1" ht="12.75" x14ac:dyDescent="0.25"/>
    <row r="439" s="251" customFormat="1" ht="12.75" x14ac:dyDescent="0.25"/>
    <row r="440" s="251" customFormat="1" ht="12.75" x14ac:dyDescent="0.25"/>
    <row r="441" s="251" customFormat="1" ht="12.75" x14ac:dyDescent="0.25"/>
    <row r="442" s="251" customFormat="1" ht="12.75" x14ac:dyDescent="0.25"/>
    <row r="443" s="251" customFormat="1" ht="12.75" x14ac:dyDescent="0.25"/>
    <row r="444" s="251" customFormat="1" ht="12.75" x14ac:dyDescent="0.25"/>
    <row r="445" s="251" customFormat="1" ht="12.75" x14ac:dyDescent="0.25"/>
    <row r="446" s="251" customFormat="1" ht="12.75" x14ac:dyDescent="0.25"/>
    <row r="447" s="251" customFormat="1" ht="12.75" x14ac:dyDescent="0.25"/>
    <row r="448" s="251" customFormat="1" ht="12.75" x14ac:dyDescent="0.25"/>
    <row r="449" s="251" customFormat="1" ht="12.75" x14ac:dyDescent="0.25"/>
    <row r="450" s="251" customFormat="1" ht="12.75" x14ac:dyDescent="0.25"/>
    <row r="451" s="251" customFormat="1" ht="12.75" x14ac:dyDescent="0.25"/>
    <row r="452" s="251" customFormat="1" ht="12.75" x14ac:dyDescent="0.25"/>
    <row r="453" s="251" customFormat="1" ht="12.75" x14ac:dyDescent="0.25"/>
    <row r="454" s="251" customFormat="1" ht="12.75" x14ac:dyDescent="0.25"/>
    <row r="455" s="251" customFormat="1" ht="12.75" x14ac:dyDescent="0.25"/>
    <row r="456" s="251" customFormat="1" ht="12.75" x14ac:dyDescent="0.25"/>
    <row r="457" s="251" customFormat="1" ht="12.75" x14ac:dyDescent="0.25"/>
    <row r="458" s="251" customFormat="1" ht="12.75" x14ac:dyDescent="0.25"/>
    <row r="459" s="251" customFormat="1" ht="12.75" x14ac:dyDescent="0.25"/>
    <row r="460" s="251" customFormat="1" ht="12.75" x14ac:dyDescent="0.25"/>
    <row r="461" s="251" customFormat="1" ht="12.75" x14ac:dyDescent="0.25"/>
    <row r="462" s="251" customFormat="1" ht="12.75" x14ac:dyDescent="0.25"/>
    <row r="463" s="251" customFormat="1" ht="12.75" x14ac:dyDescent="0.25"/>
    <row r="464" s="251" customFormat="1" ht="12.75" x14ac:dyDescent="0.25"/>
    <row r="465" s="251" customFormat="1" ht="12.75" x14ac:dyDescent="0.25"/>
    <row r="466" s="251" customFormat="1" ht="12.75" x14ac:dyDescent="0.25"/>
    <row r="467" s="251" customFormat="1" ht="12.75" x14ac:dyDescent="0.25"/>
    <row r="468" s="251" customFormat="1" ht="12.75" x14ac:dyDescent="0.25"/>
    <row r="469" s="251" customFormat="1" ht="12.75" x14ac:dyDescent="0.25"/>
    <row r="470" s="251" customFormat="1" ht="12.75" x14ac:dyDescent="0.25"/>
    <row r="471" s="251" customFormat="1" ht="12.75" x14ac:dyDescent="0.25"/>
    <row r="472" s="251" customFormat="1" ht="12.75" x14ac:dyDescent="0.25"/>
    <row r="473" s="251" customFormat="1" ht="12.75" x14ac:dyDescent="0.25"/>
    <row r="474" s="251" customFormat="1" ht="12.75" x14ac:dyDescent="0.25"/>
    <row r="475" s="251" customFormat="1" ht="12.75" x14ac:dyDescent="0.25"/>
    <row r="476" s="251" customFormat="1" ht="12.75" x14ac:dyDescent="0.25"/>
    <row r="477" s="251" customFormat="1" ht="12.75" x14ac:dyDescent="0.25"/>
    <row r="478" s="251" customFormat="1" ht="12.75" x14ac:dyDescent="0.25"/>
    <row r="479" s="251" customFormat="1" ht="12.75" x14ac:dyDescent="0.25"/>
    <row r="480" s="251" customFormat="1" ht="12.75" x14ac:dyDescent="0.25"/>
    <row r="481" s="251" customFormat="1" ht="12.75" x14ac:dyDescent="0.25"/>
    <row r="482" s="251" customFormat="1" ht="12.75" x14ac:dyDescent="0.25"/>
    <row r="483" s="251" customFormat="1" ht="12.75" x14ac:dyDescent="0.25"/>
    <row r="484" s="251" customFormat="1" ht="12.75" x14ac:dyDescent="0.25"/>
    <row r="485" s="251" customFormat="1" ht="12.75" x14ac:dyDescent="0.25"/>
    <row r="486" s="251" customFormat="1" ht="12.75" x14ac:dyDescent="0.25"/>
    <row r="487" s="251" customFormat="1" ht="12.75" x14ac:dyDescent="0.25"/>
    <row r="488" s="251" customFormat="1" ht="12.75" x14ac:dyDescent="0.25"/>
    <row r="489" s="251" customFormat="1" ht="12.75" x14ac:dyDescent="0.25"/>
    <row r="490" s="251" customFormat="1" ht="12.75" x14ac:dyDescent="0.25"/>
    <row r="491" s="251" customFormat="1" ht="12.75" x14ac:dyDescent="0.25"/>
    <row r="492" s="251" customFormat="1" ht="12.75" x14ac:dyDescent="0.25"/>
    <row r="493" s="251" customFormat="1" ht="12.75" x14ac:dyDescent="0.25"/>
    <row r="494" s="251" customFormat="1" ht="12.75" x14ac:dyDescent="0.25"/>
    <row r="495" s="251" customFormat="1" ht="12.75" x14ac:dyDescent="0.25"/>
    <row r="496" s="251" customFormat="1" ht="12.75" x14ac:dyDescent="0.25"/>
    <row r="497" s="251" customFormat="1" ht="12.75" x14ac:dyDescent="0.25"/>
    <row r="498" s="251" customFormat="1" ht="12.75" x14ac:dyDescent="0.25"/>
    <row r="499" s="251" customFormat="1" ht="12.75" x14ac:dyDescent="0.25"/>
    <row r="500" s="251" customFormat="1" ht="12.75" x14ac:dyDescent="0.25"/>
    <row r="501" s="251" customFormat="1" ht="12.75" x14ac:dyDescent="0.25"/>
    <row r="502" s="251" customFormat="1" ht="12.75" x14ac:dyDescent="0.25"/>
    <row r="503" s="251" customFormat="1" ht="12.75" x14ac:dyDescent="0.25"/>
    <row r="504" s="251" customFormat="1" ht="12.75" x14ac:dyDescent="0.25"/>
    <row r="505" s="251" customFormat="1" ht="12.75" x14ac:dyDescent="0.25"/>
    <row r="506" s="251" customFormat="1" ht="12.75" x14ac:dyDescent="0.25"/>
    <row r="507" s="251" customFormat="1" ht="12.75" x14ac:dyDescent="0.25"/>
    <row r="508" s="251" customFormat="1" ht="12.75" x14ac:dyDescent="0.25"/>
    <row r="509" s="251" customFormat="1" ht="12.75" x14ac:dyDescent="0.25"/>
    <row r="510" s="251" customFormat="1" ht="12.75" x14ac:dyDescent="0.25"/>
    <row r="511" s="251" customFormat="1" ht="12.75" x14ac:dyDescent="0.25"/>
    <row r="512" s="251" customFormat="1" ht="12.75" x14ac:dyDescent="0.25"/>
    <row r="513" s="251" customFormat="1" ht="12.75" x14ac:dyDescent="0.25"/>
    <row r="514" s="251" customFormat="1" ht="12.75" x14ac:dyDescent="0.25"/>
    <row r="515" s="251" customFormat="1" ht="12.75" x14ac:dyDescent="0.25"/>
    <row r="516" s="251" customFormat="1" ht="12.75" x14ac:dyDescent="0.25"/>
    <row r="517" s="251" customFormat="1" ht="12.75" x14ac:dyDescent="0.25"/>
    <row r="518" s="251" customFormat="1" ht="12.75" x14ac:dyDescent="0.25"/>
    <row r="519" s="251" customFormat="1" ht="12.75" x14ac:dyDescent="0.25"/>
    <row r="520" s="251" customFormat="1" ht="12.75" x14ac:dyDescent="0.25"/>
    <row r="521" s="251" customFormat="1" ht="12.75" x14ac:dyDescent="0.25"/>
    <row r="522" s="251" customFormat="1" ht="12.75" x14ac:dyDescent="0.25"/>
    <row r="523" s="251" customFormat="1" ht="12.75" x14ac:dyDescent="0.25"/>
    <row r="524" s="251" customFormat="1" ht="12.75" x14ac:dyDescent="0.25"/>
    <row r="525" s="251" customFormat="1" ht="12.75" x14ac:dyDescent="0.25"/>
    <row r="526" s="251" customFormat="1" ht="12.75" x14ac:dyDescent="0.25"/>
    <row r="527" s="251" customFormat="1" ht="12.75" x14ac:dyDescent="0.25"/>
    <row r="528" s="251" customFormat="1" ht="12.75" x14ac:dyDescent="0.25"/>
    <row r="529" s="251" customFormat="1" ht="12.75" x14ac:dyDescent="0.25"/>
    <row r="530" s="251" customFormat="1" ht="12.75" x14ac:dyDescent="0.25"/>
    <row r="531" s="251" customFormat="1" ht="12.75" x14ac:dyDescent="0.25"/>
    <row r="532" s="251" customFormat="1" ht="12.75" x14ac:dyDescent="0.25"/>
    <row r="533" s="251" customFormat="1" ht="12.75" x14ac:dyDescent="0.25"/>
    <row r="534" s="251" customFormat="1" ht="12.75" x14ac:dyDescent="0.25"/>
    <row r="535" s="251" customFormat="1" ht="12.75" x14ac:dyDescent="0.25"/>
    <row r="536" s="251" customFormat="1" ht="12.75" x14ac:dyDescent="0.25"/>
    <row r="537" s="251" customFormat="1" ht="12.75" x14ac:dyDescent="0.25"/>
    <row r="538" s="251" customFormat="1" ht="12.75" x14ac:dyDescent="0.25"/>
    <row r="539" s="251" customFormat="1" ht="12.75" x14ac:dyDescent="0.25"/>
    <row r="540" s="251" customFormat="1" ht="12.75" x14ac:dyDescent="0.25"/>
    <row r="541" s="251" customFormat="1" ht="12.75" x14ac:dyDescent="0.25"/>
    <row r="542" s="251" customFormat="1" ht="12.75" x14ac:dyDescent="0.25"/>
    <row r="543" s="251" customFormat="1" ht="12.75" x14ac:dyDescent="0.25"/>
    <row r="544" s="251" customFormat="1" ht="12.75" x14ac:dyDescent="0.25"/>
    <row r="545" s="251" customFormat="1" ht="12.75" x14ac:dyDescent="0.25"/>
    <row r="546" s="251" customFormat="1" ht="12.75" x14ac:dyDescent="0.25"/>
    <row r="547" s="251" customFormat="1" ht="12.75" x14ac:dyDescent="0.25"/>
    <row r="548" s="251" customFormat="1" ht="12.75" x14ac:dyDescent="0.25"/>
    <row r="549" s="251" customFormat="1" ht="12.75" x14ac:dyDescent="0.25"/>
    <row r="550" s="251" customFormat="1" ht="12.75" x14ac:dyDescent="0.25"/>
    <row r="551" s="251" customFormat="1" ht="12.75" x14ac:dyDescent="0.25"/>
    <row r="552" s="251" customFormat="1" ht="12.75" x14ac:dyDescent="0.25"/>
    <row r="553" s="251" customFormat="1" ht="12.75" x14ac:dyDescent="0.25"/>
    <row r="554" s="251" customFormat="1" ht="12.75" x14ac:dyDescent="0.25"/>
    <row r="555" s="251" customFormat="1" ht="12.75" x14ac:dyDescent="0.25"/>
    <row r="556" s="251" customFormat="1" ht="12.75" x14ac:dyDescent="0.25"/>
    <row r="557" s="251" customFormat="1" ht="12.75" x14ac:dyDescent="0.25"/>
    <row r="558" s="251" customFormat="1" ht="12.75" x14ac:dyDescent="0.25"/>
    <row r="559" s="251" customFormat="1" ht="12.75" x14ac:dyDescent="0.25"/>
    <row r="560" s="251" customFormat="1" ht="12.75" x14ac:dyDescent="0.25"/>
    <row r="561" s="251" customFormat="1" ht="12.75" x14ac:dyDescent="0.25"/>
    <row r="562" s="251" customFormat="1" ht="12.75" x14ac:dyDescent="0.25"/>
    <row r="563" s="251" customFormat="1" ht="12.75" x14ac:dyDescent="0.25"/>
    <row r="564" s="251" customFormat="1" ht="12.75" x14ac:dyDescent="0.25"/>
    <row r="565" s="251" customFormat="1" ht="12.75" x14ac:dyDescent="0.25"/>
    <row r="566" s="251" customFormat="1" ht="12.75" x14ac:dyDescent="0.25"/>
    <row r="567" s="251" customFormat="1" ht="12.75" x14ac:dyDescent="0.25"/>
    <row r="568" s="251" customFormat="1" ht="12.75" x14ac:dyDescent="0.25"/>
    <row r="569" s="251" customFormat="1" ht="12.75" x14ac:dyDescent="0.25"/>
    <row r="570" s="251" customFormat="1" ht="12.75" x14ac:dyDescent="0.25"/>
    <row r="571" s="251" customFormat="1" ht="12.75" x14ac:dyDescent="0.25"/>
    <row r="572" s="251" customFormat="1" ht="12.75" x14ac:dyDescent="0.25"/>
    <row r="573" s="251" customFormat="1" ht="12.75" x14ac:dyDescent="0.25"/>
    <row r="574" s="251" customFormat="1" ht="12.75" x14ac:dyDescent="0.25"/>
    <row r="575" s="251" customFormat="1" ht="12.75" x14ac:dyDescent="0.25"/>
    <row r="576" s="251" customFormat="1" ht="12.75" x14ac:dyDescent="0.25"/>
    <row r="577" s="251" customFormat="1" ht="12.75" x14ac:dyDescent="0.25"/>
    <row r="578" s="251" customFormat="1" ht="12.75" x14ac:dyDescent="0.25"/>
    <row r="579" s="251" customFormat="1" ht="12.75" x14ac:dyDescent="0.25"/>
    <row r="580" s="251" customFormat="1" ht="12.75" x14ac:dyDescent="0.25"/>
    <row r="581" s="251" customFormat="1" ht="12.75" x14ac:dyDescent="0.25"/>
    <row r="582" s="251" customFormat="1" ht="12.75" x14ac:dyDescent="0.25"/>
    <row r="583" s="251" customFormat="1" ht="12.75" x14ac:dyDescent="0.25"/>
    <row r="584" s="251" customFormat="1" ht="12.75" x14ac:dyDescent="0.25"/>
    <row r="585" s="251" customFormat="1" ht="12.75" x14ac:dyDescent="0.25"/>
    <row r="586" s="251" customFormat="1" ht="12.75" x14ac:dyDescent="0.25"/>
    <row r="587" s="251" customFormat="1" ht="12.75" x14ac:dyDescent="0.25"/>
    <row r="588" s="251" customFormat="1" ht="12.75" x14ac:dyDescent="0.25"/>
    <row r="589" s="251" customFormat="1" ht="12.75" x14ac:dyDescent="0.25"/>
    <row r="590" s="251" customFormat="1" ht="12.75" x14ac:dyDescent="0.25"/>
    <row r="591" s="251" customFormat="1" ht="12.75" x14ac:dyDescent="0.25"/>
    <row r="592" s="251" customFormat="1" ht="12.75" x14ac:dyDescent="0.25"/>
    <row r="593" s="251" customFormat="1" ht="12.75" x14ac:dyDescent="0.25"/>
    <row r="594" s="251" customFormat="1" ht="12.75" x14ac:dyDescent="0.25"/>
    <row r="595" s="251" customFormat="1" ht="12.75" x14ac:dyDescent="0.25"/>
    <row r="596" s="251" customFormat="1" ht="12.75" x14ac:dyDescent="0.25"/>
    <row r="597" s="251" customFormat="1" ht="12.75" x14ac:dyDescent="0.25"/>
    <row r="598" s="251" customFormat="1" ht="12.75" x14ac:dyDescent="0.25"/>
    <row r="599" s="251" customFormat="1" ht="12.75" x14ac:dyDescent="0.25"/>
    <row r="600" s="251" customFormat="1" ht="12.75" x14ac:dyDescent="0.25"/>
    <row r="601" s="251" customFormat="1" ht="12.75" x14ac:dyDescent="0.25"/>
    <row r="602" s="251" customFormat="1" ht="12.75" x14ac:dyDescent="0.25"/>
    <row r="603" s="251" customFormat="1" ht="12.75" x14ac:dyDescent="0.25"/>
    <row r="604" s="251" customFormat="1" ht="12.75" x14ac:dyDescent="0.25"/>
    <row r="605" s="251" customFormat="1" ht="12.75" x14ac:dyDescent="0.25"/>
    <row r="606" s="251" customFormat="1" ht="12.75" x14ac:dyDescent="0.25"/>
    <row r="607" s="251" customFormat="1" ht="12.75" x14ac:dyDescent="0.25"/>
    <row r="608" s="251" customFormat="1" ht="12.75" x14ac:dyDescent="0.25"/>
    <row r="609" s="251" customFormat="1" ht="12.75" x14ac:dyDescent="0.25"/>
    <row r="610" s="251" customFormat="1" ht="12.75" x14ac:dyDescent="0.25"/>
    <row r="611" s="251" customFormat="1" ht="12.75" x14ac:dyDescent="0.25"/>
    <row r="612" s="251" customFormat="1" ht="12.75" x14ac:dyDescent="0.25"/>
    <row r="613" s="251" customFormat="1" ht="12.75" x14ac:dyDescent="0.25"/>
    <row r="614" s="251" customFormat="1" ht="12.75" x14ac:dyDescent="0.25"/>
    <row r="615" s="251" customFormat="1" ht="12.75" x14ac:dyDescent="0.25"/>
    <row r="616" s="251" customFormat="1" ht="12.75" x14ac:dyDescent="0.25"/>
    <row r="617" s="251" customFormat="1" ht="12.75" x14ac:dyDescent="0.25"/>
    <row r="618" s="251" customFormat="1" ht="12.75" x14ac:dyDescent="0.25"/>
    <row r="619" s="251" customFormat="1" ht="12.75" x14ac:dyDescent="0.25"/>
    <row r="620" s="251" customFormat="1" ht="12.75" x14ac:dyDescent="0.25"/>
    <row r="621" s="251" customFormat="1" ht="12.75" x14ac:dyDescent="0.25"/>
    <row r="622" s="251" customFormat="1" ht="12.75" x14ac:dyDescent="0.25"/>
    <row r="623" s="251" customFormat="1" ht="12.75" x14ac:dyDescent="0.25"/>
    <row r="624" s="251" customFormat="1" ht="12.75" x14ac:dyDescent="0.25"/>
    <row r="625" s="251" customFormat="1" ht="12.75" x14ac:dyDescent="0.25"/>
    <row r="626" s="251" customFormat="1" ht="12.75" x14ac:dyDescent="0.25"/>
    <row r="627" s="251" customFormat="1" ht="12.75" x14ac:dyDescent="0.25"/>
    <row r="628" s="251" customFormat="1" ht="12.75" x14ac:dyDescent="0.25"/>
    <row r="629" s="251" customFormat="1" ht="12.75" x14ac:dyDescent="0.25"/>
    <row r="630" s="251" customFormat="1" ht="12.75" x14ac:dyDescent="0.25"/>
    <row r="631" s="251" customFormat="1" ht="12.75" x14ac:dyDescent="0.25"/>
    <row r="632" s="251" customFormat="1" ht="12.75" x14ac:dyDescent="0.25"/>
    <row r="633" s="251" customFormat="1" ht="12.75" x14ac:dyDescent="0.25"/>
    <row r="634" s="251" customFormat="1" ht="12.75" x14ac:dyDescent="0.25"/>
    <row r="635" s="251" customFormat="1" ht="12.75" x14ac:dyDescent="0.25"/>
    <row r="636" s="251" customFormat="1" ht="12.75" x14ac:dyDescent="0.25"/>
    <row r="637" s="251" customFormat="1" ht="12.75" x14ac:dyDescent="0.25"/>
    <row r="638" s="251" customFormat="1" ht="12.75" x14ac:dyDescent="0.25"/>
    <row r="639" s="251" customFormat="1" ht="12.75" x14ac:dyDescent="0.25"/>
    <row r="640" s="251" customFormat="1" ht="12.75" x14ac:dyDescent="0.25"/>
    <row r="641" s="251" customFormat="1" ht="12.75" x14ac:dyDescent="0.25"/>
    <row r="642" s="251" customFormat="1" ht="12.75" x14ac:dyDescent="0.25"/>
    <row r="643" s="251" customFormat="1" ht="12.75" x14ac:dyDescent="0.25"/>
    <row r="644" s="251" customFormat="1" ht="12.75" x14ac:dyDescent="0.25"/>
    <row r="645" s="251" customFormat="1" ht="12.75" x14ac:dyDescent="0.25"/>
    <row r="646" s="251" customFormat="1" ht="12.75" x14ac:dyDescent="0.25"/>
    <row r="647" s="251" customFormat="1" ht="12.75" x14ac:dyDescent="0.25"/>
    <row r="648" s="251" customFormat="1" ht="12.75" x14ac:dyDescent="0.25"/>
    <row r="649" s="251" customFormat="1" ht="12.75" x14ac:dyDescent="0.25"/>
    <row r="650" s="251" customFormat="1" ht="12.75" x14ac:dyDescent="0.25"/>
    <row r="651" s="251" customFormat="1" ht="12.75" x14ac:dyDescent="0.25"/>
    <row r="652" s="251" customFormat="1" ht="12.75" x14ac:dyDescent="0.25"/>
    <row r="653" s="251" customFormat="1" ht="12.75" x14ac:dyDescent="0.25"/>
    <row r="654" s="251" customFormat="1" ht="12.75" x14ac:dyDescent="0.25"/>
    <row r="655" s="251" customFormat="1" ht="12.75" x14ac:dyDescent="0.25"/>
    <row r="656" s="251" customFormat="1" ht="12.75" x14ac:dyDescent="0.25"/>
    <row r="657" s="251" customFormat="1" ht="12.75" x14ac:dyDescent="0.25"/>
    <row r="658" s="251" customFormat="1" ht="12.75" x14ac:dyDescent="0.25"/>
    <row r="659" s="251" customFormat="1" ht="12.75" x14ac:dyDescent="0.25"/>
    <row r="660" s="251" customFormat="1" ht="12.75" x14ac:dyDescent="0.25"/>
    <row r="661" s="251" customFormat="1" ht="12.75" x14ac:dyDescent="0.25"/>
    <row r="662" s="251" customFormat="1" ht="12.75" x14ac:dyDescent="0.25"/>
    <row r="663" s="251" customFormat="1" ht="12.75" x14ac:dyDescent="0.25"/>
    <row r="664" s="251" customFormat="1" ht="12.75" x14ac:dyDescent="0.25"/>
    <row r="665" s="251" customFormat="1" ht="12.75" x14ac:dyDescent="0.25"/>
    <row r="666" s="251" customFormat="1" ht="12.75" x14ac:dyDescent="0.25"/>
    <row r="667" s="251" customFormat="1" ht="12.75" x14ac:dyDescent="0.25"/>
    <row r="668" s="251" customFormat="1" ht="12.75" x14ac:dyDescent="0.25"/>
    <row r="669" s="251" customFormat="1" ht="12.75" x14ac:dyDescent="0.25"/>
    <row r="670" s="251" customFormat="1" ht="12.75" x14ac:dyDescent="0.25"/>
    <row r="671" s="251" customFormat="1" ht="12.75" x14ac:dyDescent="0.25"/>
    <row r="672" s="251" customFormat="1" ht="12.75" x14ac:dyDescent="0.25"/>
    <row r="673" s="251" customFormat="1" ht="12.75" x14ac:dyDescent="0.25"/>
    <row r="674" s="251" customFormat="1" ht="12.75" x14ac:dyDescent="0.25"/>
    <row r="675" s="251" customFormat="1" ht="12.75" x14ac:dyDescent="0.25"/>
    <row r="676" s="251" customFormat="1" ht="12.75" x14ac:dyDescent="0.25"/>
    <row r="677" s="251" customFormat="1" ht="12.75" x14ac:dyDescent="0.25"/>
    <row r="678" s="251" customFormat="1" ht="12.75" x14ac:dyDescent="0.25"/>
    <row r="679" s="251" customFormat="1" ht="12.75" x14ac:dyDescent="0.25"/>
    <row r="680" s="251" customFormat="1" ht="12.75" x14ac:dyDescent="0.25"/>
    <row r="681" s="251" customFormat="1" ht="12.75" x14ac:dyDescent="0.25"/>
    <row r="682" s="251" customFormat="1" ht="12.75" x14ac:dyDescent="0.25"/>
    <row r="683" s="251" customFormat="1" ht="12.75" x14ac:dyDescent="0.25"/>
    <row r="684" s="251" customFormat="1" ht="12.75" x14ac:dyDescent="0.25"/>
    <row r="685" s="251" customFormat="1" ht="12.75" x14ac:dyDescent="0.25"/>
    <row r="686" s="251" customFormat="1" ht="12.75" x14ac:dyDescent="0.25"/>
    <row r="687" s="251" customFormat="1" ht="12.75" x14ac:dyDescent="0.25"/>
    <row r="688" s="251" customFormat="1" ht="12.75" x14ac:dyDescent="0.25"/>
    <row r="689" s="251" customFormat="1" ht="12.75" x14ac:dyDescent="0.25"/>
    <row r="690" s="251" customFormat="1" ht="12.75" x14ac:dyDescent="0.25"/>
    <row r="691" s="251" customFormat="1" ht="12.75" x14ac:dyDescent="0.25"/>
    <row r="692" s="251" customFormat="1" ht="12.75" x14ac:dyDescent="0.25"/>
    <row r="693" s="251" customFormat="1" ht="12.75" x14ac:dyDescent="0.25"/>
    <row r="694" s="251" customFormat="1" ht="12.75" x14ac:dyDescent="0.25"/>
    <row r="695" s="251" customFormat="1" ht="12.75" x14ac:dyDescent="0.25"/>
    <row r="696" s="251" customFormat="1" ht="12.75" x14ac:dyDescent="0.25"/>
    <row r="697" s="251" customFormat="1" ht="12.75" x14ac:dyDescent="0.25"/>
    <row r="698" s="251" customFormat="1" ht="12.75" x14ac:dyDescent="0.25"/>
    <row r="699" s="251" customFormat="1" ht="12.75" x14ac:dyDescent="0.25"/>
    <row r="700" s="251" customFormat="1" ht="12.75" x14ac:dyDescent="0.25"/>
    <row r="701" s="251" customFormat="1" ht="12.75" x14ac:dyDescent="0.25"/>
    <row r="702" s="251" customFormat="1" ht="12.75" x14ac:dyDescent="0.25"/>
    <row r="703" s="251" customFormat="1" ht="12.75" x14ac:dyDescent="0.25"/>
    <row r="704" s="251" customFormat="1" ht="12.75" x14ac:dyDescent="0.25"/>
    <row r="705" s="251" customFormat="1" ht="12.75" x14ac:dyDescent="0.25"/>
    <row r="706" s="251" customFormat="1" ht="12.75" x14ac:dyDescent="0.25"/>
    <row r="707" s="251" customFormat="1" ht="12.75" x14ac:dyDescent="0.25"/>
    <row r="708" s="251" customFormat="1" ht="12.75" x14ac:dyDescent="0.25"/>
    <row r="709" s="251" customFormat="1" ht="12.75" x14ac:dyDescent="0.25"/>
    <row r="710" s="251" customFormat="1" ht="12.75" x14ac:dyDescent="0.25"/>
    <row r="711" s="251" customFormat="1" ht="12.75" x14ac:dyDescent="0.25"/>
    <row r="712" s="251" customFormat="1" ht="12.75" x14ac:dyDescent="0.25"/>
    <row r="713" s="251" customFormat="1" ht="12.75" x14ac:dyDescent="0.25"/>
    <row r="714" s="251" customFormat="1" ht="12.75" x14ac:dyDescent="0.25"/>
    <row r="715" s="251" customFormat="1" ht="12.75" x14ac:dyDescent="0.25"/>
    <row r="716" s="251" customFormat="1" ht="12.75" x14ac:dyDescent="0.25"/>
    <row r="717" s="251" customFormat="1" ht="12.75" x14ac:dyDescent="0.25"/>
    <row r="718" s="251" customFormat="1" ht="12.75" x14ac:dyDescent="0.25"/>
    <row r="719" s="251" customFormat="1" ht="12.75" x14ac:dyDescent="0.25"/>
    <row r="720" s="251" customFormat="1" ht="12.75" x14ac:dyDescent="0.25"/>
    <row r="721" s="251" customFormat="1" ht="12.75" x14ac:dyDescent="0.25"/>
    <row r="722" s="251" customFormat="1" ht="12.75" x14ac:dyDescent="0.25"/>
    <row r="723" s="251" customFormat="1" ht="12.75" x14ac:dyDescent="0.25"/>
    <row r="724" s="251" customFormat="1" ht="12.75" x14ac:dyDescent="0.25"/>
    <row r="725" s="251" customFormat="1" ht="12.75" x14ac:dyDescent="0.25"/>
    <row r="726" s="251" customFormat="1" ht="12.75" x14ac:dyDescent="0.25"/>
    <row r="727" s="251" customFormat="1" ht="12.75" x14ac:dyDescent="0.25"/>
    <row r="728" s="251" customFormat="1" ht="12.75" x14ac:dyDescent="0.25"/>
    <row r="729" s="251" customFormat="1" ht="12.75" x14ac:dyDescent="0.25"/>
    <row r="730" s="251" customFormat="1" ht="12.75" x14ac:dyDescent="0.25"/>
    <row r="731" s="251" customFormat="1" ht="12.75" x14ac:dyDescent="0.25"/>
    <row r="732" s="251" customFormat="1" ht="12.75" x14ac:dyDescent="0.25"/>
    <row r="733" s="251" customFormat="1" ht="12.75" x14ac:dyDescent="0.25"/>
    <row r="734" s="251" customFormat="1" ht="12.75" x14ac:dyDescent="0.25"/>
    <row r="735" s="251" customFormat="1" ht="12.75" x14ac:dyDescent="0.25"/>
    <row r="736" s="251" customFormat="1" ht="12.75" x14ac:dyDescent="0.25"/>
    <row r="737" s="251" customFormat="1" ht="12.75" x14ac:dyDescent="0.25"/>
    <row r="738" s="251" customFormat="1" ht="12.75" x14ac:dyDescent="0.25"/>
    <row r="739" s="251" customFormat="1" ht="12.75" x14ac:dyDescent="0.25"/>
    <row r="740" s="251" customFormat="1" ht="12.75" x14ac:dyDescent="0.25"/>
    <row r="741" s="251" customFormat="1" ht="12.75" x14ac:dyDescent="0.25"/>
    <row r="742" s="251" customFormat="1" ht="12.75" x14ac:dyDescent="0.25"/>
    <row r="743" s="251" customFormat="1" ht="12.75" x14ac:dyDescent="0.25"/>
  </sheetData>
  <mergeCells count="1">
    <mergeCell ref="A10:Q10"/>
  </mergeCells>
  <pageMargins left="0.74999999999999989" right="0.74999999999999989" top="1.393700787401575" bottom="1.393700787401575" header="1" footer="1"/>
  <pageSetup paperSize="0" fitToWidth="0" fitToHeight="0" orientation="landscape" horizontalDpi="0" verticalDpi="0" copies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2"/>
  <sheetViews>
    <sheetView workbookViewId="0"/>
  </sheetViews>
  <sheetFormatPr baseColWidth="10" defaultRowHeight="16.5" x14ac:dyDescent="0.3"/>
  <cols>
    <col min="1" max="1" width="5.375" style="259" customWidth="1"/>
    <col min="2" max="2" width="23.125" style="259" customWidth="1"/>
    <col min="3" max="3" width="12" style="259" customWidth="1"/>
    <col min="4" max="4" width="13.75" style="259" customWidth="1"/>
    <col min="5" max="5" width="14.125" style="259" customWidth="1"/>
    <col min="6" max="7" width="15.375" style="259" customWidth="1"/>
    <col min="8" max="8" width="12.625" style="259" customWidth="1"/>
    <col min="9" max="9" width="13.25" style="259" customWidth="1"/>
    <col min="10" max="10" width="13.75" style="259" customWidth="1"/>
    <col min="11" max="11" width="15.25" style="259" customWidth="1"/>
    <col min="12" max="1024" width="12.875" style="259" customWidth="1"/>
  </cols>
  <sheetData>
    <row r="1" spans="1:14" x14ac:dyDescent="0.3">
      <c r="D1" s="260" t="s">
        <v>413</v>
      </c>
    </row>
    <row r="2" spans="1:14" x14ac:dyDescent="0.3">
      <c r="D2" s="260" t="s">
        <v>0</v>
      </c>
    </row>
    <row r="3" spans="1:14" x14ac:dyDescent="0.3">
      <c r="D3" s="260" t="s">
        <v>163</v>
      </c>
      <c r="H3" s="312"/>
    </row>
    <row r="4" spans="1:14" x14ac:dyDescent="0.3">
      <c r="D4" s="773" t="s">
        <v>454</v>
      </c>
      <c r="E4" s="773"/>
      <c r="F4" s="313">
        <f>'FONDOS PART 2024'!E9</f>
        <v>31881085944</v>
      </c>
      <c r="G4" s="314" t="s">
        <v>455</v>
      </c>
      <c r="H4" s="315"/>
    </row>
    <row r="5" spans="1:14" x14ac:dyDescent="0.3">
      <c r="A5" s="316"/>
      <c r="B5" s="316"/>
      <c r="C5" s="316"/>
      <c r="D5" s="317" t="s">
        <v>456</v>
      </c>
      <c r="E5" s="317"/>
      <c r="F5" s="313">
        <f>F4*0.2</f>
        <v>6376217188.8000002</v>
      </c>
      <c r="G5" s="314" t="s">
        <v>457</v>
      </c>
      <c r="H5" s="315"/>
      <c r="I5" s="316"/>
      <c r="J5" s="316"/>
      <c r="K5" s="316"/>
    </row>
    <row r="6" spans="1:14" x14ac:dyDescent="0.3">
      <c r="A6" s="316"/>
      <c r="B6" s="316"/>
      <c r="C6" s="316"/>
      <c r="D6" s="318" t="s">
        <v>458</v>
      </c>
      <c r="E6" s="319"/>
      <c r="F6" s="320">
        <f>F4-F5</f>
        <v>25504868755.200001</v>
      </c>
      <c r="G6" s="314" t="s">
        <v>459</v>
      </c>
      <c r="H6" s="315"/>
      <c r="I6" s="316"/>
      <c r="J6" s="316"/>
      <c r="K6" s="316"/>
    </row>
    <row r="7" spans="1:14" x14ac:dyDescent="0.3">
      <c r="A7" s="316"/>
      <c r="B7" s="316"/>
      <c r="C7" s="316"/>
      <c r="D7" s="314" t="s">
        <v>460</v>
      </c>
      <c r="E7" s="314"/>
      <c r="F7" s="313">
        <f>F6*0.05</f>
        <v>1275243437.76</v>
      </c>
      <c r="G7" s="314" t="s">
        <v>461</v>
      </c>
      <c r="H7" s="315"/>
      <c r="I7" s="321"/>
      <c r="J7" s="316"/>
      <c r="K7" s="316"/>
    </row>
    <row r="8" spans="1:14" x14ac:dyDescent="0.3">
      <c r="A8" s="316"/>
      <c r="B8" s="316"/>
      <c r="C8" s="316"/>
      <c r="D8" s="315" t="s">
        <v>462</v>
      </c>
      <c r="E8" s="315"/>
      <c r="F8" s="322"/>
      <c r="G8" s="315"/>
      <c r="H8" s="315"/>
      <c r="I8" s="316"/>
      <c r="J8" s="316"/>
      <c r="K8" s="316"/>
    </row>
    <row r="9" spans="1:14" x14ac:dyDescent="0.3">
      <c r="A9" s="316"/>
      <c r="B9" s="316"/>
      <c r="C9" s="316"/>
      <c r="D9" s="314" t="s">
        <v>463</v>
      </c>
      <c r="E9" s="314"/>
      <c r="F9" s="323"/>
      <c r="G9" s="313">
        <f>F7/2</f>
        <v>637621718.88</v>
      </c>
      <c r="H9" s="324" t="s">
        <v>464</v>
      </c>
      <c r="I9" s="316"/>
      <c r="J9" s="316"/>
      <c r="K9" s="316"/>
    </row>
    <row r="10" spans="1:14" x14ac:dyDescent="0.3">
      <c r="A10" s="316"/>
      <c r="B10" s="316"/>
      <c r="C10" s="316"/>
      <c r="D10" s="314" t="s">
        <v>465</v>
      </c>
      <c r="E10" s="314"/>
      <c r="F10" s="313"/>
      <c r="G10" s="313">
        <f>G9</f>
        <v>637621718.88</v>
      </c>
      <c r="H10" s="324" t="s">
        <v>466</v>
      </c>
      <c r="I10" s="316"/>
      <c r="J10" s="316"/>
      <c r="K10" s="316"/>
    </row>
    <row r="11" spans="1:14" x14ac:dyDescent="0.3">
      <c r="A11" s="316"/>
      <c r="B11" s="316"/>
      <c r="C11" s="316"/>
      <c r="D11" s="316"/>
      <c r="E11" s="316"/>
      <c r="F11" s="325"/>
      <c r="G11" s="316"/>
      <c r="H11" s="316"/>
      <c r="I11" s="316"/>
      <c r="J11" s="316"/>
      <c r="K11" s="316"/>
    </row>
    <row r="12" spans="1:14" x14ac:dyDescent="0.3">
      <c r="A12" s="326" t="s">
        <v>21</v>
      </c>
      <c r="B12" s="774" t="s">
        <v>34</v>
      </c>
      <c r="C12" s="774" t="s">
        <v>10</v>
      </c>
      <c r="D12" s="774" t="s">
        <v>16</v>
      </c>
      <c r="E12" s="327" t="s">
        <v>467</v>
      </c>
      <c r="F12" s="328" t="s">
        <v>468</v>
      </c>
      <c r="G12" s="328" t="s">
        <v>468</v>
      </c>
      <c r="H12" s="327" t="s">
        <v>469</v>
      </c>
      <c r="I12" s="327" t="s">
        <v>470</v>
      </c>
      <c r="J12" s="327" t="s">
        <v>471</v>
      </c>
      <c r="K12" s="327" t="s">
        <v>191</v>
      </c>
    </row>
    <row r="13" spans="1:14" x14ac:dyDescent="0.3">
      <c r="A13" s="329" t="s">
        <v>472</v>
      </c>
      <c r="B13" s="774"/>
      <c r="C13" s="774"/>
      <c r="D13" s="774"/>
      <c r="E13" s="330" t="s">
        <v>10</v>
      </c>
      <c r="F13" s="331">
        <v>2020</v>
      </c>
      <c r="G13" s="331">
        <v>2021</v>
      </c>
      <c r="H13" s="330" t="s">
        <v>473</v>
      </c>
      <c r="I13" s="330" t="s">
        <v>474</v>
      </c>
      <c r="J13" s="330" t="s">
        <v>468</v>
      </c>
      <c r="K13" s="330" t="s">
        <v>475</v>
      </c>
    </row>
    <row r="14" spans="1:14" ht="27" customHeight="1" x14ac:dyDescent="0.3">
      <c r="A14" s="332"/>
      <c r="B14" s="332"/>
      <c r="C14" s="333" t="s">
        <v>476</v>
      </c>
      <c r="D14" s="333" t="s">
        <v>477</v>
      </c>
      <c r="E14" s="333" t="s">
        <v>478</v>
      </c>
      <c r="F14" s="333" t="s">
        <v>479</v>
      </c>
      <c r="G14" s="333" t="s">
        <v>480</v>
      </c>
      <c r="H14" s="333" t="s">
        <v>481</v>
      </c>
      <c r="I14" s="334" t="s">
        <v>482</v>
      </c>
      <c r="J14" s="333" t="s">
        <v>483</v>
      </c>
      <c r="K14" s="334" t="s">
        <v>484</v>
      </c>
      <c r="M14" s="259">
        <v>2022</v>
      </c>
    </row>
    <row r="15" spans="1:14" x14ac:dyDescent="0.3">
      <c r="A15" s="332"/>
      <c r="B15" s="335" t="s">
        <v>15</v>
      </c>
      <c r="C15" s="336">
        <f t="shared" ref="C15:K15" si="0">SUM(C16:C128)</f>
        <v>4748846</v>
      </c>
      <c r="D15" s="337">
        <f t="shared" si="0"/>
        <v>100.00000000000004</v>
      </c>
      <c r="E15" s="336">
        <f t="shared" si="0"/>
        <v>637621718.88000011</v>
      </c>
      <c r="F15" s="336">
        <f t="shared" si="0"/>
        <v>1157253452</v>
      </c>
      <c r="G15" s="336">
        <f t="shared" si="0"/>
        <v>1273921997.5699999</v>
      </c>
      <c r="H15" s="338">
        <f t="shared" si="0"/>
        <v>124.59611850861199</v>
      </c>
      <c r="I15" s="338">
        <f t="shared" si="0"/>
        <v>100</v>
      </c>
      <c r="J15" s="336">
        <f t="shared" si="0"/>
        <v>637621718.88000011</v>
      </c>
      <c r="K15" s="336">
        <f t="shared" si="0"/>
        <v>1275243437.7600002</v>
      </c>
    </row>
    <row r="16" spans="1:14" x14ac:dyDescent="0.3">
      <c r="A16" s="339">
        <v>1</v>
      </c>
      <c r="B16" s="339" t="s">
        <v>43</v>
      </c>
      <c r="C16" s="340">
        <v>11301</v>
      </c>
      <c r="D16" s="341">
        <f t="shared" ref="D16:D47" si="1">C16/$C$15%</f>
        <v>0.23797360453465957</v>
      </c>
      <c r="E16" s="342">
        <f t="shared" ref="E16:E47" si="2">($F$7*0.5)*D16%</f>
        <v>1517371.3877145899</v>
      </c>
      <c r="F16" s="342">
        <v>3083839</v>
      </c>
      <c r="G16" s="343">
        <v>3477993</v>
      </c>
      <c r="H16" s="344">
        <f t="shared" ref="H16:H47" si="3">G16/F16</f>
        <v>1.1278127684357062</v>
      </c>
      <c r="I16" s="345">
        <f t="shared" ref="I16:I47" si="4">H16/$H$15%</f>
        <v>0.90517488179838657</v>
      </c>
      <c r="J16" s="342">
        <f t="shared" ref="J16:J47" si="5">($F$7*0.5)*I16%</f>
        <v>5771591.6401928812</v>
      </c>
      <c r="K16" s="342">
        <f t="shared" ref="K16:K47" si="6">E16+J16</f>
        <v>7288963.0279074712</v>
      </c>
      <c r="M16" s="346">
        <v>5549272</v>
      </c>
      <c r="N16" s="347">
        <f t="shared" ref="N16:N47" si="7">(K16-M16)/M16</f>
        <v>0.31349896489259693</v>
      </c>
    </row>
    <row r="17" spans="1:14" x14ac:dyDescent="0.3">
      <c r="A17" s="339">
        <v>2</v>
      </c>
      <c r="B17" s="339" t="s">
        <v>46</v>
      </c>
      <c r="C17" s="348">
        <v>14754</v>
      </c>
      <c r="D17" s="341">
        <f t="shared" si="1"/>
        <v>0.31068600666351365</v>
      </c>
      <c r="E17" s="342">
        <f t="shared" si="2"/>
        <v>1981001.4560075272</v>
      </c>
      <c r="F17" s="342">
        <v>1616348</v>
      </c>
      <c r="G17" s="343">
        <v>1728303</v>
      </c>
      <c r="H17" s="344">
        <f t="shared" si="3"/>
        <v>1.0692641683597839</v>
      </c>
      <c r="I17" s="345">
        <f t="shared" si="4"/>
        <v>0.85818417231502853</v>
      </c>
      <c r="J17" s="342">
        <f t="shared" si="5"/>
        <v>5471968.6706711864</v>
      </c>
      <c r="K17" s="342">
        <f t="shared" si="6"/>
        <v>7452970.1266787136</v>
      </c>
      <c r="M17" s="346">
        <v>5965950</v>
      </c>
      <c r="N17" s="347">
        <f t="shared" si="7"/>
        <v>0.24925118827323622</v>
      </c>
    </row>
    <row r="18" spans="1:14" x14ac:dyDescent="0.3">
      <c r="A18" s="339">
        <v>3</v>
      </c>
      <c r="B18" s="339" t="s">
        <v>49</v>
      </c>
      <c r="C18" s="348">
        <v>23000</v>
      </c>
      <c r="D18" s="341">
        <f t="shared" si="1"/>
        <v>0.48432819257562787</v>
      </c>
      <c r="E18" s="342">
        <f t="shared" si="2"/>
        <v>3088181.7465211549</v>
      </c>
      <c r="F18" s="342">
        <v>3081014</v>
      </c>
      <c r="G18" s="343">
        <v>3226019</v>
      </c>
      <c r="H18" s="344">
        <f t="shared" si="3"/>
        <v>1.047064050991005</v>
      </c>
      <c r="I18" s="345">
        <f t="shared" si="4"/>
        <v>0.84036650862332662</v>
      </c>
      <c r="J18" s="342">
        <f t="shared" si="5"/>
        <v>5358359.3771758983</v>
      </c>
      <c r="K18" s="342">
        <f t="shared" si="6"/>
        <v>8446541.1236970536</v>
      </c>
      <c r="M18" s="346">
        <v>6568205</v>
      </c>
      <c r="N18" s="347">
        <f t="shared" si="7"/>
        <v>0.28597404065449444</v>
      </c>
    </row>
    <row r="19" spans="1:14" x14ac:dyDescent="0.3">
      <c r="A19" s="339">
        <v>4</v>
      </c>
      <c r="B19" s="339" t="s">
        <v>52</v>
      </c>
      <c r="C19" s="348">
        <v>14943</v>
      </c>
      <c r="D19" s="341">
        <f t="shared" si="1"/>
        <v>0.31466592094163509</v>
      </c>
      <c r="E19" s="342">
        <f t="shared" si="2"/>
        <v>2006378.2538376355</v>
      </c>
      <c r="F19" s="342">
        <v>1955308</v>
      </c>
      <c r="G19" s="343">
        <v>2631046</v>
      </c>
      <c r="H19" s="344">
        <f t="shared" si="3"/>
        <v>1.3455915896626005</v>
      </c>
      <c r="I19" s="345">
        <f t="shared" si="4"/>
        <v>1.0799626872562602</v>
      </c>
      <c r="J19" s="342">
        <f t="shared" si="5"/>
        <v>6886076.6497460045</v>
      </c>
      <c r="K19" s="342">
        <f t="shared" si="6"/>
        <v>8892454.9035836402</v>
      </c>
      <c r="M19" s="346">
        <v>5788867</v>
      </c>
      <c r="N19" s="347">
        <f t="shared" si="7"/>
        <v>0.53613045585321617</v>
      </c>
    </row>
    <row r="20" spans="1:14" x14ac:dyDescent="0.3">
      <c r="A20" s="339">
        <v>5</v>
      </c>
      <c r="B20" s="339" t="s">
        <v>54</v>
      </c>
      <c r="C20" s="348">
        <v>10892</v>
      </c>
      <c r="D20" s="341">
        <f t="shared" si="1"/>
        <v>0.22936098580581471</v>
      </c>
      <c r="E20" s="342">
        <f t="shared" si="2"/>
        <v>1462455.4601351484</v>
      </c>
      <c r="F20" s="342">
        <v>496255</v>
      </c>
      <c r="G20" s="343">
        <v>416546</v>
      </c>
      <c r="H20" s="344">
        <f t="shared" si="3"/>
        <v>0.8393789483229388</v>
      </c>
      <c r="I20" s="345">
        <f t="shared" si="4"/>
        <v>0.67367985324913759</v>
      </c>
      <c r="J20" s="342">
        <f t="shared" si="5"/>
        <v>4295529.0600354131</v>
      </c>
      <c r="K20" s="342">
        <f t="shared" si="6"/>
        <v>5757984.520170562</v>
      </c>
      <c r="M20" s="346">
        <v>6394519</v>
      </c>
      <c r="N20" s="347">
        <f t="shared" si="7"/>
        <v>-9.9543762373594954E-2</v>
      </c>
    </row>
    <row r="21" spans="1:14" x14ac:dyDescent="0.3">
      <c r="A21" s="339">
        <v>6</v>
      </c>
      <c r="B21" s="339" t="s">
        <v>57</v>
      </c>
      <c r="C21" s="348">
        <v>126191</v>
      </c>
      <c r="D21" s="341">
        <f t="shared" si="1"/>
        <v>2.6572982151874371</v>
      </c>
      <c r="E21" s="342">
        <f t="shared" si="2"/>
        <v>16943510.555445697</v>
      </c>
      <c r="F21" s="342">
        <v>19528493</v>
      </c>
      <c r="G21" s="343">
        <v>26263319</v>
      </c>
      <c r="H21" s="344">
        <f t="shared" si="3"/>
        <v>1.3448717727476462</v>
      </c>
      <c r="I21" s="345">
        <f t="shared" si="4"/>
        <v>1.079384967080407</v>
      </c>
      <c r="J21" s="342">
        <f t="shared" si="5"/>
        <v>6882392.980430413</v>
      </c>
      <c r="K21" s="342">
        <f t="shared" si="6"/>
        <v>23825903.53587611</v>
      </c>
      <c r="M21" s="346">
        <v>17380830</v>
      </c>
      <c r="N21" s="347">
        <f t="shared" si="7"/>
        <v>0.37081506095371225</v>
      </c>
    </row>
    <row r="22" spans="1:14" x14ac:dyDescent="0.3">
      <c r="A22" s="339">
        <v>7</v>
      </c>
      <c r="B22" s="339" t="s">
        <v>426</v>
      </c>
      <c r="C22" s="348">
        <v>3529</v>
      </c>
      <c r="D22" s="341">
        <f t="shared" si="1"/>
        <v>7.4312790939103937E-2</v>
      </c>
      <c r="E22" s="342">
        <f t="shared" si="2"/>
        <v>473834.49493361538</v>
      </c>
      <c r="F22" s="342">
        <v>593752</v>
      </c>
      <c r="G22" s="343">
        <v>588773</v>
      </c>
      <c r="H22" s="344">
        <f t="shared" si="3"/>
        <v>0.99161434403589377</v>
      </c>
      <c r="I22" s="345">
        <f t="shared" si="4"/>
        <v>0.79586294974939698</v>
      </c>
      <c r="J22" s="342">
        <f t="shared" si="5"/>
        <v>5074595.0201211758</v>
      </c>
      <c r="K22" s="342">
        <f t="shared" si="6"/>
        <v>5548429.5150547912</v>
      </c>
      <c r="M22" s="346">
        <v>4616719</v>
      </c>
      <c r="N22" s="347">
        <f t="shared" si="7"/>
        <v>0.20181226430605614</v>
      </c>
    </row>
    <row r="23" spans="1:14" x14ac:dyDescent="0.3">
      <c r="A23" s="339">
        <v>8</v>
      </c>
      <c r="B23" s="339" t="s">
        <v>59</v>
      </c>
      <c r="C23" s="348">
        <v>24676</v>
      </c>
      <c r="D23" s="341">
        <f t="shared" si="1"/>
        <v>0.51962097739113877</v>
      </c>
      <c r="E23" s="342">
        <f t="shared" si="2"/>
        <v>3313216.2077024351</v>
      </c>
      <c r="F23" s="342">
        <v>730626</v>
      </c>
      <c r="G23" s="343">
        <v>908628</v>
      </c>
      <c r="H23" s="344">
        <f t="shared" si="3"/>
        <v>1.2436294355799</v>
      </c>
      <c r="I23" s="345">
        <f t="shared" si="4"/>
        <v>0.99812855365469622</v>
      </c>
      <c r="J23" s="342">
        <f t="shared" si="5"/>
        <v>6364284.4404451577</v>
      </c>
      <c r="K23" s="342">
        <f t="shared" si="6"/>
        <v>9677500.6481475923</v>
      </c>
      <c r="M23" s="346">
        <v>7489641</v>
      </c>
      <c r="N23" s="347">
        <f t="shared" si="7"/>
        <v>0.29211809326342775</v>
      </c>
    </row>
    <row r="24" spans="1:14" x14ac:dyDescent="0.3">
      <c r="A24" s="339">
        <v>9</v>
      </c>
      <c r="B24" s="339" t="s">
        <v>342</v>
      </c>
      <c r="C24" s="348">
        <v>36268</v>
      </c>
      <c r="D24" s="341">
        <f t="shared" si="1"/>
        <v>0.76372238644925527</v>
      </c>
      <c r="E24" s="342">
        <f t="shared" si="2"/>
        <v>4869659.8079490978</v>
      </c>
      <c r="F24" s="342">
        <v>5392599</v>
      </c>
      <c r="G24" s="343">
        <v>5768398</v>
      </c>
      <c r="H24" s="344">
        <f t="shared" si="3"/>
        <v>1.0696879185713606</v>
      </c>
      <c r="I24" s="345">
        <f t="shared" si="4"/>
        <v>0.85852427136197229</v>
      </c>
      <c r="J24" s="342">
        <f t="shared" si="5"/>
        <v>5474137.2160602026</v>
      </c>
      <c r="K24" s="342">
        <f t="shared" si="6"/>
        <v>10343797.0240093</v>
      </c>
      <c r="M24" s="346">
        <v>8535143</v>
      </c>
      <c r="N24" s="347">
        <f t="shared" si="7"/>
        <v>0.2119067043175844</v>
      </c>
    </row>
    <row r="25" spans="1:14" x14ac:dyDescent="0.3">
      <c r="A25" s="339">
        <v>10</v>
      </c>
      <c r="B25" s="339" t="s">
        <v>64</v>
      </c>
      <c r="C25" s="348">
        <v>20332</v>
      </c>
      <c r="D25" s="341">
        <f t="shared" si="1"/>
        <v>0.428146122236855</v>
      </c>
      <c r="E25" s="342">
        <f t="shared" si="2"/>
        <v>2729952.6639247006</v>
      </c>
      <c r="F25" s="342">
        <v>3878369</v>
      </c>
      <c r="G25" s="343">
        <v>4765014</v>
      </c>
      <c r="H25" s="344">
        <f t="shared" si="3"/>
        <v>1.2286128524645283</v>
      </c>
      <c r="I25" s="345">
        <f t="shared" si="4"/>
        <v>0.98607634585310744</v>
      </c>
      <c r="J25" s="342">
        <f t="shared" si="5"/>
        <v>6287436.945897677</v>
      </c>
      <c r="K25" s="342">
        <f t="shared" si="6"/>
        <v>9017389.6098223776</v>
      </c>
      <c r="M25" s="346">
        <v>7454501</v>
      </c>
      <c r="N25" s="347">
        <f t="shared" si="7"/>
        <v>0.20965703939437094</v>
      </c>
    </row>
    <row r="26" spans="1:14" x14ac:dyDescent="0.3">
      <c r="A26" s="339">
        <v>11</v>
      </c>
      <c r="B26" s="339" t="s">
        <v>343</v>
      </c>
      <c r="C26" s="348">
        <v>11681</v>
      </c>
      <c r="D26" s="341">
        <f t="shared" si="1"/>
        <v>0.24597554858590909</v>
      </c>
      <c r="E26" s="342">
        <f t="shared" si="2"/>
        <v>1568393.520917983</v>
      </c>
      <c r="F26" s="342">
        <v>1495167</v>
      </c>
      <c r="G26" s="343">
        <v>1723218</v>
      </c>
      <c r="H26" s="344">
        <f t="shared" si="3"/>
        <v>1.1525254369578783</v>
      </c>
      <c r="I26" s="345">
        <f t="shared" si="4"/>
        <v>0.92500910201164632</v>
      </c>
      <c r="J26" s="342">
        <f t="shared" si="5"/>
        <v>5898058.9360431116</v>
      </c>
      <c r="K26" s="342">
        <f t="shared" si="6"/>
        <v>7466452.4569610944</v>
      </c>
      <c r="M26" s="346">
        <v>5626023</v>
      </c>
      <c r="N26" s="347">
        <f t="shared" si="7"/>
        <v>0.32712796534267535</v>
      </c>
    </row>
    <row r="27" spans="1:14" x14ac:dyDescent="0.3">
      <c r="A27" s="339">
        <v>12</v>
      </c>
      <c r="B27" s="339" t="s">
        <v>384</v>
      </c>
      <c r="C27" s="348">
        <v>45538</v>
      </c>
      <c r="D27" s="341">
        <f t="shared" si="1"/>
        <v>0.95892770580473663</v>
      </c>
      <c r="E27" s="342">
        <f t="shared" si="2"/>
        <v>6114331.3205687106</v>
      </c>
      <c r="F27" s="342">
        <v>2462077</v>
      </c>
      <c r="G27" s="343">
        <v>2453020</v>
      </c>
      <c r="H27" s="344">
        <f t="shared" si="3"/>
        <v>0.99632139855902146</v>
      </c>
      <c r="I27" s="345">
        <f t="shared" si="4"/>
        <v>0.79964079979759284</v>
      </c>
      <c r="J27" s="342">
        <f t="shared" si="5"/>
        <v>5098683.4125351906</v>
      </c>
      <c r="K27" s="342">
        <f t="shared" si="6"/>
        <v>11213014.733103901</v>
      </c>
      <c r="M27" s="346">
        <v>9019387</v>
      </c>
      <c r="N27" s="347">
        <f t="shared" si="7"/>
        <v>0.24321250802342789</v>
      </c>
    </row>
    <row r="28" spans="1:14" x14ac:dyDescent="0.3">
      <c r="A28" s="339">
        <v>13</v>
      </c>
      <c r="B28" s="339" t="s">
        <v>73</v>
      </c>
      <c r="C28" s="348">
        <v>9176</v>
      </c>
      <c r="D28" s="341">
        <f t="shared" si="1"/>
        <v>0.19322589109017221</v>
      </c>
      <c r="E28" s="342">
        <f t="shared" si="2"/>
        <v>1232050.2480903529</v>
      </c>
      <c r="F28" s="342">
        <v>511038</v>
      </c>
      <c r="G28" s="343">
        <v>673964</v>
      </c>
      <c r="H28" s="344">
        <f t="shared" si="3"/>
        <v>1.3188138651137489</v>
      </c>
      <c r="I28" s="345">
        <f t="shared" si="4"/>
        <v>1.0584710670762938</v>
      </c>
      <c r="J28" s="342">
        <f t="shared" si="5"/>
        <v>6749041.4117393419</v>
      </c>
      <c r="K28" s="342">
        <f t="shared" si="6"/>
        <v>7981091.6598296948</v>
      </c>
      <c r="M28" s="346">
        <v>4986542</v>
      </c>
      <c r="N28" s="347">
        <f t="shared" si="7"/>
        <v>0.60052630857810774</v>
      </c>
    </row>
    <row r="29" spans="1:14" x14ac:dyDescent="0.3">
      <c r="A29" s="339">
        <v>14</v>
      </c>
      <c r="B29" s="339" t="s">
        <v>75</v>
      </c>
      <c r="C29" s="348">
        <v>17022</v>
      </c>
      <c r="D29" s="341">
        <f t="shared" si="1"/>
        <v>0.35844497800097119</v>
      </c>
      <c r="E29" s="342">
        <f t="shared" si="2"/>
        <v>2285523.0299688303</v>
      </c>
      <c r="F29" s="342">
        <v>3178681</v>
      </c>
      <c r="G29" s="343">
        <v>3033786</v>
      </c>
      <c r="H29" s="344">
        <f t="shared" si="3"/>
        <v>0.95441662752569378</v>
      </c>
      <c r="I29" s="345">
        <f t="shared" si="4"/>
        <v>0.76600831466489483</v>
      </c>
      <c r="J29" s="342">
        <f t="shared" si="5"/>
        <v>4884235.3827300211</v>
      </c>
      <c r="K29" s="342">
        <f t="shared" si="6"/>
        <v>7169758.4126988519</v>
      </c>
      <c r="M29" s="346">
        <v>5818726</v>
      </c>
      <c r="N29" s="347">
        <f t="shared" si="7"/>
        <v>0.23218697919421741</v>
      </c>
    </row>
    <row r="30" spans="1:14" x14ac:dyDescent="0.3">
      <c r="A30" s="339">
        <v>15</v>
      </c>
      <c r="B30" s="339" t="s">
        <v>77</v>
      </c>
      <c r="C30" s="348">
        <v>19633</v>
      </c>
      <c r="D30" s="341">
        <f t="shared" si="1"/>
        <v>0.41342675673205659</v>
      </c>
      <c r="E30" s="342">
        <f t="shared" si="2"/>
        <v>2636098.7925847755</v>
      </c>
      <c r="F30" s="342">
        <v>4058378</v>
      </c>
      <c r="G30" s="343">
        <v>4149125</v>
      </c>
      <c r="H30" s="344">
        <f t="shared" si="3"/>
        <v>1.0223604109819242</v>
      </c>
      <c r="I30" s="345">
        <f t="shared" si="4"/>
        <v>0.82053953463346407</v>
      </c>
      <c r="J30" s="342">
        <f t="shared" si="5"/>
        <v>5231938.284819846</v>
      </c>
      <c r="K30" s="342">
        <f t="shared" si="6"/>
        <v>7868037.077404622</v>
      </c>
      <c r="M30" s="346">
        <v>5990956</v>
      </c>
      <c r="N30" s="347">
        <f t="shared" si="7"/>
        <v>0.3133191225915567</v>
      </c>
    </row>
    <row r="31" spans="1:14" x14ac:dyDescent="0.3">
      <c r="A31" s="339">
        <v>16</v>
      </c>
      <c r="B31" s="339" t="s">
        <v>79</v>
      </c>
      <c r="C31" s="348">
        <v>20965</v>
      </c>
      <c r="D31" s="341">
        <f t="shared" si="1"/>
        <v>0.44147567640643642</v>
      </c>
      <c r="E31" s="342">
        <f t="shared" si="2"/>
        <v>2814944.7963398267</v>
      </c>
      <c r="F31" s="342">
        <v>3590700</v>
      </c>
      <c r="G31" s="343">
        <v>3983623</v>
      </c>
      <c r="H31" s="344">
        <f t="shared" si="3"/>
        <v>1.1094279666917315</v>
      </c>
      <c r="I31" s="345">
        <f t="shared" si="4"/>
        <v>0.89041936456074167</v>
      </c>
      <c r="J31" s="342">
        <f t="shared" si="5"/>
        <v>5677507.2575525744</v>
      </c>
      <c r="K31" s="342">
        <f t="shared" si="6"/>
        <v>8492452.0538924001</v>
      </c>
      <c r="M31" s="346">
        <v>6658723</v>
      </c>
      <c r="N31" s="347">
        <f t="shared" si="7"/>
        <v>0.27538749605478408</v>
      </c>
    </row>
    <row r="32" spans="1:14" x14ac:dyDescent="0.3">
      <c r="A32" s="339">
        <v>17</v>
      </c>
      <c r="B32" s="339" t="s">
        <v>81</v>
      </c>
      <c r="C32" s="348">
        <v>35070</v>
      </c>
      <c r="D32" s="341">
        <f t="shared" si="1"/>
        <v>0.73849520494031606</v>
      </c>
      <c r="E32" s="342">
        <f t="shared" si="2"/>
        <v>4708805.8195868218</v>
      </c>
      <c r="F32" s="342">
        <v>3285993</v>
      </c>
      <c r="G32" s="343">
        <v>3769325</v>
      </c>
      <c r="H32" s="344">
        <f t="shared" si="3"/>
        <v>1.147088566530726</v>
      </c>
      <c r="I32" s="345">
        <f t="shared" si="4"/>
        <v>0.92064550666675871</v>
      </c>
      <c r="J32" s="342">
        <f t="shared" si="5"/>
        <v>5870235.7044000719</v>
      </c>
      <c r="K32" s="342">
        <f t="shared" si="6"/>
        <v>10579041.523986895</v>
      </c>
      <c r="M32" s="346">
        <v>7624554</v>
      </c>
      <c r="N32" s="347">
        <f t="shared" si="7"/>
        <v>0.38749643900310687</v>
      </c>
    </row>
    <row r="33" spans="1:14" x14ac:dyDescent="0.3">
      <c r="A33" s="339">
        <v>18</v>
      </c>
      <c r="B33" s="339" t="s">
        <v>82</v>
      </c>
      <c r="C33" s="348">
        <v>9484</v>
      </c>
      <c r="D33" s="341">
        <f t="shared" si="1"/>
        <v>0.19971167732118497</v>
      </c>
      <c r="E33" s="342">
        <f t="shared" si="2"/>
        <v>1273405.0297394188</v>
      </c>
      <c r="F33" s="342">
        <v>1247957</v>
      </c>
      <c r="G33" s="343">
        <v>1325855</v>
      </c>
      <c r="H33" s="344">
        <f t="shared" si="3"/>
        <v>1.0624204199343408</v>
      </c>
      <c r="I33" s="345">
        <f t="shared" si="4"/>
        <v>0.85269142622681871</v>
      </c>
      <c r="J33" s="342">
        <f t="shared" si="5"/>
        <v>5436945.7286498277</v>
      </c>
      <c r="K33" s="342">
        <f t="shared" si="6"/>
        <v>6710350.7583892467</v>
      </c>
      <c r="M33" s="346">
        <v>5478414</v>
      </c>
      <c r="N33" s="347">
        <f t="shared" si="7"/>
        <v>0.22487105910382943</v>
      </c>
    </row>
    <row r="34" spans="1:14" x14ac:dyDescent="0.3">
      <c r="A34" s="339">
        <v>19</v>
      </c>
      <c r="B34" s="339" t="s">
        <v>344</v>
      </c>
      <c r="C34" s="348">
        <v>20198</v>
      </c>
      <c r="D34" s="341">
        <f t="shared" si="1"/>
        <v>0.42532438407141443</v>
      </c>
      <c r="E34" s="342">
        <f t="shared" si="2"/>
        <v>2711960.6485319259</v>
      </c>
      <c r="F34" s="342">
        <v>6436911</v>
      </c>
      <c r="G34" s="343">
        <v>7698323</v>
      </c>
      <c r="H34" s="344">
        <f t="shared" si="3"/>
        <v>1.195965425030733</v>
      </c>
      <c r="I34" s="345">
        <f t="shared" si="4"/>
        <v>0.9598737419320722</v>
      </c>
      <c r="J34" s="342">
        <f t="shared" si="5"/>
        <v>6120363.452385054</v>
      </c>
      <c r="K34" s="342">
        <f t="shared" si="6"/>
        <v>8832324.1009169798</v>
      </c>
      <c r="M34" s="346">
        <v>6503944</v>
      </c>
      <c r="N34" s="347">
        <f t="shared" si="7"/>
        <v>0.35799510280484886</v>
      </c>
    </row>
    <row r="35" spans="1:14" x14ac:dyDescent="0.3">
      <c r="A35" s="339">
        <v>20</v>
      </c>
      <c r="B35" s="339" t="s">
        <v>87</v>
      </c>
      <c r="C35" s="348">
        <v>29910</v>
      </c>
      <c r="D35" s="341">
        <f t="shared" si="1"/>
        <v>0.62983722782334906</v>
      </c>
      <c r="E35" s="342">
        <f t="shared" si="2"/>
        <v>4015978.9581933799</v>
      </c>
      <c r="F35" s="342">
        <v>5650585</v>
      </c>
      <c r="G35" s="343">
        <v>5726958</v>
      </c>
      <c r="H35" s="344">
        <f t="shared" si="3"/>
        <v>1.0135159456941183</v>
      </c>
      <c r="I35" s="345">
        <f t="shared" si="4"/>
        <v>0.81344102675563268</v>
      </c>
      <c r="J35" s="342">
        <f t="shared" si="5"/>
        <v>5186676.6568743857</v>
      </c>
      <c r="K35" s="342">
        <f t="shared" si="6"/>
        <v>9202655.6150677651</v>
      </c>
      <c r="M35" s="346">
        <v>6789913</v>
      </c>
      <c r="N35" s="347">
        <f t="shared" si="7"/>
        <v>0.35534219879809431</v>
      </c>
    </row>
    <row r="36" spans="1:14" x14ac:dyDescent="0.3">
      <c r="A36" s="339">
        <v>21</v>
      </c>
      <c r="B36" s="339" t="s">
        <v>88</v>
      </c>
      <c r="C36" s="348">
        <v>13539</v>
      </c>
      <c r="D36" s="341">
        <f t="shared" si="1"/>
        <v>0.28510084344701853</v>
      </c>
      <c r="E36" s="342">
        <f t="shared" si="2"/>
        <v>1817864.8985282574</v>
      </c>
      <c r="F36" s="342">
        <v>762515</v>
      </c>
      <c r="G36" s="343">
        <v>799733</v>
      </c>
      <c r="H36" s="344">
        <f t="shared" si="3"/>
        <v>1.0488095316157715</v>
      </c>
      <c r="I36" s="345">
        <f t="shared" si="4"/>
        <v>0.84176741953905942</v>
      </c>
      <c r="J36" s="342">
        <f t="shared" si="5"/>
        <v>5367291.8894367721</v>
      </c>
      <c r="K36" s="342">
        <f t="shared" si="6"/>
        <v>7185156.7879650295</v>
      </c>
      <c r="M36" s="346">
        <v>5655732</v>
      </c>
      <c r="N36" s="347">
        <f t="shared" si="7"/>
        <v>0.27042030774531561</v>
      </c>
    </row>
    <row r="37" spans="1:14" x14ac:dyDescent="0.3">
      <c r="A37" s="339">
        <v>22</v>
      </c>
      <c r="B37" s="339" t="s">
        <v>91</v>
      </c>
      <c r="C37" s="348">
        <v>25138</v>
      </c>
      <c r="D37" s="341">
        <f t="shared" si="1"/>
        <v>0.52934965673765799</v>
      </c>
      <c r="E37" s="342">
        <f t="shared" si="2"/>
        <v>3375248.3801760343</v>
      </c>
      <c r="F37" s="342">
        <v>4908757</v>
      </c>
      <c r="G37" s="343">
        <v>5840098</v>
      </c>
      <c r="H37" s="344">
        <f t="shared" si="3"/>
        <v>1.1897305162997476</v>
      </c>
      <c r="I37" s="345">
        <f t="shared" si="4"/>
        <v>0.954869646454929</v>
      </c>
      <c r="J37" s="342">
        <f t="shared" si="5"/>
        <v>6088456.2527892971</v>
      </c>
      <c r="K37" s="342">
        <f t="shared" si="6"/>
        <v>9463704.6329653319</v>
      </c>
      <c r="M37" s="346">
        <v>8173337</v>
      </c>
      <c r="N37" s="347">
        <f t="shared" si="7"/>
        <v>0.15787525131599639</v>
      </c>
    </row>
    <row r="38" spans="1:14" x14ac:dyDescent="0.3">
      <c r="A38" s="339">
        <v>23</v>
      </c>
      <c r="B38" s="339" t="s">
        <v>60</v>
      </c>
      <c r="C38" s="348">
        <v>10417</v>
      </c>
      <c r="D38" s="341">
        <f t="shared" si="1"/>
        <v>0.21935855574175284</v>
      </c>
      <c r="E38" s="342">
        <f t="shared" si="2"/>
        <v>1398677.7936309073</v>
      </c>
      <c r="F38" s="342">
        <v>2506937</v>
      </c>
      <c r="G38" s="343">
        <v>2800057</v>
      </c>
      <c r="H38" s="344">
        <f t="shared" si="3"/>
        <v>1.1169235605043126</v>
      </c>
      <c r="I38" s="345">
        <f t="shared" si="4"/>
        <v>0.89643527733740092</v>
      </c>
      <c r="J38" s="342">
        <f t="shared" si="5"/>
        <v>5715866.0240054308</v>
      </c>
      <c r="K38" s="342">
        <f t="shared" si="6"/>
        <v>7114543.8176363381</v>
      </c>
      <c r="M38" s="346">
        <v>6131511</v>
      </c>
      <c r="N38" s="347">
        <f t="shared" si="7"/>
        <v>0.16032472544472937</v>
      </c>
    </row>
    <row r="39" spans="1:14" x14ac:dyDescent="0.3">
      <c r="A39" s="339">
        <v>24</v>
      </c>
      <c r="B39" s="339" t="s">
        <v>95</v>
      </c>
      <c r="C39" s="348">
        <v>20586</v>
      </c>
      <c r="D39" s="341">
        <f t="shared" si="1"/>
        <v>0.43349479010269021</v>
      </c>
      <c r="E39" s="342">
        <f t="shared" si="2"/>
        <v>2764056.9319080212</v>
      </c>
      <c r="F39" s="342">
        <v>1764192</v>
      </c>
      <c r="G39" s="343">
        <v>1657875</v>
      </c>
      <c r="H39" s="344">
        <f t="shared" si="3"/>
        <v>0.93973615116721987</v>
      </c>
      <c r="I39" s="345">
        <f t="shared" si="4"/>
        <v>0.75422586386771429</v>
      </c>
      <c r="J39" s="342">
        <f t="shared" si="5"/>
        <v>4809107.9174308488</v>
      </c>
      <c r="K39" s="342">
        <f t="shared" si="6"/>
        <v>7573164.8493388705</v>
      </c>
      <c r="M39" s="346">
        <v>6692527</v>
      </c>
      <c r="N39" s="347">
        <f t="shared" si="7"/>
        <v>0.13158525163049331</v>
      </c>
    </row>
    <row r="40" spans="1:14" x14ac:dyDescent="0.3">
      <c r="A40" s="339">
        <v>25</v>
      </c>
      <c r="B40" s="339" t="s">
        <v>97</v>
      </c>
      <c r="C40" s="348">
        <v>40560</v>
      </c>
      <c r="D40" s="341">
        <f t="shared" si="1"/>
        <v>0.8541022387333681</v>
      </c>
      <c r="E40" s="342">
        <f t="shared" si="2"/>
        <v>5445941.3756042626</v>
      </c>
      <c r="F40" s="342">
        <v>1595640</v>
      </c>
      <c r="G40" s="343">
        <v>1296569</v>
      </c>
      <c r="H40" s="344">
        <f t="shared" si="3"/>
        <v>0.81256987791732471</v>
      </c>
      <c r="I40" s="345">
        <f t="shared" si="4"/>
        <v>0.65216307509704685</v>
      </c>
      <c r="J40" s="342">
        <f t="shared" si="5"/>
        <v>4158333.4093344552</v>
      </c>
      <c r="K40" s="342">
        <f t="shared" si="6"/>
        <v>9604274.7849387173</v>
      </c>
      <c r="M40" s="346">
        <v>8046291</v>
      </c>
      <c r="N40" s="347">
        <f t="shared" si="7"/>
        <v>0.1936275713790015</v>
      </c>
    </row>
    <row r="41" spans="1:14" x14ac:dyDescent="0.3">
      <c r="A41" s="339">
        <v>26</v>
      </c>
      <c r="B41" s="339" t="s">
        <v>345</v>
      </c>
      <c r="C41" s="348">
        <v>4773</v>
      </c>
      <c r="D41" s="341">
        <f t="shared" si="1"/>
        <v>0.10050862883319442</v>
      </c>
      <c r="E41" s="342">
        <f t="shared" si="2"/>
        <v>640864.8467889335</v>
      </c>
      <c r="F41" s="342">
        <v>748089</v>
      </c>
      <c r="G41" s="343">
        <v>700106</v>
      </c>
      <c r="H41" s="344">
        <f t="shared" si="3"/>
        <v>0.93585923599999465</v>
      </c>
      <c r="I41" s="345">
        <f t="shared" si="4"/>
        <v>0.75111427803853203</v>
      </c>
      <c r="J41" s="342">
        <f t="shared" si="5"/>
        <v>4789267.7703823904</v>
      </c>
      <c r="K41" s="342">
        <f t="shared" si="6"/>
        <v>5430132.6171713239</v>
      </c>
      <c r="M41" s="346">
        <v>5922273</v>
      </c>
      <c r="N41" s="347">
        <f t="shared" si="7"/>
        <v>-8.3099914986809312E-2</v>
      </c>
    </row>
    <row r="42" spans="1:14" x14ac:dyDescent="0.3">
      <c r="A42" s="339">
        <v>27</v>
      </c>
      <c r="B42" s="339" t="s">
        <v>71</v>
      </c>
      <c r="C42" s="348">
        <v>4944</v>
      </c>
      <c r="D42" s="341">
        <f t="shared" si="1"/>
        <v>0.10410950365625671</v>
      </c>
      <c r="E42" s="342">
        <f t="shared" si="2"/>
        <v>663824.80673046049</v>
      </c>
      <c r="F42" s="342">
        <v>1242382</v>
      </c>
      <c r="G42" s="343">
        <v>1336279</v>
      </c>
      <c r="H42" s="344">
        <f t="shared" si="3"/>
        <v>1.0755782038052708</v>
      </c>
      <c r="I42" s="345">
        <f t="shared" si="4"/>
        <v>0.86325177435678113</v>
      </c>
      <c r="J42" s="342">
        <f t="shared" si="5"/>
        <v>5504280.8019158067</v>
      </c>
      <c r="K42" s="342">
        <f t="shared" si="6"/>
        <v>6168105.6086462671</v>
      </c>
      <c r="M42" s="346">
        <v>4570102</v>
      </c>
      <c r="N42" s="347">
        <f t="shared" si="7"/>
        <v>0.34966475773325567</v>
      </c>
    </row>
    <row r="43" spans="1:14" x14ac:dyDescent="0.3">
      <c r="A43" s="339">
        <v>28</v>
      </c>
      <c r="B43" s="339" t="s">
        <v>72</v>
      </c>
      <c r="C43" s="348">
        <v>5233</v>
      </c>
      <c r="D43" s="341">
        <f t="shared" si="1"/>
        <v>0.11019519268470698</v>
      </c>
      <c r="E43" s="342">
        <f t="shared" si="2"/>
        <v>702628.48171935673</v>
      </c>
      <c r="F43" s="342">
        <v>2289803</v>
      </c>
      <c r="G43" s="343">
        <v>2221956</v>
      </c>
      <c r="H43" s="344">
        <f t="shared" si="3"/>
        <v>0.97036994012148647</v>
      </c>
      <c r="I43" s="345">
        <f t="shared" si="4"/>
        <v>0.77881233519679449</v>
      </c>
      <c r="J43" s="342">
        <f t="shared" si="5"/>
        <v>4965876.5985312685</v>
      </c>
      <c r="K43" s="342">
        <f t="shared" si="6"/>
        <v>5668505.0802506255</v>
      </c>
      <c r="M43" s="346">
        <v>4759649</v>
      </c>
      <c r="N43" s="347">
        <f t="shared" si="7"/>
        <v>0.19095023188697854</v>
      </c>
    </row>
    <row r="44" spans="1:14" x14ac:dyDescent="0.3">
      <c r="A44" s="339">
        <v>29</v>
      </c>
      <c r="B44" s="339" t="s">
        <v>61</v>
      </c>
      <c r="C44" s="348">
        <v>12342</v>
      </c>
      <c r="D44" s="341">
        <f t="shared" si="1"/>
        <v>0.25989471968558259</v>
      </c>
      <c r="E44" s="342">
        <f t="shared" si="2"/>
        <v>1657145.1789375693</v>
      </c>
      <c r="F44" s="342">
        <v>10390</v>
      </c>
      <c r="G44" s="343">
        <v>6062</v>
      </c>
      <c r="H44" s="344">
        <f t="shared" si="3"/>
        <v>0.58344562078922035</v>
      </c>
      <c r="I44" s="345">
        <f t="shared" si="4"/>
        <v>0.46826949970266774</v>
      </c>
      <c r="J44" s="342">
        <f t="shared" si="5"/>
        <v>2985788.0329949264</v>
      </c>
      <c r="K44" s="342">
        <f t="shared" si="6"/>
        <v>4642933.2119324952</v>
      </c>
      <c r="M44" s="346">
        <v>5301532</v>
      </c>
      <c r="N44" s="347">
        <f t="shared" si="7"/>
        <v>-0.12422801334925541</v>
      </c>
    </row>
    <row r="45" spans="1:14" x14ac:dyDescent="0.3">
      <c r="A45" s="339">
        <v>30</v>
      </c>
      <c r="B45" s="339" t="s">
        <v>104</v>
      </c>
      <c r="C45" s="348">
        <v>11850</v>
      </c>
      <c r="D45" s="341">
        <f t="shared" si="1"/>
        <v>0.24953430791396478</v>
      </c>
      <c r="E45" s="342">
        <f t="shared" si="2"/>
        <v>1591084.9433163339</v>
      </c>
      <c r="F45" s="342">
        <v>2936889</v>
      </c>
      <c r="G45" s="343">
        <v>3356915</v>
      </c>
      <c r="H45" s="344">
        <f t="shared" si="3"/>
        <v>1.143017322071076</v>
      </c>
      <c r="I45" s="345">
        <f t="shared" si="4"/>
        <v>0.9173779534649561</v>
      </c>
      <c r="J45" s="342">
        <f t="shared" si="5"/>
        <v>5849401.0755094197</v>
      </c>
      <c r="K45" s="342">
        <f t="shared" si="6"/>
        <v>7440486.0188257536</v>
      </c>
      <c r="M45" s="346">
        <v>8545619</v>
      </c>
      <c r="N45" s="347">
        <f t="shared" si="7"/>
        <v>-0.12932158351246953</v>
      </c>
    </row>
    <row r="46" spans="1:14" x14ac:dyDescent="0.3">
      <c r="A46" s="339">
        <v>31</v>
      </c>
      <c r="B46" s="339" t="s">
        <v>410</v>
      </c>
      <c r="C46" s="348">
        <v>16112</v>
      </c>
      <c r="D46" s="341">
        <f t="shared" si="1"/>
        <v>0.33928242777297896</v>
      </c>
      <c r="E46" s="342">
        <f t="shared" si="2"/>
        <v>2163338.447823863</v>
      </c>
      <c r="F46" s="342">
        <v>1871925</v>
      </c>
      <c r="G46" s="343">
        <v>2264566</v>
      </c>
      <c r="H46" s="344">
        <f t="shared" si="3"/>
        <v>1.209752527478398</v>
      </c>
      <c r="I46" s="345">
        <f t="shared" si="4"/>
        <v>0.97093917688517795</v>
      </c>
      <c r="J46" s="342">
        <f t="shared" si="5"/>
        <v>6190919.0689345943</v>
      </c>
      <c r="K46" s="342">
        <f t="shared" si="6"/>
        <v>8354257.5167584568</v>
      </c>
      <c r="M46" s="346">
        <v>6464593</v>
      </c>
      <c r="N46" s="347">
        <f t="shared" si="7"/>
        <v>0.29230989743027236</v>
      </c>
    </row>
    <row r="47" spans="1:14" x14ac:dyDescent="0.3">
      <c r="A47" s="339">
        <v>32</v>
      </c>
      <c r="B47" s="339" t="s">
        <v>83</v>
      </c>
      <c r="C47" s="348">
        <v>15715</v>
      </c>
      <c r="D47" s="341">
        <f t="shared" si="1"/>
        <v>0.33092250201417356</v>
      </c>
      <c r="E47" s="342">
        <f t="shared" si="2"/>
        <v>2110033.7455034764</v>
      </c>
      <c r="F47" s="342">
        <v>1989450</v>
      </c>
      <c r="G47" s="343">
        <v>2090331</v>
      </c>
      <c r="H47" s="344">
        <f t="shared" si="3"/>
        <v>1.0507079846188645</v>
      </c>
      <c r="I47" s="345">
        <f t="shared" si="4"/>
        <v>0.84329110504854166</v>
      </c>
      <c r="J47" s="342">
        <f t="shared" si="5"/>
        <v>5377007.239172657</v>
      </c>
      <c r="K47" s="342">
        <f t="shared" si="6"/>
        <v>7487040.9846761338</v>
      </c>
      <c r="M47" s="346">
        <v>5735875</v>
      </c>
      <c r="N47" s="347">
        <f t="shared" si="7"/>
        <v>0.30530058355109446</v>
      </c>
    </row>
    <row r="48" spans="1:14" x14ac:dyDescent="0.3">
      <c r="A48" s="339">
        <v>33</v>
      </c>
      <c r="B48" s="339" t="s">
        <v>108</v>
      </c>
      <c r="C48" s="348">
        <v>21466</v>
      </c>
      <c r="D48" s="341">
        <f t="shared" ref="D48:D79" si="8">C48/$C$15%</f>
        <v>0.45202560790558383</v>
      </c>
      <c r="E48" s="342">
        <f t="shared" ref="E48:E79" si="9">($F$7*0.5)*D48%</f>
        <v>2882213.4509053528</v>
      </c>
      <c r="F48" s="342">
        <v>1504995</v>
      </c>
      <c r="G48" s="343">
        <v>1969135</v>
      </c>
      <c r="H48" s="344">
        <f t="shared" ref="H48:H79" si="10">G48/F48</f>
        <v>1.3083996956800521</v>
      </c>
      <c r="I48" s="345">
        <f t="shared" ref="I48:I79" si="11">H48/$H$15%</f>
        <v>1.0501127252929765</v>
      </c>
      <c r="J48" s="342">
        <f t="shared" ref="J48:J79" si="12">($F$7*0.5)*I48%</f>
        <v>6695746.8091906887</v>
      </c>
      <c r="K48" s="342">
        <f t="shared" ref="K48:K79" si="13">E48+J48</f>
        <v>9577960.2600960415</v>
      </c>
      <c r="M48" s="346">
        <v>6856280</v>
      </c>
      <c r="N48" s="347">
        <f t="shared" ref="N48:N79" si="14">(K48-M48)/M48</f>
        <v>0.39696165560566976</v>
      </c>
    </row>
    <row r="49" spans="1:14" x14ac:dyDescent="0.3">
      <c r="A49" s="339">
        <v>34</v>
      </c>
      <c r="B49" s="339" t="s">
        <v>110</v>
      </c>
      <c r="C49" s="348">
        <v>125712</v>
      </c>
      <c r="D49" s="341">
        <f t="shared" si="8"/>
        <v>2.6472115541333623</v>
      </c>
      <c r="E49" s="342">
        <f t="shared" si="9"/>
        <v>16879195.813855104</v>
      </c>
      <c r="F49" s="342">
        <v>30114230</v>
      </c>
      <c r="G49" s="343">
        <v>30386023</v>
      </c>
      <c r="H49" s="344">
        <f t="shared" si="10"/>
        <v>1.0090254009483224</v>
      </c>
      <c r="I49" s="345">
        <f t="shared" si="11"/>
        <v>0.80983694598686828</v>
      </c>
      <c r="J49" s="342">
        <f t="shared" si="12"/>
        <v>5163696.2551267669</v>
      </c>
      <c r="K49" s="342">
        <f t="shared" si="13"/>
        <v>22042892.068981871</v>
      </c>
      <c r="M49" s="346">
        <v>18077809</v>
      </c>
      <c r="N49" s="347">
        <f t="shared" si="14"/>
        <v>0.21933427159131236</v>
      </c>
    </row>
    <row r="50" spans="1:14" x14ac:dyDescent="0.3">
      <c r="A50" s="339">
        <v>35</v>
      </c>
      <c r="B50" s="339" t="s">
        <v>112</v>
      </c>
      <c r="C50" s="348">
        <v>30627</v>
      </c>
      <c r="D50" s="341">
        <f t="shared" si="8"/>
        <v>0.64493563278320676</v>
      </c>
      <c r="E50" s="342">
        <f t="shared" si="9"/>
        <v>4112249.6674218876</v>
      </c>
      <c r="F50" s="342">
        <v>1456051</v>
      </c>
      <c r="G50" s="343">
        <v>1805654</v>
      </c>
      <c r="H50" s="344">
        <f t="shared" si="10"/>
        <v>1.2401035403292879</v>
      </c>
      <c r="I50" s="345">
        <f t="shared" si="11"/>
        <v>0.99529869403080395</v>
      </c>
      <c r="J50" s="342">
        <f t="shared" si="12"/>
        <v>6346240.6408694042</v>
      </c>
      <c r="K50" s="342">
        <f t="shared" si="13"/>
        <v>10458490.308291292</v>
      </c>
      <c r="M50" s="346">
        <v>7794185</v>
      </c>
      <c r="N50" s="347">
        <f t="shared" si="14"/>
        <v>0.34183244409662994</v>
      </c>
    </row>
    <row r="51" spans="1:14" x14ac:dyDescent="0.3">
      <c r="A51" s="339">
        <v>36</v>
      </c>
      <c r="B51" s="339" t="s">
        <v>114</v>
      </c>
      <c r="C51" s="348">
        <v>11644</v>
      </c>
      <c r="D51" s="341">
        <f t="shared" si="8"/>
        <v>0.24519641192828742</v>
      </c>
      <c r="E51" s="342">
        <f t="shared" si="9"/>
        <v>1563425.5763692318</v>
      </c>
      <c r="F51" s="342">
        <v>3696606</v>
      </c>
      <c r="G51" s="343">
        <v>3981031</v>
      </c>
      <c r="H51" s="344">
        <f t="shared" si="10"/>
        <v>1.0769422004941831</v>
      </c>
      <c r="I51" s="345">
        <f t="shared" si="11"/>
        <v>0.86434650885191555</v>
      </c>
      <c r="J51" s="342">
        <f t="shared" si="12"/>
        <v>5511261.0668208553</v>
      </c>
      <c r="K51" s="342">
        <f t="shared" si="13"/>
        <v>7074686.6431900868</v>
      </c>
      <c r="M51" s="346">
        <v>5496938</v>
      </c>
      <c r="N51" s="347">
        <f t="shared" si="14"/>
        <v>0.28702318330497578</v>
      </c>
    </row>
    <row r="52" spans="1:14" x14ac:dyDescent="0.3">
      <c r="A52" s="339">
        <v>37</v>
      </c>
      <c r="B52" s="339" t="s">
        <v>92</v>
      </c>
      <c r="C52" s="348">
        <v>7945</v>
      </c>
      <c r="D52" s="341">
        <f t="shared" si="8"/>
        <v>0.16730380391362448</v>
      </c>
      <c r="E52" s="342">
        <f t="shared" si="9"/>
        <v>1066765.3902656771</v>
      </c>
      <c r="F52" s="342">
        <v>1675605</v>
      </c>
      <c r="G52" s="343">
        <v>1793838</v>
      </c>
      <c r="H52" s="344">
        <f t="shared" si="10"/>
        <v>1.0705613793226925</v>
      </c>
      <c r="I52" s="345">
        <f t="shared" si="11"/>
        <v>0.85922530503925454</v>
      </c>
      <c r="J52" s="342">
        <f t="shared" si="12"/>
        <v>5478607.159043218</v>
      </c>
      <c r="K52" s="342">
        <f t="shared" si="13"/>
        <v>6545372.5493088951</v>
      </c>
      <c r="M52" s="346">
        <v>5072710</v>
      </c>
      <c r="N52" s="347">
        <f t="shared" si="14"/>
        <v>0.29031081006185949</v>
      </c>
    </row>
    <row r="53" spans="1:14" x14ac:dyDescent="0.3">
      <c r="A53" s="339">
        <v>38</v>
      </c>
      <c r="B53" s="339" t="s">
        <v>51</v>
      </c>
      <c r="C53" s="348">
        <v>41973</v>
      </c>
      <c r="D53" s="341">
        <f t="shared" si="8"/>
        <v>0.88385683595551423</v>
      </c>
      <c r="E53" s="342">
        <f t="shared" si="9"/>
        <v>5635663.1498579318</v>
      </c>
      <c r="F53" s="342">
        <v>3496572</v>
      </c>
      <c r="G53" s="343">
        <v>5123379</v>
      </c>
      <c r="H53" s="344">
        <f t="shared" si="10"/>
        <v>1.4652576866714027</v>
      </c>
      <c r="I53" s="345">
        <f t="shared" si="11"/>
        <v>1.1760058854242119</v>
      </c>
      <c r="J53" s="342">
        <f t="shared" si="12"/>
        <v>7498468.9407718228</v>
      </c>
      <c r="K53" s="342">
        <f t="shared" si="13"/>
        <v>13134132.090629755</v>
      </c>
      <c r="M53" s="346">
        <v>9215150</v>
      </c>
      <c r="N53" s="347">
        <f t="shared" si="14"/>
        <v>0.4252759955757372</v>
      </c>
    </row>
    <row r="54" spans="1:14" x14ac:dyDescent="0.3">
      <c r="A54" s="339">
        <v>39</v>
      </c>
      <c r="B54" s="339" t="s">
        <v>105</v>
      </c>
      <c r="C54" s="348">
        <v>9015</v>
      </c>
      <c r="D54" s="341">
        <f t="shared" si="8"/>
        <v>0.18983559374214284</v>
      </c>
      <c r="E54" s="342">
        <f t="shared" si="9"/>
        <v>1210432.9758647049</v>
      </c>
      <c r="F54" s="342">
        <v>1009103</v>
      </c>
      <c r="G54" s="343">
        <v>1120360</v>
      </c>
      <c r="H54" s="344">
        <f t="shared" si="10"/>
        <v>1.1102533636308682</v>
      </c>
      <c r="I54" s="345">
        <f t="shared" si="11"/>
        <v>0.89108182254821078</v>
      </c>
      <c r="J54" s="342">
        <f t="shared" si="12"/>
        <v>5681731.2335591326</v>
      </c>
      <c r="K54" s="342">
        <f t="shared" si="13"/>
        <v>6892164.2094238373</v>
      </c>
      <c r="M54" s="346">
        <v>6172263</v>
      </c>
      <c r="N54" s="347">
        <f t="shared" si="14"/>
        <v>0.11663488892547794</v>
      </c>
    </row>
    <row r="55" spans="1:14" x14ac:dyDescent="0.3">
      <c r="A55" s="339">
        <v>40</v>
      </c>
      <c r="B55" s="339" t="s">
        <v>96</v>
      </c>
      <c r="C55" s="348">
        <v>18385</v>
      </c>
      <c r="D55" s="341">
        <f t="shared" si="8"/>
        <v>0.38714668784795297</v>
      </c>
      <c r="E55" s="342">
        <f t="shared" si="9"/>
        <v>2468531.3656431059</v>
      </c>
      <c r="F55" s="342">
        <v>2724948</v>
      </c>
      <c r="G55" s="343">
        <v>2846284</v>
      </c>
      <c r="H55" s="344">
        <f t="shared" si="10"/>
        <v>1.0445278221822949</v>
      </c>
      <c r="I55" s="345">
        <f t="shared" si="11"/>
        <v>0.83833094857613721</v>
      </c>
      <c r="J55" s="342">
        <f t="shared" si="12"/>
        <v>5345380.2042141752</v>
      </c>
      <c r="K55" s="342">
        <f t="shared" si="13"/>
        <v>7813911.5698572807</v>
      </c>
      <c r="M55" s="346">
        <v>6395930</v>
      </c>
      <c r="N55" s="347">
        <f t="shared" si="14"/>
        <v>0.22170060802061323</v>
      </c>
    </row>
    <row r="56" spans="1:14" x14ac:dyDescent="0.3">
      <c r="A56" s="339">
        <v>41</v>
      </c>
      <c r="B56" s="339" t="s">
        <v>98</v>
      </c>
      <c r="C56" s="348">
        <v>16043</v>
      </c>
      <c r="D56" s="341">
        <f t="shared" si="8"/>
        <v>0.3378294431952521</v>
      </c>
      <c r="E56" s="342">
        <f t="shared" si="9"/>
        <v>2154073.9025842994</v>
      </c>
      <c r="F56" s="342">
        <v>3424411</v>
      </c>
      <c r="G56" s="343">
        <v>3710870</v>
      </c>
      <c r="H56" s="344">
        <f t="shared" si="10"/>
        <v>1.0836520499437714</v>
      </c>
      <c r="I56" s="345">
        <f t="shared" si="11"/>
        <v>0.8697317885298893</v>
      </c>
      <c r="J56" s="342">
        <f t="shared" si="12"/>
        <v>5545598.7796700466</v>
      </c>
      <c r="K56" s="342">
        <f t="shared" si="13"/>
        <v>7699672.6822543461</v>
      </c>
      <c r="M56" s="346">
        <v>6220597</v>
      </c>
      <c r="N56" s="347">
        <f t="shared" si="14"/>
        <v>0.23777069664766035</v>
      </c>
    </row>
    <row r="57" spans="1:14" x14ac:dyDescent="0.3">
      <c r="A57" s="339">
        <v>42</v>
      </c>
      <c r="B57" s="339" t="s">
        <v>122</v>
      </c>
      <c r="C57" s="348">
        <v>14302</v>
      </c>
      <c r="D57" s="341">
        <f t="shared" si="8"/>
        <v>0.30116790479202737</v>
      </c>
      <c r="E57" s="342">
        <f t="shared" si="9"/>
        <v>1920311.9712498069</v>
      </c>
      <c r="F57" s="342">
        <v>1530905</v>
      </c>
      <c r="G57" s="343">
        <v>1776710.57</v>
      </c>
      <c r="H57" s="344">
        <f t="shared" si="10"/>
        <v>1.1605622621913183</v>
      </c>
      <c r="I57" s="345">
        <f t="shared" si="11"/>
        <v>0.93145940345734057</v>
      </c>
      <c r="J57" s="342">
        <f t="shared" si="12"/>
        <v>5939187.4589940887</v>
      </c>
      <c r="K57" s="342">
        <f t="shared" si="13"/>
        <v>7859499.4302438954</v>
      </c>
      <c r="M57" s="346">
        <v>5182345</v>
      </c>
      <c r="N57" s="347">
        <f t="shared" si="14"/>
        <v>0.51659131729822994</v>
      </c>
    </row>
    <row r="58" spans="1:14" x14ac:dyDescent="0.3">
      <c r="A58" s="339">
        <v>43</v>
      </c>
      <c r="B58" s="339" t="s">
        <v>346</v>
      </c>
      <c r="C58" s="348">
        <v>68781</v>
      </c>
      <c r="D58" s="341">
        <f t="shared" si="8"/>
        <v>1.4483729310236635</v>
      </c>
      <c r="E58" s="342">
        <f t="shared" si="9"/>
        <v>9235140.3785857204</v>
      </c>
      <c r="F58" s="342">
        <v>16861548</v>
      </c>
      <c r="G58" s="343">
        <v>16550524</v>
      </c>
      <c r="H58" s="344">
        <f t="shared" si="10"/>
        <v>0.98155424401128533</v>
      </c>
      <c r="I58" s="345">
        <f t="shared" si="11"/>
        <v>0.78778878167335609</v>
      </c>
      <c r="J58" s="342">
        <f t="shared" si="12"/>
        <v>5023112.3708494632</v>
      </c>
      <c r="K58" s="342">
        <f t="shared" si="13"/>
        <v>14258252.749435183</v>
      </c>
      <c r="M58" s="346">
        <v>11487818</v>
      </c>
      <c r="N58" s="347">
        <f t="shared" si="14"/>
        <v>0.24116283435506922</v>
      </c>
    </row>
    <row r="59" spans="1:14" x14ac:dyDescent="0.3">
      <c r="A59" s="339">
        <v>44</v>
      </c>
      <c r="B59" s="339" t="s">
        <v>102</v>
      </c>
      <c r="C59" s="348">
        <v>12946</v>
      </c>
      <c r="D59" s="341">
        <f t="shared" si="8"/>
        <v>0.27261359917756861</v>
      </c>
      <c r="E59" s="342">
        <f t="shared" si="9"/>
        <v>1738243.5169766464</v>
      </c>
      <c r="F59" s="342">
        <v>2402921</v>
      </c>
      <c r="G59" s="343">
        <v>2684530</v>
      </c>
      <c r="H59" s="344">
        <f t="shared" si="10"/>
        <v>1.1171944479240059</v>
      </c>
      <c r="I59" s="345">
        <f t="shared" si="11"/>
        <v>0.89665268974393153</v>
      </c>
      <c r="J59" s="342">
        <f t="shared" si="12"/>
        <v>5717252.2927290089</v>
      </c>
      <c r="K59" s="342">
        <f t="shared" si="13"/>
        <v>7455495.8097056551</v>
      </c>
      <c r="M59" s="346">
        <v>5248540</v>
      </c>
      <c r="N59" s="347">
        <f t="shared" si="14"/>
        <v>0.42048947130166769</v>
      </c>
    </row>
    <row r="60" spans="1:14" x14ac:dyDescent="0.3">
      <c r="A60" s="339">
        <v>45</v>
      </c>
      <c r="B60" s="339" t="s">
        <v>127</v>
      </c>
      <c r="C60" s="348">
        <v>36158</v>
      </c>
      <c r="D60" s="341">
        <f t="shared" si="8"/>
        <v>0.76140603422389352</v>
      </c>
      <c r="E60" s="342">
        <f t="shared" si="9"/>
        <v>4854890.2430744311</v>
      </c>
      <c r="F60" s="342">
        <v>18589175</v>
      </c>
      <c r="G60" s="343">
        <v>17747309</v>
      </c>
      <c r="H60" s="344">
        <f t="shared" si="10"/>
        <v>0.954712029985193</v>
      </c>
      <c r="I60" s="345">
        <f t="shared" si="11"/>
        <v>0.76624540267617092</v>
      </c>
      <c r="J60" s="342">
        <f t="shared" si="12"/>
        <v>4885747.1073827781</v>
      </c>
      <c r="K60" s="342">
        <f t="shared" si="13"/>
        <v>9740637.3504572101</v>
      </c>
      <c r="M60" s="346">
        <v>8349052</v>
      </c>
      <c r="N60" s="347">
        <f t="shared" si="14"/>
        <v>0.16667585139692628</v>
      </c>
    </row>
    <row r="61" spans="1:14" x14ac:dyDescent="0.3">
      <c r="A61" s="339">
        <v>46</v>
      </c>
      <c r="B61" s="339" t="s">
        <v>119</v>
      </c>
      <c r="C61" s="348">
        <v>14936</v>
      </c>
      <c r="D61" s="341">
        <f t="shared" si="8"/>
        <v>0.31451851670911207</v>
      </c>
      <c r="E61" s="342">
        <f t="shared" si="9"/>
        <v>2005438.3724365204</v>
      </c>
      <c r="F61" s="342">
        <v>503981</v>
      </c>
      <c r="G61" s="343">
        <v>502042</v>
      </c>
      <c r="H61" s="344">
        <f t="shared" si="10"/>
        <v>0.99615263273813892</v>
      </c>
      <c r="I61" s="345">
        <f t="shared" si="11"/>
        <v>0.79950534949392149</v>
      </c>
      <c r="J61" s="342">
        <f t="shared" si="12"/>
        <v>5097819.7519806931</v>
      </c>
      <c r="K61" s="342">
        <f t="shared" si="13"/>
        <v>7103258.1244172137</v>
      </c>
      <c r="M61" s="346">
        <v>6748473</v>
      </c>
      <c r="N61" s="347">
        <f t="shared" si="14"/>
        <v>5.2572652275146355E-2</v>
      </c>
    </row>
    <row r="62" spans="1:14" x14ac:dyDescent="0.3">
      <c r="A62" s="339">
        <v>47</v>
      </c>
      <c r="B62" s="339" t="s">
        <v>121</v>
      </c>
      <c r="C62" s="348">
        <v>19834</v>
      </c>
      <c r="D62" s="341">
        <f t="shared" si="8"/>
        <v>0.41765936398021752</v>
      </c>
      <c r="E62" s="342">
        <f t="shared" si="9"/>
        <v>2663086.8156739385</v>
      </c>
      <c r="F62" s="342">
        <v>1364787</v>
      </c>
      <c r="G62" s="343">
        <v>1523030</v>
      </c>
      <c r="H62" s="344">
        <f t="shared" si="10"/>
        <v>1.1159470305622783</v>
      </c>
      <c r="I62" s="345">
        <f t="shared" si="11"/>
        <v>0.89565152102643142</v>
      </c>
      <c r="J62" s="342">
        <f t="shared" si="12"/>
        <v>5710868.6235435968</v>
      </c>
      <c r="K62" s="342">
        <f t="shared" si="13"/>
        <v>8373955.4392175358</v>
      </c>
      <c r="M62" s="346">
        <v>6633260</v>
      </c>
      <c r="N62" s="347">
        <f t="shared" si="14"/>
        <v>0.2624192989898686</v>
      </c>
    </row>
    <row r="63" spans="1:14" x14ac:dyDescent="0.3">
      <c r="A63" s="339">
        <v>48</v>
      </c>
      <c r="B63" s="339" t="s">
        <v>47</v>
      </c>
      <c r="C63" s="348">
        <v>5745</v>
      </c>
      <c r="D63" s="341">
        <f t="shared" si="8"/>
        <v>0.12097675940639052</v>
      </c>
      <c r="E63" s="342">
        <f t="shared" si="9"/>
        <v>771374.09277234937</v>
      </c>
      <c r="F63" s="342">
        <v>850821</v>
      </c>
      <c r="G63" s="343">
        <v>961203</v>
      </c>
      <c r="H63" s="344">
        <f t="shared" si="10"/>
        <v>1.1297358668862194</v>
      </c>
      <c r="I63" s="345">
        <f t="shared" si="11"/>
        <v>0.9067183475768813</v>
      </c>
      <c r="J63" s="342">
        <f t="shared" si="12"/>
        <v>5781433.1132200435</v>
      </c>
      <c r="K63" s="342">
        <f t="shared" si="13"/>
        <v>6552807.2059923932</v>
      </c>
      <c r="M63" s="346">
        <v>4223604</v>
      </c>
      <c r="N63" s="347">
        <f t="shared" si="14"/>
        <v>0.55147291412556509</v>
      </c>
    </row>
    <row r="64" spans="1:14" x14ac:dyDescent="0.3">
      <c r="A64" s="339">
        <v>49</v>
      </c>
      <c r="B64" s="339" t="s">
        <v>115</v>
      </c>
      <c r="C64" s="348">
        <v>19086</v>
      </c>
      <c r="D64" s="341">
        <f t="shared" si="8"/>
        <v>0.40190816884775799</v>
      </c>
      <c r="E64" s="342">
        <f t="shared" si="9"/>
        <v>2562653.7745262068</v>
      </c>
      <c r="F64" s="342">
        <v>1836375</v>
      </c>
      <c r="G64" s="343">
        <v>1932620</v>
      </c>
      <c r="H64" s="344">
        <f t="shared" si="10"/>
        <v>1.052410319243074</v>
      </c>
      <c r="I64" s="345">
        <f t="shared" si="11"/>
        <v>0.84465738727674111</v>
      </c>
      <c r="J64" s="342">
        <f t="shared" si="12"/>
        <v>5385718.9514008546</v>
      </c>
      <c r="K64" s="342">
        <f t="shared" si="13"/>
        <v>7948372.7259270614</v>
      </c>
      <c r="M64" s="346">
        <v>6621689</v>
      </c>
      <c r="N64" s="347">
        <f t="shared" si="14"/>
        <v>0.20035427908605513</v>
      </c>
    </row>
    <row r="65" spans="1:14" x14ac:dyDescent="0.3">
      <c r="A65" s="339">
        <v>50</v>
      </c>
      <c r="B65" s="339" t="s">
        <v>69</v>
      </c>
      <c r="C65" s="348">
        <v>89311</v>
      </c>
      <c r="D65" s="341">
        <f t="shared" si="8"/>
        <v>1.8806884872661696</v>
      </c>
      <c r="E65" s="342">
        <f t="shared" si="9"/>
        <v>11991678.25928482</v>
      </c>
      <c r="F65" s="342">
        <v>13979401</v>
      </c>
      <c r="G65" s="343">
        <v>14644796</v>
      </c>
      <c r="H65" s="344">
        <f t="shared" si="10"/>
        <v>1.0475982483083504</v>
      </c>
      <c r="I65" s="345">
        <f t="shared" si="11"/>
        <v>0.84079525176857028</v>
      </c>
      <c r="J65" s="342">
        <f t="shared" si="12"/>
        <v>5361093.1365881814</v>
      </c>
      <c r="K65" s="342">
        <f t="shared" si="13"/>
        <v>17352771.395873003</v>
      </c>
      <c r="M65" s="346">
        <v>14140355</v>
      </c>
      <c r="N65" s="347">
        <f t="shared" si="14"/>
        <v>0.2271807458775259</v>
      </c>
    </row>
    <row r="66" spans="1:14" x14ac:dyDescent="0.3">
      <c r="A66" s="339">
        <v>51</v>
      </c>
      <c r="B66" s="339" t="s">
        <v>126</v>
      </c>
      <c r="C66" s="348">
        <v>13983</v>
      </c>
      <c r="D66" s="341">
        <f t="shared" si="8"/>
        <v>0.29445048333847845</v>
      </c>
      <c r="E66" s="342">
        <f t="shared" si="9"/>
        <v>1877480.2331132742</v>
      </c>
      <c r="F66" s="342">
        <v>4673519</v>
      </c>
      <c r="G66" s="343">
        <v>6220473</v>
      </c>
      <c r="H66" s="344">
        <f t="shared" si="10"/>
        <v>1.3310041106070181</v>
      </c>
      <c r="I66" s="345">
        <f t="shared" si="11"/>
        <v>1.0682548754638934</v>
      </c>
      <c r="J66" s="342">
        <f t="shared" si="12"/>
        <v>6811425.0989522813</v>
      </c>
      <c r="K66" s="342">
        <f t="shared" si="13"/>
        <v>8688905.3320655562</v>
      </c>
      <c r="M66" s="346">
        <v>6102651</v>
      </c>
      <c r="N66" s="347">
        <f t="shared" si="14"/>
        <v>0.42379194420024285</v>
      </c>
    </row>
    <row r="67" spans="1:14" x14ac:dyDescent="0.3">
      <c r="A67" s="339">
        <v>52</v>
      </c>
      <c r="B67" s="339" t="s">
        <v>58</v>
      </c>
      <c r="C67" s="348">
        <v>196003</v>
      </c>
      <c r="D67" s="341">
        <f t="shared" si="8"/>
        <v>4.1273816838869903</v>
      </c>
      <c r="E67" s="342">
        <f t="shared" si="9"/>
        <v>26317082.037538514</v>
      </c>
      <c r="F67" s="342">
        <v>92398048</v>
      </c>
      <c r="G67" s="343">
        <v>96503259</v>
      </c>
      <c r="H67" s="344">
        <f t="shared" si="10"/>
        <v>1.0444296290761468</v>
      </c>
      <c r="I67" s="345">
        <f t="shared" si="11"/>
        <v>0.83825213945485522</v>
      </c>
      <c r="J67" s="342">
        <f t="shared" si="12"/>
        <v>5344877.7001404222</v>
      </c>
      <c r="K67" s="342">
        <f t="shared" si="13"/>
        <v>31661959.737678938</v>
      </c>
      <c r="M67" s="346">
        <v>25897066</v>
      </c>
      <c r="N67" s="347">
        <f t="shared" si="14"/>
        <v>0.22260798723990347</v>
      </c>
    </row>
    <row r="68" spans="1:14" x14ac:dyDescent="0.3">
      <c r="A68" s="339">
        <v>53</v>
      </c>
      <c r="B68" s="339" t="s">
        <v>103</v>
      </c>
      <c r="C68" s="349">
        <v>849053</v>
      </c>
      <c r="D68" s="341">
        <f t="shared" si="8"/>
        <v>17.879143690909327</v>
      </c>
      <c r="E68" s="342">
        <f t="shared" si="9"/>
        <v>114001303.32300113</v>
      </c>
      <c r="F68" s="342">
        <v>419526125</v>
      </c>
      <c r="G68" s="343">
        <v>480627822</v>
      </c>
      <c r="H68" s="344">
        <f t="shared" si="10"/>
        <v>1.1456445578925507</v>
      </c>
      <c r="I68" s="345">
        <f t="shared" si="11"/>
        <v>0.91948655512359689</v>
      </c>
      <c r="J68" s="342">
        <f t="shared" si="12"/>
        <v>5862845.977649577</v>
      </c>
      <c r="K68" s="342">
        <f t="shared" si="13"/>
        <v>119864149.30065072</v>
      </c>
      <c r="M68" s="346">
        <v>93786424</v>
      </c>
      <c r="N68" s="347">
        <f t="shared" si="14"/>
        <v>0.27805437278054995</v>
      </c>
    </row>
    <row r="69" spans="1:14" x14ac:dyDescent="0.3">
      <c r="A69" s="339">
        <v>54</v>
      </c>
      <c r="B69" s="339" t="s">
        <v>94</v>
      </c>
      <c r="C69" s="348">
        <v>7983</v>
      </c>
      <c r="D69" s="341">
        <f t="shared" si="8"/>
        <v>0.16810399831874945</v>
      </c>
      <c r="E69" s="342">
        <f t="shared" si="9"/>
        <v>1071867.6035860167</v>
      </c>
      <c r="F69" s="342">
        <v>2242616</v>
      </c>
      <c r="G69" s="343">
        <v>2383927</v>
      </c>
      <c r="H69" s="344">
        <f t="shared" si="10"/>
        <v>1.0630116792174853</v>
      </c>
      <c r="I69" s="345">
        <f t="shared" si="11"/>
        <v>0.85316596691895408</v>
      </c>
      <c r="J69" s="342">
        <f t="shared" si="12"/>
        <v>5439971.5031678071</v>
      </c>
      <c r="K69" s="342">
        <f t="shared" si="13"/>
        <v>6511839.1067538243</v>
      </c>
      <c r="M69" s="346">
        <v>5160208</v>
      </c>
      <c r="N69" s="347">
        <f t="shared" si="14"/>
        <v>0.26193345437893673</v>
      </c>
    </row>
    <row r="70" spans="1:14" x14ac:dyDescent="0.3">
      <c r="A70" s="339">
        <v>55</v>
      </c>
      <c r="B70" s="339" t="s">
        <v>347</v>
      </c>
      <c r="C70" s="348">
        <v>45732</v>
      </c>
      <c r="D70" s="341">
        <f t="shared" si="8"/>
        <v>0.96301290882037449</v>
      </c>
      <c r="E70" s="342">
        <f t="shared" si="9"/>
        <v>6140379.4622567585</v>
      </c>
      <c r="F70" s="342">
        <v>1622278</v>
      </c>
      <c r="G70" s="343">
        <v>2250569</v>
      </c>
      <c r="H70" s="344">
        <f t="shared" si="10"/>
        <v>1.3872893548454703</v>
      </c>
      <c r="I70" s="345">
        <f t="shared" si="11"/>
        <v>1.1134290308968027</v>
      </c>
      <c r="J70" s="342">
        <f t="shared" si="12"/>
        <v>7099465.3253131192</v>
      </c>
      <c r="K70" s="342">
        <f t="shared" si="13"/>
        <v>13239844.787569877</v>
      </c>
      <c r="M70" s="346">
        <v>9427951</v>
      </c>
      <c r="N70" s="347">
        <f t="shared" si="14"/>
        <v>0.40431837072232096</v>
      </c>
    </row>
    <row r="71" spans="1:14" x14ac:dyDescent="0.3">
      <c r="A71" s="339">
        <v>56</v>
      </c>
      <c r="B71" s="339" t="s">
        <v>348</v>
      </c>
      <c r="C71" s="348">
        <v>32598</v>
      </c>
      <c r="D71" s="341">
        <f t="shared" si="8"/>
        <v>0.68644045311218771</v>
      </c>
      <c r="E71" s="342">
        <f t="shared" si="9"/>
        <v>4376893.4162215916</v>
      </c>
      <c r="F71" s="342">
        <v>712004</v>
      </c>
      <c r="G71" s="343">
        <v>995722</v>
      </c>
      <c r="H71" s="344">
        <f t="shared" si="10"/>
        <v>1.3984780984376493</v>
      </c>
      <c r="I71" s="345">
        <f t="shared" si="11"/>
        <v>1.1224090406483951</v>
      </c>
      <c r="J71" s="342">
        <f t="shared" si="12"/>
        <v>7156723.8178468151</v>
      </c>
      <c r="K71" s="342">
        <f t="shared" si="13"/>
        <v>11533617.234068407</v>
      </c>
      <c r="M71" s="346">
        <v>7443960</v>
      </c>
      <c r="N71" s="347">
        <f t="shared" si="14"/>
        <v>0.54939269341431263</v>
      </c>
    </row>
    <row r="72" spans="1:14" x14ac:dyDescent="0.3">
      <c r="A72" s="339">
        <v>57</v>
      </c>
      <c r="B72" s="339" t="s">
        <v>65</v>
      </c>
      <c r="C72" s="348">
        <v>8196</v>
      </c>
      <c r="D72" s="341">
        <f t="shared" si="8"/>
        <v>0.17258929853694982</v>
      </c>
      <c r="E72" s="342">
        <f t="shared" si="9"/>
        <v>1100466.8519342341</v>
      </c>
      <c r="F72" s="342">
        <v>569170</v>
      </c>
      <c r="G72" s="343">
        <v>622586</v>
      </c>
      <c r="H72" s="344">
        <f t="shared" si="10"/>
        <v>1.093848937927157</v>
      </c>
      <c r="I72" s="345">
        <f t="shared" si="11"/>
        <v>0.87791574169427355</v>
      </c>
      <c r="J72" s="342">
        <f t="shared" si="12"/>
        <v>5597781.4425091278</v>
      </c>
      <c r="K72" s="342">
        <f t="shared" si="13"/>
        <v>6698248.2944433615</v>
      </c>
      <c r="M72" s="346">
        <v>6052463</v>
      </c>
      <c r="N72" s="347">
        <f t="shared" si="14"/>
        <v>0.10669793346004122</v>
      </c>
    </row>
    <row r="73" spans="1:14" x14ac:dyDescent="0.3">
      <c r="A73" s="339">
        <v>58</v>
      </c>
      <c r="B73" s="339" t="s">
        <v>134</v>
      </c>
      <c r="C73" s="348">
        <v>20981</v>
      </c>
      <c r="D73" s="341">
        <f t="shared" si="8"/>
        <v>0.44181260036648906</v>
      </c>
      <c r="E73" s="342">
        <f t="shared" si="9"/>
        <v>2817093.0966852331</v>
      </c>
      <c r="F73" s="342">
        <v>1761755</v>
      </c>
      <c r="G73" s="343">
        <v>1773556</v>
      </c>
      <c r="H73" s="344">
        <f t="shared" si="10"/>
        <v>1.0066984342317746</v>
      </c>
      <c r="I73" s="345">
        <f t="shared" si="11"/>
        <v>0.80796933827612971</v>
      </c>
      <c r="J73" s="342">
        <f t="shared" si="12"/>
        <v>5151787.9827396199</v>
      </c>
      <c r="K73" s="342">
        <f t="shared" si="13"/>
        <v>7968881.0794248525</v>
      </c>
      <c r="M73" s="346">
        <v>6953053</v>
      </c>
      <c r="N73" s="347">
        <f t="shared" si="14"/>
        <v>0.14609813551325621</v>
      </c>
    </row>
    <row r="74" spans="1:14" x14ac:dyDescent="0.3">
      <c r="A74" s="339">
        <v>59</v>
      </c>
      <c r="B74" s="339" t="s">
        <v>136</v>
      </c>
      <c r="C74" s="348">
        <v>9027</v>
      </c>
      <c r="D74" s="341">
        <f t="shared" si="8"/>
        <v>0.19008828671218228</v>
      </c>
      <c r="E74" s="342">
        <f t="shared" si="9"/>
        <v>1212044.2011237592</v>
      </c>
      <c r="F74" s="342">
        <v>548546</v>
      </c>
      <c r="G74" s="343">
        <v>749907</v>
      </c>
      <c r="H74" s="344">
        <f t="shared" si="10"/>
        <v>1.3670813386662195</v>
      </c>
      <c r="I74" s="345">
        <f t="shared" si="11"/>
        <v>1.0972102141141162</v>
      </c>
      <c r="J74" s="342">
        <f t="shared" si="12"/>
        <v>6996050.626961356</v>
      </c>
      <c r="K74" s="342">
        <f t="shared" si="13"/>
        <v>8208094.8280851152</v>
      </c>
      <c r="M74" s="346">
        <v>5731248</v>
      </c>
      <c r="N74" s="347">
        <f t="shared" si="14"/>
        <v>0.43216535527429895</v>
      </c>
    </row>
    <row r="75" spans="1:14" x14ac:dyDescent="0.3">
      <c r="A75" s="339">
        <v>60</v>
      </c>
      <c r="B75" s="339" t="s">
        <v>137</v>
      </c>
      <c r="C75" s="348">
        <v>9437</v>
      </c>
      <c r="D75" s="341">
        <f t="shared" si="8"/>
        <v>0.19872196318853044</v>
      </c>
      <c r="E75" s="342">
        <f t="shared" si="9"/>
        <v>1267094.3974747888</v>
      </c>
      <c r="F75" s="342">
        <v>2992080</v>
      </c>
      <c r="G75" s="343">
        <v>3202047</v>
      </c>
      <c r="H75" s="344">
        <f t="shared" si="10"/>
        <v>1.0701742600465227</v>
      </c>
      <c r="I75" s="345">
        <f t="shared" si="11"/>
        <v>0.85891460573272438</v>
      </c>
      <c r="J75" s="342">
        <f t="shared" si="12"/>
        <v>5476626.0727843726</v>
      </c>
      <c r="K75" s="342">
        <f t="shared" si="13"/>
        <v>6743720.4702591617</v>
      </c>
      <c r="M75" s="346">
        <v>6100682</v>
      </c>
      <c r="N75" s="347">
        <f t="shared" si="14"/>
        <v>0.10540435811261128</v>
      </c>
    </row>
    <row r="76" spans="1:14" x14ac:dyDescent="0.3">
      <c r="A76" s="339">
        <v>61</v>
      </c>
      <c r="B76" s="339" t="s">
        <v>135</v>
      </c>
      <c r="C76" s="348">
        <v>24774</v>
      </c>
      <c r="D76" s="341">
        <f t="shared" si="8"/>
        <v>0.52168463664646103</v>
      </c>
      <c r="E76" s="342">
        <f t="shared" si="9"/>
        <v>3326374.5473180469</v>
      </c>
      <c r="F76" s="342">
        <v>410541</v>
      </c>
      <c r="G76" s="343">
        <v>721956</v>
      </c>
      <c r="H76" s="344">
        <f t="shared" si="10"/>
        <v>1.7585478673262842</v>
      </c>
      <c r="I76" s="345">
        <f t="shared" si="11"/>
        <v>1.4113985960202562</v>
      </c>
      <c r="J76" s="342">
        <f t="shared" si="12"/>
        <v>8999383.9881925453</v>
      </c>
      <c r="K76" s="342">
        <f t="shared" si="13"/>
        <v>12325758.535510592</v>
      </c>
      <c r="M76" s="346">
        <v>6603134</v>
      </c>
      <c r="N76" s="347">
        <f t="shared" si="14"/>
        <v>0.86665279479571244</v>
      </c>
    </row>
    <row r="77" spans="1:14" x14ac:dyDescent="0.3">
      <c r="A77" s="339">
        <v>62</v>
      </c>
      <c r="B77" s="339" t="s">
        <v>113</v>
      </c>
      <c r="C77" s="348">
        <v>21028</v>
      </c>
      <c r="D77" s="341">
        <f t="shared" si="8"/>
        <v>0.44280231449914359</v>
      </c>
      <c r="E77" s="342">
        <f t="shared" si="9"/>
        <v>2823403.728949863</v>
      </c>
      <c r="F77" s="342">
        <v>2564036</v>
      </c>
      <c r="G77" s="343">
        <v>2820968</v>
      </c>
      <c r="H77" s="344">
        <f t="shared" si="10"/>
        <v>1.1002060813498717</v>
      </c>
      <c r="I77" s="345">
        <f t="shared" si="11"/>
        <v>0.88301794190629335</v>
      </c>
      <c r="J77" s="342">
        <f t="shared" si="12"/>
        <v>5630314.1792017082</v>
      </c>
      <c r="K77" s="342">
        <f t="shared" si="13"/>
        <v>8453717.9081515707</v>
      </c>
      <c r="M77" s="346">
        <v>6567230</v>
      </c>
      <c r="N77" s="347">
        <f t="shared" si="14"/>
        <v>0.28725777963487964</v>
      </c>
    </row>
    <row r="78" spans="1:14" x14ac:dyDescent="0.3">
      <c r="A78" s="339">
        <v>63</v>
      </c>
      <c r="B78" s="339" t="s">
        <v>123</v>
      </c>
      <c r="C78" s="348">
        <v>14889</v>
      </c>
      <c r="D78" s="341">
        <f t="shared" si="8"/>
        <v>0.31352880257645754</v>
      </c>
      <c r="E78" s="342">
        <f t="shared" si="9"/>
        <v>1999127.7401718902</v>
      </c>
      <c r="F78" s="342">
        <v>2742415</v>
      </c>
      <c r="G78" s="343">
        <v>2858014</v>
      </c>
      <c r="H78" s="344">
        <f t="shared" si="10"/>
        <v>1.0421522636070761</v>
      </c>
      <c r="I78" s="345">
        <f t="shared" si="11"/>
        <v>0.83642434136906396</v>
      </c>
      <c r="J78" s="342">
        <f t="shared" si="12"/>
        <v>5333223.2625681441</v>
      </c>
      <c r="K78" s="342">
        <f t="shared" si="13"/>
        <v>7332351.0027400348</v>
      </c>
      <c r="M78" s="346">
        <v>5639253</v>
      </c>
      <c r="N78" s="347">
        <f t="shared" si="14"/>
        <v>0.30023444643112035</v>
      </c>
    </row>
    <row r="79" spans="1:14" x14ac:dyDescent="0.3">
      <c r="A79" s="339">
        <v>64</v>
      </c>
      <c r="B79" s="339" t="s">
        <v>74</v>
      </c>
      <c r="C79" s="348">
        <v>26832</v>
      </c>
      <c r="D79" s="341">
        <f t="shared" si="8"/>
        <v>0.56502148100822813</v>
      </c>
      <c r="E79" s="342">
        <f t="shared" si="9"/>
        <v>3602699.6792458971</v>
      </c>
      <c r="F79" s="342">
        <v>907321</v>
      </c>
      <c r="G79" s="343">
        <v>1051444</v>
      </c>
      <c r="H79" s="344">
        <f t="shared" si="10"/>
        <v>1.1588445544630841</v>
      </c>
      <c r="I79" s="345">
        <f t="shared" si="11"/>
        <v>0.93008078288007479</v>
      </c>
      <c r="J79" s="342">
        <f t="shared" si="12"/>
        <v>5930397.0747724939</v>
      </c>
      <c r="K79" s="342">
        <f t="shared" si="13"/>
        <v>9533096.7540183906</v>
      </c>
      <c r="M79" s="346">
        <v>6772951</v>
      </c>
      <c r="N79" s="347">
        <f t="shared" si="14"/>
        <v>0.40752483725607797</v>
      </c>
    </row>
    <row r="80" spans="1:14" x14ac:dyDescent="0.3">
      <c r="A80" s="339">
        <v>65</v>
      </c>
      <c r="B80" s="339" t="s">
        <v>89</v>
      </c>
      <c r="C80" s="348">
        <v>39657</v>
      </c>
      <c r="D80" s="341">
        <f t="shared" ref="D80:D111" si="15">C80/$C$15%</f>
        <v>0.83508709273789883</v>
      </c>
      <c r="E80" s="342">
        <f t="shared" ref="E80:E111" si="16">($F$7*0.5)*D80%</f>
        <v>5324696.6748604095</v>
      </c>
      <c r="F80" s="342">
        <v>2864436</v>
      </c>
      <c r="G80" s="343">
        <v>2793053</v>
      </c>
      <c r="H80" s="344">
        <f t="shared" ref="H80:H111" si="17">G80/F80</f>
        <v>0.9750795619102679</v>
      </c>
      <c r="I80" s="345">
        <f t="shared" ref="I80:I111" si="18">H80/$H$15%</f>
        <v>0.78259224571499886</v>
      </c>
      <c r="J80" s="342">
        <f t="shared" ref="J80:J111" si="19">($F$7*0.5)*I80%</f>
        <v>4989978.1289495686</v>
      </c>
      <c r="K80" s="342">
        <f t="shared" ref="K80:K111" si="20">E80+J80</f>
        <v>10314674.803809978</v>
      </c>
      <c r="M80" s="346">
        <v>7711058</v>
      </c>
      <c r="N80" s="347">
        <f t="shared" ref="N80:N111" si="21">(K80-M80)/M80</f>
        <v>0.33764715604654744</v>
      </c>
    </row>
    <row r="81" spans="1:14" x14ac:dyDescent="0.3">
      <c r="A81" s="339">
        <v>66</v>
      </c>
      <c r="B81" s="339" t="s">
        <v>118</v>
      </c>
      <c r="C81" s="348">
        <v>98382</v>
      </c>
      <c r="D81" s="341">
        <f t="shared" si="15"/>
        <v>2.0717033148684965</v>
      </c>
      <c r="E81" s="342">
        <f t="shared" si="16"/>
        <v>13209630.286358444</v>
      </c>
      <c r="F81" s="342">
        <v>21224355</v>
      </c>
      <c r="G81" s="343">
        <v>26721497</v>
      </c>
      <c r="H81" s="344">
        <f t="shared" si="17"/>
        <v>1.2590016045246133</v>
      </c>
      <c r="I81" s="345">
        <f t="shared" si="18"/>
        <v>1.0104661522321758</v>
      </c>
      <c r="J81" s="342">
        <f t="shared" si="19"/>
        <v>6442951.6485633971</v>
      </c>
      <c r="K81" s="342">
        <f t="shared" si="20"/>
        <v>19652581.934921842</v>
      </c>
      <c r="M81" s="346">
        <v>14903832</v>
      </c>
      <c r="N81" s="347">
        <f t="shared" si="21"/>
        <v>0.31862610467709529</v>
      </c>
    </row>
    <row r="82" spans="1:14" x14ac:dyDescent="0.3">
      <c r="A82" s="339">
        <v>67</v>
      </c>
      <c r="B82" s="339" t="s">
        <v>120</v>
      </c>
      <c r="C82" s="348">
        <v>16621</v>
      </c>
      <c r="D82" s="341">
        <f t="shared" si="15"/>
        <v>0.35000082125215265</v>
      </c>
      <c r="E82" s="342">
        <f t="shared" si="16"/>
        <v>2231681.2525620922</v>
      </c>
      <c r="F82" s="342">
        <v>3990096</v>
      </c>
      <c r="G82" s="343">
        <v>4011784</v>
      </c>
      <c r="H82" s="344">
        <f t="shared" si="17"/>
        <v>1.0054354581944895</v>
      </c>
      <c r="I82" s="345">
        <f t="shared" si="18"/>
        <v>0.80695568227110914</v>
      </c>
      <c r="J82" s="342">
        <f t="shared" si="19"/>
        <v>5145324.6918968782</v>
      </c>
      <c r="K82" s="342">
        <f t="shared" si="20"/>
        <v>7377005.9444589708</v>
      </c>
      <c r="M82" s="346">
        <v>5769729</v>
      </c>
      <c r="N82" s="347">
        <f t="shared" si="21"/>
        <v>0.27857061301474834</v>
      </c>
    </row>
    <row r="83" spans="1:14" x14ac:dyDescent="0.3">
      <c r="A83" s="339">
        <v>68</v>
      </c>
      <c r="B83" s="339" t="s">
        <v>144</v>
      </c>
      <c r="C83" s="348">
        <v>29389</v>
      </c>
      <c r="D83" s="341">
        <f t="shared" si="15"/>
        <v>0.61886614137413598</v>
      </c>
      <c r="E83" s="342">
        <f t="shared" si="16"/>
        <v>3946024.9281960963</v>
      </c>
      <c r="F83" s="342">
        <v>5334258</v>
      </c>
      <c r="G83" s="343">
        <v>6110874</v>
      </c>
      <c r="H83" s="344">
        <f t="shared" si="17"/>
        <v>1.1455902582889692</v>
      </c>
      <c r="I83" s="345">
        <f t="shared" si="18"/>
        <v>0.91944297462989344</v>
      </c>
      <c r="J83" s="342">
        <f t="shared" si="19"/>
        <v>5862568.0989565291</v>
      </c>
      <c r="K83" s="342">
        <f t="shared" si="20"/>
        <v>9808593.0271526258</v>
      </c>
      <c r="M83" s="346">
        <v>7484034</v>
      </c>
      <c r="N83" s="347">
        <f t="shared" si="21"/>
        <v>0.31060241403935712</v>
      </c>
    </row>
    <row r="84" spans="1:14" x14ac:dyDescent="0.3">
      <c r="A84" s="339">
        <v>69</v>
      </c>
      <c r="B84" s="339" t="s">
        <v>84</v>
      </c>
      <c r="C84" s="348">
        <v>106490</v>
      </c>
      <c r="D84" s="341">
        <f t="shared" si="15"/>
        <v>2.2424395316251569</v>
      </c>
      <c r="E84" s="342">
        <f t="shared" si="16"/>
        <v>14298281.486392947</v>
      </c>
      <c r="F84" s="342">
        <v>36071332</v>
      </c>
      <c r="G84" s="343">
        <v>40729907</v>
      </c>
      <c r="H84" s="344">
        <f t="shared" si="17"/>
        <v>1.1291489596225612</v>
      </c>
      <c r="I84" s="345">
        <f t="shared" si="18"/>
        <v>0.90624729978608065</v>
      </c>
      <c r="J84" s="342">
        <f t="shared" si="19"/>
        <v>5778429.6101995939</v>
      </c>
      <c r="K84" s="342">
        <f t="shared" si="20"/>
        <v>20076711.096592542</v>
      </c>
      <c r="M84" s="346">
        <v>15460196</v>
      </c>
      <c r="N84" s="347">
        <f t="shared" si="21"/>
        <v>0.29860650515637327</v>
      </c>
    </row>
    <row r="85" spans="1:14" x14ac:dyDescent="0.3">
      <c r="A85" s="339">
        <v>70</v>
      </c>
      <c r="B85" s="339" t="s">
        <v>53</v>
      </c>
      <c r="C85" s="348">
        <v>15503</v>
      </c>
      <c r="D85" s="341">
        <f t="shared" si="15"/>
        <v>0.32645825954347646</v>
      </c>
      <c r="E85" s="342">
        <f t="shared" si="16"/>
        <v>2081568.7659268463</v>
      </c>
      <c r="F85" s="342">
        <v>6831185</v>
      </c>
      <c r="G85" s="343">
        <v>8021510</v>
      </c>
      <c r="H85" s="344">
        <f t="shared" si="17"/>
        <v>1.1742486845254521</v>
      </c>
      <c r="I85" s="345">
        <f t="shared" si="18"/>
        <v>0.94244403323389958</v>
      </c>
      <c r="J85" s="342">
        <f t="shared" si="19"/>
        <v>6009227.8441879889</v>
      </c>
      <c r="K85" s="342">
        <f t="shared" si="20"/>
        <v>8090796.6101148352</v>
      </c>
      <c r="M85" s="346">
        <v>5809346</v>
      </c>
      <c r="N85" s="347">
        <f t="shared" si="21"/>
        <v>0.39272073140674274</v>
      </c>
    </row>
    <row r="86" spans="1:14" x14ac:dyDescent="0.3">
      <c r="A86" s="339">
        <v>71</v>
      </c>
      <c r="B86" s="339" t="s">
        <v>143</v>
      </c>
      <c r="C86" s="348">
        <v>69260</v>
      </c>
      <c r="D86" s="341">
        <f t="shared" si="15"/>
        <v>1.4584595920777386</v>
      </c>
      <c r="E86" s="342">
        <f t="shared" si="16"/>
        <v>9299455.1201763134</v>
      </c>
      <c r="F86" s="342">
        <v>6647617</v>
      </c>
      <c r="G86" s="343">
        <v>7096393</v>
      </c>
      <c r="H86" s="344">
        <f t="shared" si="17"/>
        <v>1.067509304462035</v>
      </c>
      <c r="I86" s="345">
        <f t="shared" si="18"/>
        <v>0.85677573044801514</v>
      </c>
      <c r="J86" s="342">
        <f t="shared" si="19"/>
        <v>5462988.1394293094</v>
      </c>
      <c r="K86" s="342">
        <f t="shared" si="20"/>
        <v>14762443.259605624</v>
      </c>
      <c r="M86" s="346">
        <v>11597867</v>
      </c>
      <c r="N86" s="347">
        <f t="shared" si="21"/>
        <v>0.2728584712693829</v>
      </c>
    </row>
    <row r="87" spans="1:14" x14ac:dyDescent="0.3">
      <c r="A87" s="339">
        <v>72</v>
      </c>
      <c r="B87" s="339" t="s">
        <v>132</v>
      </c>
      <c r="C87" s="348">
        <v>13961</v>
      </c>
      <c r="D87" s="341">
        <f t="shared" si="15"/>
        <v>0.29398721289340612</v>
      </c>
      <c r="E87" s="342">
        <f t="shared" si="16"/>
        <v>1874526.3201383413</v>
      </c>
      <c r="F87" s="342">
        <v>900574</v>
      </c>
      <c r="G87" s="343">
        <v>1097162</v>
      </c>
      <c r="H87" s="344">
        <f t="shared" si="17"/>
        <v>1.2182918893949859</v>
      </c>
      <c r="I87" s="345">
        <f t="shared" si="18"/>
        <v>0.9777928108657562</v>
      </c>
      <c r="J87" s="342">
        <f t="shared" si="19"/>
        <v>6234619.327727302</v>
      </c>
      <c r="K87" s="342">
        <f t="shared" si="20"/>
        <v>8109145.6478656437</v>
      </c>
      <c r="M87" s="346">
        <v>5539911</v>
      </c>
      <c r="N87" s="347">
        <f t="shared" si="21"/>
        <v>0.46376821719078948</v>
      </c>
    </row>
    <row r="88" spans="1:14" x14ac:dyDescent="0.3">
      <c r="A88" s="339">
        <v>73</v>
      </c>
      <c r="B88" s="339" t="s">
        <v>85</v>
      </c>
      <c r="C88" s="348">
        <v>27176</v>
      </c>
      <c r="D88" s="341">
        <f t="shared" si="15"/>
        <v>0.5722653461493592</v>
      </c>
      <c r="E88" s="342">
        <f t="shared" si="16"/>
        <v>3648888.1366721261</v>
      </c>
      <c r="F88" s="342">
        <v>5671112</v>
      </c>
      <c r="G88" s="343">
        <v>6779172</v>
      </c>
      <c r="H88" s="344">
        <f t="shared" si="17"/>
        <v>1.1953867248610148</v>
      </c>
      <c r="I88" s="345">
        <f t="shared" si="18"/>
        <v>0.95940928109922674</v>
      </c>
      <c r="J88" s="342">
        <f t="shared" si="19"/>
        <v>6117401.9492391404</v>
      </c>
      <c r="K88" s="342">
        <f t="shared" si="20"/>
        <v>9766290.0859112665</v>
      </c>
      <c r="M88" s="346">
        <v>7034227</v>
      </c>
      <c r="N88" s="347">
        <f t="shared" si="21"/>
        <v>0.38839563834253094</v>
      </c>
    </row>
    <row r="89" spans="1:14" x14ac:dyDescent="0.3">
      <c r="A89" s="339">
        <v>74</v>
      </c>
      <c r="B89" s="339" t="s">
        <v>427</v>
      </c>
      <c r="C89" s="348">
        <v>10553</v>
      </c>
      <c r="D89" s="341">
        <f t="shared" si="15"/>
        <v>0.22222240940220003</v>
      </c>
      <c r="E89" s="342">
        <f t="shared" si="16"/>
        <v>1416938.3465668585</v>
      </c>
      <c r="F89" s="342">
        <v>1317895</v>
      </c>
      <c r="G89" s="343">
        <v>1486810</v>
      </c>
      <c r="H89" s="344">
        <f t="shared" si="17"/>
        <v>1.128170301882927</v>
      </c>
      <c r="I89" s="345">
        <f t="shared" si="18"/>
        <v>0.90546183571918315</v>
      </c>
      <c r="J89" s="342">
        <f t="shared" si="19"/>
        <v>5773421.3207150577</v>
      </c>
      <c r="K89" s="342">
        <f t="shared" si="20"/>
        <v>7190359.6672819164</v>
      </c>
      <c r="M89" s="346">
        <v>5472345</v>
      </c>
      <c r="N89" s="347">
        <f t="shared" si="21"/>
        <v>0.31394487505482865</v>
      </c>
    </row>
    <row r="90" spans="1:14" x14ac:dyDescent="0.3">
      <c r="A90" s="339">
        <v>75</v>
      </c>
      <c r="B90" s="339" t="s">
        <v>146</v>
      </c>
      <c r="C90" s="348">
        <v>78935</v>
      </c>
      <c r="D90" s="341">
        <f t="shared" si="15"/>
        <v>1.6621932991720516</v>
      </c>
      <c r="E90" s="342">
        <f t="shared" si="16"/>
        <v>10598505.485289017</v>
      </c>
      <c r="F90" s="342">
        <v>10216717</v>
      </c>
      <c r="G90" s="343">
        <v>10702878</v>
      </c>
      <c r="H90" s="344">
        <f t="shared" si="17"/>
        <v>1.0475848552915774</v>
      </c>
      <c r="I90" s="345">
        <f t="shared" si="18"/>
        <v>0.84078450262410798</v>
      </c>
      <c r="J90" s="342">
        <f t="shared" si="19"/>
        <v>5361024.5977084953</v>
      </c>
      <c r="K90" s="342">
        <f t="shared" si="20"/>
        <v>15959530.082997512</v>
      </c>
      <c r="M90" s="346">
        <v>12302809</v>
      </c>
      <c r="N90" s="347">
        <f t="shared" si="21"/>
        <v>0.29722651818763601</v>
      </c>
    </row>
    <row r="91" spans="1:14" x14ac:dyDescent="0.3">
      <c r="A91" s="339">
        <v>76</v>
      </c>
      <c r="B91" s="339" t="s">
        <v>148</v>
      </c>
      <c r="C91" s="348">
        <v>78477</v>
      </c>
      <c r="D91" s="341">
        <f t="shared" si="15"/>
        <v>1.6525488508155455</v>
      </c>
      <c r="E91" s="342">
        <f t="shared" si="16"/>
        <v>10537010.387901766</v>
      </c>
      <c r="F91" s="342">
        <v>19767689</v>
      </c>
      <c r="G91" s="343">
        <v>24112933</v>
      </c>
      <c r="H91" s="344">
        <f t="shared" si="17"/>
        <v>1.2198154776716692</v>
      </c>
      <c r="I91" s="345">
        <f t="shared" si="18"/>
        <v>0.97901563248726442</v>
      </c>
      <c r="J91" s="342">
        <f t="shared" si="19"/>
        <v>6242416.3039691988</v>
      </c>
      <c r="K91" s="342">
        <f t="shared" si="20"/>
        <v>16779426.691870965</v>
      </c>
      <c r="M91" s="346">
        <v>13985642</v>
      </c>
      <c r="N91" s="347">
        <f t="shared" si="21"/>
        <v>0.19976091850992361</v>
      </c>
    </row>
    <row r="92" spans="1:14" x14ac:dyDescent="0.3">
      <c r="A92" s="339">
        <v>77</v>
      </c>
      <c r="B92" s="339" t="s">
        <v>45</v>
      </c>
      <c r="C92" s="348">
        <v>17677</v>
      </c>
      <c r="D92" s="341">
        <f t="shared" si="15"/>
        <v>0.37223780261562495</v>
      </c>
      <c r="E92" s="342">
        <f t="shared" si="16"/>
        <v>2373469.0753588895</v>
      </c>
      <c r="F92" s="342">
        <v>749737</v>
      </c>
      <c r="G92" s="343">
        <v>737127</v>
      </c>
      <c r="H92" s="344">
        <f t="shared" si="17"/>
        <v>0.98318076872289883</v>
      </c>
      <c r="I92" s="345">
        <f t="shared" si="18"/>
        <v>0.78909421937966884</v>
      </c>
      <c r="J92" s="342">
        <f t="shared" si="19"/>
        <v>5031436.1251913626</v>
      </c>
      <c r="K92" s="342">
        <f t="shared" si="20"/>
        <v>7404905.2005502526</v>
      </c>
      <c r="M92" s="346">
        <v>5640258</v>
      </c>
      <c r="N92" s="347">
        <f t="shared" si="21"/>
        <v>0.31286639734392513</v>
      </c>
    </row>
    <row r="93" spans="1:14" x14ac:dyDescent="0.3">
      <c r="A93" s="339">
        <v>78</v>
      </c>
      <c r="B93" s="339" t="s">
        <v>349</v>
      </c>
      <c r="C93" s="348">
        <v>12812</v>
      </c>
      <c r="D93" s="341">
        <f t="shared" si="15"/>
        <v>0.26979186101212799</v>
      </c>
      <c r="E93" s="342">
        <f t="shared" si="16"/>
        <v>1720251.5015838712</v>
      </c>
      <c r="F93" s="342">
        <v>3505332</v>
      </c>
      <c r="G93" s="343">
        <v>4094883</v>
      </c>
      <c r="H93" s="344">
        <f t="shared" si="17"/>
        <v>1.1681869220946832</v>
      </c>
      <c r="I93" s="345">
        <f t="shared" si="18"/>
        <v>0.93757890380344322</v>
      </c>
      <c r="J93" s="342">
        <f t="shared" si="19"/>
        <v>5978206.7222877759</v>
      </c>
      <c r="K93" s="342">
        <f t="shared" si="20"/>
        <v>7698458.2238716474</v>
      </c>
      <c r="M93" s="346">
        <v>5396698</v>
      </c>
      <c r="N93" s="347">
        <f t="shared" si="21"/>
        <v>0.42651269792596275</v>
      </c>
    </row>
    <row r="94" spans="1:14" x14ac:dyDescent="0.3">
      <c r="A94" s="339">
        <v>79</v>
      </c>
      <c r="B94" s="339" t="s">
        <v>138</v>
      </c>
      <c r="C94" s="348">
        <v>49896</v>
      </c>
      <c r="D94" s="341">
        <f t="shared" si="15"/>
        <v>1.0506973694240664</v>
      </c>
      <c r="E94" s="342">
        <f t="shared" si="16"/>
        <v>6699474.6271486757</v>
      </c>
      <c r="F94" s="342">
        <v>5461126</v>
      </c>
      <c r="G94" s="343">
        <v>6576496</v>
      </c>
      <c r="H94" s="344">
        <f t="shared" si="17"/>
        <v>1.2042381003478038</v>
      </c>
      <c r="I94" s="345">
        <f t="shared" si="18"/>
        <v>0.9665133350559133</v>
      </c>
      <c r="J94" s="342">
        <f t="shared" si="19"/>
        <v>6162698.9401879283</v>
      </c>
      <c r="K94" s="342">
        <f t="shared" si="20"/>
        <v>12862173.567336604</v>
      </c>
      <c r="M94" s="346">
        <v>9718849</v>
      </c>
      <c r="N94" s="347">
        <f t="shared" si="21"/>
        <v>0.32342559981501967</v>
      </c>
    </row>
    <row r="95" spans="1:14" x14ac:dyDescent="0.3">
      <c r="A95" s="339">
        <v>80</v>
      </c>
      <c r="B95" s="339" t="s">
        <v>93</v>
      </c>
      <c r="C95" s="348">
        <v>19833</v>
      </c>
      <c r="D95" s="341">
        <f t="shared" si="15"/>
        <v>0.41763830623271425</v>
      </c>
      <c r="E95" s="342">
        <f t="shared" si="16"/>
        <v>2662952.5469023506</v>
      </c>
      <c r="F95" s="342">
        <v>1038442</v>
      </c>
      <c r="G95" s="343">
        <v>1087348</v>
      </c>
      <c r="H95" s="344">
        <f t="shared" si="17"/>
        <v>1.0470955527607704</v>
      </c>
      <c r="I95" s="345">
        <f t="shared" si="18"/>
        <v>0.84039179173017009</v>
      </c>
      <c r="J95" s="342">
        <f t="shared" si="19"/>
        <v>5358520.5877563395</v>
      </c>
      <c r="K95" s="342">
        <f t="shared" si="20"/>
        <v>8021473.1346586905</v>
      </c>
      <c r="M95" s="346">
        <v>6254380</v>
      </c>
      <c r="N95" s="347">
        <f t="shared" si="21"/>
        <v>0.28253689968609047</v>
      </c>
    </row>
    <row r="96" spans="1:14" x14ac:dyDescent="0.3">
      <c r="A96" s="339">
        <v>81</v>
      </c>
      <c r="B96" s="339" t="s">
        <v>116</v>
      </c>
      <c r="C96" s="348">
        <v>9076</v>
      </c>
      <c r="D96" s="341">
        <f t="shared" si="15"/>
        <v>0.19112011633984341</v>
      </c>
      <c r="E96" s="342">
        <f t="shared" si="16"/>
        <v>1218623.3709315653</v>
      </c>
      <c r="F96" s="342">
        <v>163086</v>
      </c>
      <c r="G96" s="343">
        <v>126625</v>
      </c>
      <c r="H96" s="344">
        <f t="shared" si="17"/>
        <v>0.77643084017021691</v>
      </c>
      <c r="I96" s="345">
        <f t="shared" si="18"/>
        <v>0.623158128410357</v>
      </c>
      <c r="J96" s="342">
        <f t="shared" si="19"/>
        <v>3973391.569710556</v>
      </c>
      <c r="K96" s="342">
        <f t="shared" si="20"/>
        <v>5192014.9406421212</v>
      </c>
      <c r="M96" s="346">
        <v>4761699</v>
      </c>
      <c r="N96" s="347">
        <f t="shared" si="21"/>
        <v>9.0370252433453105E-2</v>
      </c>
    </row>
    <row r="97" spans="1:14" x14ac:dyDescent="0.3">
      <c r="A97" s="339">
        <v>82</v>
      </c>
      <c r="B97" s="339" t="s">
        <v>152</v>
      </c>
      <c r="C97" s="348">
        <v>79540</v>
      </c>
      <c r="D97" s="341">
        <f t="shared" si="15"/>
        <v>1.6749332364115408</v>
      </c>
      <c r="E97" s="342">
        <f t="shared" si="16"/>
        <v>10679738.09209968</v>
      </c>
      <c r="F97" s="342">
        <v>10747195</v>
      </c>
      <c r="G97" s="343">
        <v>11017479</v>
      </c>
      <c r="H97" s="344">
        <f t="shared" si="17"/>
        <v>1.025149259876647</v>
      </c>
      <c r="I97" s="345">
        <f t="shared" si="18"/>
        <v>0.8227778458490177</v>
      </c>
      <c r="J97" s="342">
        <f t="shared" si="19"/>
        <v>5246210.2432663431</v>
      </c>
      <c r="K97" s="342">
        <f t="shared" si="20"/>
        <v>15925948.335366022</v>
      </c>
      <c r="M97" s="346">
        <v>12935075</v>
      </c>
      <c r="N97" s="347">
        <f t="shared" si="21"/>
        <v>0.23122195544796004</v>
      </c>
    </row>
    <row r="98" spans="1:14" x14ac:dyDescent="0.3">
      <c r="A98" s="339">
        <v>83</v>
      </c>
      <c r="B98" s="339" t="s">
        <v>153</v>
      </c>
      <c r="C98" s="348">
        <v>33453</v>
      </c>
      <c r="D98" s="341">
        <f t="shared" si="15"/>
        <v>0.70444482722749913</v>
      </c>
      <c r="E98" s="342">
        <f t="shared" si="16"/>
        <v>4491693.215929226</v>
      </c>
      <c r="F98" s="342">
        <v>4475401</v>
      </c>
      <c r="G98" s="343">
        <v>4646651</v>
      </c>
      <c r="H98" s="344">
        <f t="shared" si="17"/>
        <v>1.0382647275629602</v>
      </c>
      <c r="I98" s="345">
        <f t="shared" si="18"/>
        <v>0.83330423129609466</v>
      </c>
      <c r="J98" s="342">
        <f t="shared" si="19"/>
        <v>5313328.7630899288</v>
      </c>
      <c r="K98" s="342">
        <f t="shared" si="20"/>
        <v>9805021.9790191539</v>
      </c>
      <c r="M98" s="346">
        <v>8319715</v>
      </c>
      <c r="N98" s="347">
        <f t="shared" si="21"/>
        <v>0.17852858890228257</v>
      </c>
    </row>
    <row r="99" spans="1:14" x14ac:dyDescent="0.3">
      <c r="A99" s="339">
        <v>84</v>
      </c>
      <c r="B99" s="339" t="s">
        <v>107</v>
      </c>
      <c r="C99" s="348">
        <v>31716</v>
      </c>
      <c r="D99" s="341">
        <f t="shared" si="15"/>
        <v>0.66786751981428749</v>
      </c>
      <c r="E99" s="342">
        <f t="shared" si="16"/>
        <v>4258468.3596810848</v>
      </c>
      <c r="F99" s="342">
        <v>2540472</v>
      </c>
      <c r="G99" s="343">
        <v>2667258</v>
      </c>
      <c r="H99" s="344">
        <f t="shared" si="17"/>
        <v>1.0499064740725346</v>
      </c>
      <c r="I99" s="345">
        <f t="shared" si="18"/>
        <v>0.84264781811799849</v>
      </c>
      <c r="J99" s="342">
        <f t="shared" si="19"/>
        <v>5372905.5019887984</v>
      </c>
      <c r="K99" s="342">
        <f t="shared" si="20"/>
        <v>9631373.8616698831</v>
      </c>
      <c r="M99" s="346">
        <v>7251418</v>
      </c>
      <c r="N99" s="347">
        <f t="shared" si="21"/>
        <v>0.32820558153865675</v>
      </c>
    </row>
    <row r="100" spans="1:14" x14ac:dyDescent="0.3">
      <c r="A100" s="339">
        <v>85</v>
      </c>
      <c r="B100" s="339" t="s">
        <v>124</v>
      </c>
      <c r="C100" s="348">
        <v>35256</v>
      </c>
      <c r="D100" s="341">
        <f t="shared" si="15"/>
        <v>0.74241194597592763</v>
      </c>
      <c r="E100" s="342">
        <f t="shared" si="16"/>
        <v>4733779.8111021668</v>
      </c>
      <c r="F100" s="342">
        <v>7428079</v>
      </c>
      <c r="G100" s="343">
        <v>8543047</v>
      </c>
      <c r="H100" s="344">
        <f t="shared" si="17"/>
        <v>1.1501017961709885</v>
      </c>
      <c r="I100" s="345">
        <f t="shared" si="18"/>
        <v>0.92306390434746521</v>
      </c>
      <c r="J100" s="342">
        <f t="shared" si="19"/>
        <v>5885655.9332611458</v>
      </c>
      <c r="K100" s="342">
        <f t="shared" si="20"/>
        <v>10619435.744363312</v>
      </c>
      <c r="M100" s="346">
        <v>7997364</v>
      </c>
      <c r="N100" s="347">
        <f t="shared" si="21"/>
        <v>0.32786700022198711</v>
      </c>
    </row>
    <row r="101" spans="1:14" x14ac:dyDescent="0.3">
      <c r="A101" s="339">
        <v>86</v>
      </c>
      <c r="B101" s="339" t="s">
        <v>129</v>
      </c>
      <c r="C101" s="348">
        <v>15534</v>
      </c>
      <c r="D101" s="341">
        <f t="shared" si="15"/>
        <v>0.32711104971607841</v>
      </c>
      <c r="E101" s="342">
        <f t="shared" si="16"/>
        <v>2085731.0978460705</v>
      </c>
      <c r="F101" s="342">
        <v>2746094</v>
      </c>
      <c r="G101" s="343">
        <v>3024749</v>
      </c>
      <c r="H101" s="344">
        <f t="shared" si="17"/>
        <v>1.1014732197805319</v>
      </c>
      <c r="I101" s="345">
        <f t="shared" si="18"/>
        <v>0.88403493862001725</v>
      </c>
      <c r="J101" s="342">
        <f t="shared" si="19"/>
        <v>5636798.7711287076</v>
      </c>
      <c r="K101" s="342">
        <f t="shared" si="20"/>
        <v>7722529.8689747779</v>
      </c>
      <c r="M101" s="346">
        <v>6692306</v>
      </c>
      <c r="N101" s="347">
        <f t="shared" si="21"/>
        <v>0.15394153659064272</v>
      </c>
    </row>
    <row r="102" spans="1:14" x14ac:dyDescent="0.3">
      <c r="A102" s="339">
        <v>87</v>
      </c>
      <c r="B102" s="339" t="s">
        <v>350</v>
      </c>
      <c r="C102" s="348">
        <v>15589</v>
      </c>
      <c r="D102" s="341">
        <f t="shared" si="15"/>
        <v>0.32826922582875923</v>
      </c>
      <c r="E102" s="342">
        <f t="shared" si="16"/>
        <v>2093115.8802834034</v>
      </c>
      <c r="F102" s="342">
        <v>1929071</v>
      </c>
      <c r="G102" s="343">
        <v>2162296</v>
      </c>
      <c r="H102" s="344">
        <f t="shared" si="17"/>
        <v>1.1209001638612575</v>
      </c>
      <c r="I102" s="345">
        <f t="shared" si="18"/>
        <v>0.89962687223180371</v>
      </c>
      <c r="J102" s="342">
        <f t="shared" si="19"/>
        <v>5736216.3262308082</v>
      </c>
      <c r="K102" s="342">
        <f t="shared" si="20"/>
        <v>7829332.2065142114</v>
      </c>
      <c r="M102" s="346">
        <v>6286662</v>
      </c>
      <c r="N102" s="347">
        <f t="shared" si="21"/>
        <v>0.24538780779278596</v>
      </c>
    </row>
    <row r="103" spans="1:14" x14ac:dyDescent="0.3">
      <c r="A103" s="339">
        <v>88</v>
      </c>
      <c r="B103" s="339" t="s">
        <v>99</v>
      </c>
      <c r="C103" s="348">
        <v>114513</v>
      </c>
      <c r="D103" s="341">
        <f t="shared" si="15"/>
        <v>2.411385839844038</v>
      </c>
      <c r="E103" s="342">
        <f t="shared" si="16"/>
        <v>15375519.840842478</v>
      </c>
      <c r="F103" s="342">
        <v>21454648</v>
      </c>
      <c r="G103" s="343">
        <v>22571870</v>
      </c>
      <c r="H103" s="344">
        <f t="shared" si="17"/>
        <v>1.0520736578852283</v>
      </c>
      <c r="I103" s="345">
        <f t="shared" si="18"/>
        <v>0.84438718515337208</v>
      </c>
      <c r="J103" s="342">
        <f t="shared" si="19"/>
        <v>5383996.0839773789</v>
      </c>
      <c r="K103" s="342">
        <f t="shared" si="20"/>
        <v>20759515.924819857</v>
      </c>
      <c r="M103" s="346">
        <v>16283407</v>
      </c>
      <c r="N103" s="347">
        <f t="shared" si="21"/>
        <v>0.27488773847020204</v>
      </c>
    </row>
    <row r="104" spans="1:14" x14ac:dyDescent="0.3">
      <c r="A104" s="339">
        <v>89</v>
      </c>
      <c r="B104" s="339" t="s">
        <v>55</v>
      </c>
      <c r="C104" s="348">
        <v>24074</v>
      </c>
      <c r="D104" s="341">
        <f t="shared" si="15"/>
        <v>0.50694421339415929</v>
      </c>
      <c r="E104" s="342">
        <f t="shared" si="16"/>
        <v>3232386.4072065335</v>
      </c>
      <c r="F104" s="342">
        <v>2000469</v>
      </c>
      <c r="G104" s="343">
        <v>1776639</v>
      </c>
      <c r="H104" s="344">
        <f t="shared" si="17"/>
        <v>0.88811123791470903</v>
      </c>
      <c r="I104" s="345">
        <f t="shared" si="18"/>
        <v>0.71279205848882321</v>
      </c>
      <c r="J104" s="342">
        <f t="shared" si="19"/>
        <v>4544916.9753765697</v>
      </c>
      <c r="K104" s="342">
        <f t="shared" si="20"/>
        <v>7777303.3825831031</v>
      </c>
      <c r="M104" s="346">
        <v>7998741</v>
      </c>
      <c r="N104" s="347">
        <f t="shared" si="21"/>
        <v>-2.7684058955890292E-2</v>
      </c>
    </row>
    <row r="105" spans="1:14" x14ac:dyDescent="0.3">
      <c r="A105" s="339">
        <v>90</v>
      </c>
      <c r="B105" s="339" t="s">
        <v>147</v>
      </c>
      <c r="C105" s="348">
        <v>16325</v>
      </c>
      <c r="D105" s="341">
        <f t="shared" si="15"/>
        <v>0.34376772799117933</v>
      </c>
      <c r="E105" s="342">
        <f t="shared" si="16"/>
        <v>2191937.6961720805</v>
      </c>
      <c r="F105" s="342">
        <v>1458081</v>
      </c>
      <c r="G105" s="343">
        <v>1481926</v>
      </c>
      <c r="H105" s="344">
        <f t="shared" si="17"/>
        <v>1.0163536867979215</v>
      </c>
      <c r="I105" s="345">
        <f t="shared" si="18"/>
        <v>0.81571857852672347</v>
      </c>
      <c r="J105" s="342">
        <f t="shared" si="19"/>
        <v>5201198.8216255959</v>
      </c>
      <c r="K105" s="342">
        <f t="shared" si="20"/>
        <v>7393136.5177976768</v>
      </c>
      <c r="M105" s="346">
        <v>6719196</v>
      </c>
      <c r="N105" s="347">
        <f t="shared" si="21"/>
        <v>0.10030076779984939</v>
      </c>
    </row>
    <row r="106" spans="1:14" x14ac:dyDescent="0.3">
      <c r="A106" s="339">
        <v>91</v>
      </c>
      <c r="B106" s="339" t="s">
        <v>351</v>
      </c>
      <c r="C106" s="348">
        <v>14934</v>
      </c>
      <c r="D106" s="341">
        <f t="shared" si="15"/>
        <v>0.31447640121410547</v>
      </c>
      <c r="E106" s="342">
        <f t="shared" si="16"/>
        <v>2005169.8348933444</v>
      </c>
      <c r="F106" s="342">
        <v>4294007</v>
      </c>
      <c r="G106" s="343">
        <v>4924506</v>
      </c>
      <c r="H106" s="344">
        <f t="shared" si="17"/>
        <v>1.146832317693008</v>
      </c>
      <c r="I106" s="345">
        <f t="shared" si="18"/>
        <v>0.92043984308687743</v>
      </c>
      <c r="J106" s="342">
        <f t="shared" si="19"/>
        <v>5868924.3487469219</v>
      </c>
      <c r="K106" s="342">
        <f t="shared" si="20"/>
        <v>7874094.1836402658</v>
      </c>
      <c r="M106" s="346">
        <v>5845295</v>
      </c>
      <c r="N106" s="347">
        <f t="shared" si="21"/>
        <v>0.34708242845575216</v>
      </c>
    </row>
    <row r="107" spans="1:14" x14ac:dyDescent="0.3">
      <c r="A107" s="339">
        <v>92</v>
      </c>
      <c r="B107" s="339" t="s">
        <v>428</v>
      </c>
      <c r="C107" s="348">
        <v>12836</v>
      </c>
      <c r="D107" s="341">
        <f t="shared" si="15"/>
        <v>0.27029724695220692</v>
      </c>
      <c r="E107" s="342">
        <f t="shared" si="16"/>
        <v>1723473.9521019803</v>
      </c>
      <c r="F107" s="342">
        <v>697725</v>
      </c>
      <c r="G107" s="343">
        <v>841415</v>
      </c>
      <c r="H107" s="344">
        <f t="shared" si="17"/>
        <v>1.2059407359633094</v>
      </c>
      <c r="I107" s="345">
        <f t="shared" si="18"/>
        <v>0.96787985885768646</v>
      </c>
      <c r="J107" s="342">
        <f t="shared" si="19"/>
        <v>6171412.1927416986</v>
      </c>
      <c r="K107" s="342">
        <f t="shared" si="20"/>
        <v>7894886.1448436789</v>
      </c>
      <c r="M107" s="346">
        <v>5528376</v>
      </c>
      <c r="N107" s="347">
        <f t="shared" si="21"/>
        <v>0.4280660622294285</v>
      </c>
    </row>
    <row r="108" spans="1:14" x14ac:dyDescent="0.3">
      <c r="A108" s="339">
        <v>93</v>
      </c>
      <c r="B108" s="339" t="s">
        <v>353</v>
      </c>
      <c r="C108" s="348">
        <v>28556</v>
      </c>
      <c r="D108" s="341">
        <f t="shared" si="15"/>
        <v>0.60132503770389689</v>
      </c>
      <c r="E108" s="342">
        <f t="shared" si="16"/>
        <v>3834179.0414633956</v>
      </c>
      <c r="F108" s="342">
        <v>2647355</v>
      </c>
      <c r="G108" s="343">
        <v>2842108</v>
      </c>
      <c r="H108" s="344">
        <f t="shared" si="17"/>
        <v>1.0735651244355215</v>
      </c>
      <c r="I108" s="345">
        <f t="shared" si="18"/>
        <v>0.86163609050254453</v>
      </c>
      <c r="J108" s="342">
        <f t="shared" si="19"/>
        <v>5493978.8507527569</v>
      </c>
      <c r="K108" s="342">
        <f t="shared" si="20"/>
        <v>9328157.8922161534</v>
      </c>
      <c r="M108" s="346">
        <v>7344649</v>
      </c>
      <c r="N108" s="347">
        <f t="shared" si="21"/>
        <v>0.27006176771907731</v>
      </c>
    </row>
    <row r="109" spans="1:14" x14ac:dyDescent="0.3">
      <c r="A109" s="339">
        <v>94</v>
      </c>
      <c r="B109" s="339" t="s">
        <v>354</v>
      </c>
      <c r="C109" s="348">
        <v>6420</v>
      </c>
      <c r="D109" s="341">
        <f t="shared" si="15"/>
        <v>0.13519073897111003</v>
      </c>
      <c r="E109" s="342">
        <f t="shared" si="16"/>
        <v>862005.51359416579</v>
      </c>
      <c r="F109" s="342">
        <v>1775219</v>
      </c>
      <c r="G109" s="343">
        <v>1727832</v>
      </c>
      <c r="H109" s="344">
        <f t="shared" si="17"/>
        <v>0.97330639205641667</v>
      </c>
      <c r="I109" s="345">
        <f t="shared" si="18"/>
        <v>0.78116911161172531</v>
      </c>
      <c r="J109" s="342">
        <f t="shared" si="19"/>
        <v>4980903.9168183086</v>
      </c>
      <c r="K109" s="342">
        <f t="shared" si="20"/>
        <v>5842909.4304124741</v>
      </c>
      <c r="M109" s="346">
        <v>4415367</v>
      </c>
      <c r="N109" s="347">
        <f t="shared" si="21"/>
        <v>0.32331229327312411</v>
      </c>
    </row>
    <row r="110" spans="1:14" x14ac:dyDescent="0.3">
      <c r="A110" s="339">
        <v>95</v>
      </c>
      <c r="B110" s="339" t="s">
        <v>100</v>
      </c>
      <c r="C110" s="348">
        <v>12325</v>
      </c>
      <c r="D110" s="341">
        <f t="shared" si="15"/>
        <v>0.25953673797802668</v>
      </c>
      <c r="E110" s="342">
        <f t="shared" si="16"/>
        <v>1654862.6098205752</v>
      </c>
      <c r="F110" s="342">
        <v>1645582</v>
      </c>
      <c r="G110" s="343">
        <v>1799154</v>
      </c>
      <c r="H110" s="344">
        <f t="shared" si="17"/>
        <v>1.093323820994639</v>
      </c>
      <c r="I110" s="345">
        <f t="shared" si="18"/>
        <v>0.87749428640433069</v>
      </c>
      <c r="J110" s="342">
        <f t="shared" si="19"/>
        <v>5595094.1520450832</v>
      </c>
      <c r="K110" s="342">
        <f t="shared" si="20"/>
        <v>7249956.7618656587</v>
      </c>
      <c r="M110" s="346">
        <v>5891634</v>
      </c>
      <c r="N110" s="347">
        <f t="shared" si="21"/>
        <v>0.23055111058590175</v>
      </c>
    </row>
    <row r="111" spans="1:14" x14ac:dyDescent="0.3">
      <c r="A111" s="339">
        <v>96</v>
      </c>
      <c r="B111" s="339" t="s">
        <v>78</v>
      </c>
      <c r="C111" s="348">
        <v>5971</v>
      </c>
      <c r="D111" s="341">
        <f t="shared" si="15"/>
        <v>0.12573581034213366</v>
      </c>
      <c r="E111" s="342">
        <f t="shared" si="16"/>
        <v>801718.8351512095</v>
      </c>
      <c r="F111" s="342">
        <v>495720</v>
      </c>
      <c r="G111" s="343">
        <v>620839</v>
      </c>
      <c r="H111" s="344">
        <f t="shared" si="17"/>
        <v>1.2523985314290325</v>
      </c>
      <c r="I111" s="345">
        <f t="shared" si="18"/>
        <v>1.0051665705320247</v>
      </c>
      <c r="J111" s="342">
        <f t="shared" si="19"/>
        <v>6409160.3646334438</v>
      </c>
      <c r="K111" s="342">
        <f t="shared" si="20"/>
        <v>7210879.1997846533</v>
      </c>
      <c r="M111" s="346">
        <v>4846384</v>
      </c>
      <c r="N111" s="347">
        <f t="shared" si="21"/>
        <v>0.48788853705869228</v>
      </c>
    </row>
    <row r="112" spans="1:14" x14ac:dyDescent="0.3">
      <c r="A112" s="339">
        <v>97</v>
      </c>
      <c r="B112" s="339" t="s">
        <v>130</v>
      </c>
      <c r="C112" s="348">
        <v>29056</v>
      </c>
      <c r="D112" s="341">
        <f t="shared" ref="D112:D128" si="22">C112/$C$15%</f>
        <v>0.61185391145554102</v>
      </c>
      <c r="E112" s="342">
        <f t="shared" ref="E112:E128" si="23">($F$7*0.5)*D112%</f>
        <v>3901313.4272573339</v>
      </c>
      <c r="F112" s="342">
        <v>840780</v>
      </c>
      <c r="G112" s="343">
        <v>908588</v>
      </c>
      <c r="H112" s="344">
        <f t="shared" ref="H112:H128" si="24">G112/F112</f>
        <v>1.0806489212398012</v>
      </c>
      <c r="I112" s="345">
        <f t="shared" ref="I112:I128" si="25">H112/$H$15%</f>
        <v>0.86732149779217038</v>
      </c>
      <c r="J112" s="342">
        <f t="shared" ref="J112:J128" si="26">($F$7*0.5)*I112%</f>
        <v>5530230.2424381981</v>
      </c>
      <c r="K112" s="342">
        <f t="shared" ref="K112:K128" si="27">E112+J112</f>
        <v>9431543.6696955319</v>
      </c>
      <c r="M112" s="346">
        <v>8260057</v>
      </c>
      <c r="N112" s="347">
        <f t="shared" ref="N112:N128" si="28">(K112-M112)/M112</f>
        <v>0.141825494629823</v>
      </c>
    </row>
    <row r="113" spans="1:14" x14ac:dyDescent="0.3">
      <c r="A113" s="339">
        <v>98</v>
      </c>
      <c r="B113" s="339" t="s">
        <v>355</v>
      </c>
      <c r="C113" s="348">
        <v>25757</v>
      </c>
      <c r="D113" s="341">
        <f t="shared" si="22"/>
        <v>0.54238440244219333</v>
      </c>
      <c r="E113" s="342">
        <f t="shared" si="23"/>
        <v>3458360.7497889297</v>
      </c>
      <c r="F113" s="342">
        <v>2565157</v>
      </c>
      <c r="G113" s="343">
        <v>2737466</v>
      </c>
      <c r="H113" s="344">
        <f t="shared" si="24"/>
        <v>1.0671728864938872</v>
      </c>
      <c r="I113" s="345">
        <f t="shared" si="25"/>
        <v>0.85650572366756761</v>
      </c>
      <c r="J113" s="342">
        <f t="shared" si="26"/>
        <v>5461266.5175547274</v>
      </c>
      <c r="K113" s="342">
        <f t="shared" si="27"/>
        <v>8919627.2673436571</v>
      </c>
      <c r="M113" s="346">
        <v>6710776</v>
      </c>
      <c r="N113" s="347">
        <f t="shared" si="28"/>
        <v>0.32914990268542077</v>
      </c>
    </row>
    <row r="114" spans="1:14" x14ac:dyDescent="0.3">
      <c r="A114" s="339">
        <v>99</v>
      </c>
      <c r="B114" s="339" t="s">
        <v>139</v>
      </c>
      <c r="C114" s="348">
        <v>14329</v>
      </c>
      <c r="D114" s="341">
        <f t="shared" si="22"/>
        <v>0.30173646397461618</v>
      </c>
      <c r="E114" s="342">
        <f t="shared" si="23"/>
        <v>1923937.2280826794</v>
      </c>
      <c r="F114" s="342">
        <v>769565</v>
      </c>
      <c r="G114" s="343">
        <v>964156</v>
      </c>
      <c r="H114" s="344">
        <f t="shared" si="24"/>
        <v>1.2528584330108568</v>
      </c>
      <c r="I114" s="345">
        <f t="shared" si="25"/>
        <v>1.0055356844236365</v>
      </c>
      <c r="J114" s="342">
        <f t="shared" si="26"/>
        <v>6411513.9149737628</v>
      </c>
      <c r="K114" s="342">
        <f t="shared" si="27"/>
        <v>8335451.143056442</v>
      </c>
      <c r="M114" s="346">
        <v>6127009</v>
      </c>
      <c r="N114" s="347">
        <f t="shared" si="28"/>
        <v>0.36044375698753534</v>
      </c>
    </row>
    <row r="115" spans="1:14" x14ac:dyDescent="0.3">
      <c r="A115" s="339">
        <v>100</v>
      </c>
      <c r="B115" s="339" t="s">
        <v>125</v>
      </c>
      <c r="C115" s="348">
        <v>14911</v>
      </c>
      <c r="D115" s="341">
        <f t="shared" si="22"/>
        <v>0.31399207302152987</v>
      </c>
      <c r="E115" s="342">
        <f t="shared" si="23"/>
        <v>2002081.6531468236</v>
      </c>
      <c r="F115" s="342">
        <v>2548586</v>
      </c>
      <c r="G115" s="343">
        <v>2949284</v>
      </c>
      <c r="H115" s="344">
        <f t="shared" si="24"/>
        <v>1.1572236526450352</v>
      </c>
      <c r="I115" s="345">
        <f t="shared" si="25"/>
        <v>0.92877985807001595</v>
      </c>
      <c r="J115" s="342">
        <f t="shared" si="26"/>
        <v>5922102.09563726</v>
      </c>
      <c r="K115" s="342">
        <f t="shared" si="27"/>
        <v>7924183.7487840839</v>
      </c>
      <c r="M115" s="346">
        <v>5759610</v>
      </c>
      <c r="N115" s="347">
        <f t="shared" si="28"/>
        <v>0.37581949972030815</v>
      </c>
    </row>
    <row r="116" spans="1:14" x14ac:dyDescent="0.3">
      <c r="A116" s="339">
        <v>101</v>
      </c>
      <c r="B116" s="339" t="s">
        <v>66</v>
      </c>
      <c r="C116" s="348">
        <v>8855</v>
      </c>
      <c r="D116" s="341">
        <f t="shared" si="22"/>
        <v>0.18646635414161672</v>
      </c>
      <c r="E116" s="342">
        <f t="shared" si="23"/>
        <v>1188949.9724106446</v>
      </c>
      <c r="F116" s="342">
        <v>1307506</v>
      </c>
      <c r="G116" s="343">
        <v>1619455</v>
      </c>
      <c r="H116" s="344">
        <f t="shared" si="24"/>
        <v>1.238583226386724</v>
      </c>
      <c r="I116" s="345">
        <f t="shared" si="25"/>
        <v>0.99407850036766121</v>
      </c>
      <c r="J116" s="342">
        <f t="shared" si="26"/>
        <v>6338460.421060808</v>
      </c>
      <c r="K116" s="342">
        <f t="shared" si="27"/>
        <v>7527410.3934714524</v>
      </c>
      <c r="M116" s="346">
        <v>5477570</v>
      </c>
      <c r="N116" s="347">
        <f t="shared" si="28"/>
        <v>0.37422440853726241</v>
      </c>
    </row>
    <row r="117" spans="1:14" x14ac:dyDescent="0.3">
      <c r="A117" s="339">
        <v>102</v>
      </c>
      <c r="B117" s="339" t="s">
        <v>117</v>
      </c>
      <c r="C117" s="348">
        <v>356786</v>
      </c>
      <c r="D117" s="341">
        <f t="shared" si="22"/>
        <v>7.5131095007081719</v>
      </c>
      <c r="E117" s="342">
        <f t="shared" si="23"/>
        <v>47905217.939752035</v>
      </c>
      <c r="F117" s="342">
        <v>79299540</v>
      </c>
      <c r="G117" s="343">
        <v>84768463</v>
      </c>
      <c r="H117" s="344">
        <f t="shared" si="24"/>
        <v>1.0689653811358806</v>
      </c>
      <c r="I117" s="345">
        <f t="shared" si="25"/>
        <v>0.85794436771478921</v>
      </c>
      <c r="J117" s="342">
        <f t="shared" si="26"/>
        <v>5470439.624457187</v>
      </c>
      <c r="K117" s="342">
        <f t="shared" si="27"/>
        <v>53375657.564209223</v>
      </c>
      <c r="M117" s="346">
        <v>41864889</v>
      </c>
      <c r="N117" s="347">
        <f t="shared" si="28"/>
        <v>0.274950414038103</v>
      </c>
    </row>
    <row r="118" spans="1:14" x14ac:dyDescent="0.3">
      <c r="A118" s="339">
        <v>103</v>
      </c>
      <c r="B118" s="339" t="s">
        <v>356</v>
      </c>
      <c r="C118" s="348">
        <v>23469</v>
      </c>
      <c r="D118" s="341">
        <f t="shared" si="22"/>
        <v>0.49420427615467</v>
      </c>
      <c r="E118" s="342">
        <f t="shared" si="23"/>
        <v>3151153.8003958687</v>
      </c>
      <c r="F118" s="342">
        <v>3505799</v>
      </c>
      <c r="G118" s="343">
        <v>4375803</v>
      </c>
      <c r="H118" s="344">
        <f t="shared" si="24"/>
        <v>1.2481614034347093</v>
      </c>
      <c r="I118" s="345">
        <f t="shared" si="25"/>
        <v>1.0017658803299216</v>
      </c>
      <c r="J118" s="342">
        <f t="shared" si="26"/>
        <v>6387476.8253130093</v>
      </c>
      <c r="K118" s="342">
        <f t="shared" si="27"/>
        <v>9538630.625708878</v>
      </c>
      <c r="M118" s="346">
        <v>7191066</v>
      </c>
      <c r="N118" s="347">
        <f t="shared" si="28"/>
        <v>0.32645571959830127</v>
      </c>
    </row>
    <row r="119" spans="1:14" x14ac:dyDescent="0.3">
      <c r="A119" s="339">
        <v>104</v>
      </c>
      <c r="B119" s="339" t="s">
        <v>109</v>
      </c>
      <c r="C119" s="348">
        <v>15864</v>
      </c>
      <c r="D119" s="341">
        <f t="shared" si="22"/>
        <v>0.33406010639216349</v>
      </c>
      <c r="E119" s="342">
        <f t="shared" si="23"/>
        <v>2130039.7924700696</v>
      </c>
      <c r="F119" s="342">
        <v>1942930</v>
      </c>
      <c r="G119" s="343">
        <v>2332246</v>
      </c>
      <c r="H119" s="344">
        <f t="shared" si="24"/>
        <v>1.2003757212045725</v>
      </c>
      <c r="I119" s="345">
        <f t="shared" si="25"/>
        <v>0.96341341574103967</v>
      </c>
      <c r="J119" s="342">
        <f t="shared" si="26"/>
        <v>6142933.1813685372</v>
      </c>
      <c r="K119" s="342">
        <f t="shared" si="27"/>
        <v>8272972.9738386068</v>
      </c>
      <c r="M119" s="346">
        <v>6285526</v>
      </c>
      <c r="N119" s="347">
        <f t="shared" si="28"/>
        <v>0.31619421729201452</v>
      </c>
    </row>
    <row r="120" spans="1:14" x14ac:dyDescent="0.3">
      <c r="A120" s="339">
        <v>105</v>
      </c>
      <c r="B120" s="339" t="s">
        <v>150</v>
      </c>
      <c r="C120" s="348">
        <v>20982</v>
      </c>
      <c r="D120" s="341">
        <f t="shared" si="22"/>
        <v>0.44183365811399233</v>
      </c>
      <c r="E120" s="342">
        <f t="shared" si="23"/>
        <v>2817227.3654568205</v>
      </c>
      <c r="F120" s="342">
        <v>2265123</v>
      </c>
      <c r="G120" s="343">
        <v>2193730</v>
      </c>
      <c r="H120" s="344">
        <f t="shared" si="24"/>
        <v>0.9684816232937461</v>
      </c>
      <c r="I120" s="345">
        <f t="shared" si="25"/>
        <v>0.77729678491293086</v>
      </c>
      <c r="J120" s="342">
        <f t="shared" si="26"/>
        <v>4956213.1207608068</v>
      </c>
      <c r="K120" s="342">
        <f t="shared" si="27"/>
        <v>7773440.4862176273</v>
      </c>
      <c r="M120" s="346">
        <v>7237189</v>
      </c>
      <c r="N120" s="347">
        <f t="shared" si="28"/>
        <v>7.4096653578844957E-2</v>
      </c>
    </row>
    <row r="121" spans="1:14" x14ac:dyDescent="0.3">
      <c r="A121" s="339">
        <v>106</v>
      </c>
      <c r="B121" s="339" t="s">
        <v>357</v>
      </c>
      <c r="C121" s="348">
        <v>32303</v>
      </c>
      <c r="D121" s="341">
        <f t="shared" si="22"/>
        <v>0.68022841759871766</v>
      </c>
      <c r="E121" s="342">
        <f t="shared" si="23"/>
        <v>4337284.1286031678</v>
      </c>
      <c r="F121" s="342">
        <v>4682728</v>
      </c>
      <c r="G121" s="343">
        <v>5740179</v>
      </c>
      <c r="H121" s="344">
        <f t="shared" si="24"/>
        <v>1.2258194368752573</v>
      </c>
      <c r="I121" s="345">
        <f t="shared" si="25"/>
        <v>0.98383436943946978</v>
      </c>
      <c r="J121" s="342">
        <f t="shared" si="26"/>
        <v>6273141.617352156</v>
      </c>
      <c r="K121" s="342">
        <f t="shared" si="27"/>
        <v>10610425.745955324</v>
      </c>
      <c r="M121" s="346">
        <v>6585856</v>
      </c>
      <c r="N121" s="347">
        <f t="shared" si="28"/>
        <v>0.61109288541312223</v>
      </c>
    </row>
    <row r="122" spans="1:14" x14ac:dyDescent="0.3">
      <c r="A122" s="339">
        <v>107</v>
      </c>
      <c r="B122" s="339" t="s">
        <v>358</v>
      </c>
      <c r="C122" s="348">
        <v>76829</v>
      </c>
      <c r="D122" s="341">
        <f t="shared" si="22"/>
        <v>1.6178456829301266</v>
      </c>
      <c r="E122" s="342">
        <f t="shared" si="23"/>
        <v>10315735.452324949</v>
      </c>
      <c r="F122" s="342">
        <v>19550456</v>
      </c>
      <c r="G122" s="343">
        <v>20047045</v>
      </c>
      <c r="H122" s="344">
        <f t="shared" si="24"/>
        <v>1.0254003794080302</v>
      </c>
      <c r="I122" s="345">
        <f t="shared" si="25"/>
        <v>0.82297939268240949</v>
      </c>
      <c r="J122" s="342">
        <f t="shared" si="26"/>
        <v>5247495.3496497646</v>
      </c>
      <c r="K122" s="342">
        <f t="shared" si="27"/>
        <v>15563230.801974714</v>
      </c>
      <c r="M122" s="346">
        <v>12319556</v>
      </c>
      <c r="N122" s="347">
        <f t="shared" si="28"/>
        <v>0.26329478123844025</v>
      </c>
    </row>
    <row r="123" spans="1:14" x14ac:dyDescent="0.3">
      <c r="A123" s="339">
        <v>108</v>
      </c>
      <c r="B123" s="339" t="s">
        <v>149</v>
      </c>
      <c r="C123" s="348">
        <v>204860</v>
      </c>
      <c r="D123" s="341">
        <f t="shared" si="22"/>
        <v>4.313890153523614</v>
      </c>
      <c r="E123" s="342">
        <f t="shared" si="23"/>
        <v>27506300.54749234</v>
      </c>
      <c r="F123" s="342">
        <v>60388349</v>
      </c>
      <c r="G123" s="343">
        <v>52093903</v>
      </c>
      <c r="H123" s="344">
        <f t="shared" si="24"/>
        <v>0.86264824030873899</v>
      </c>
      <c r="I123" s="345">
        <f t="shared" si="25"/>
        <v>0.69235562923985738</v>
      </c>
      <c r="J123" s="342">
        <f t="shared" si="26"/>
        <v>4414609.863921619</v>
      </c>
      <c r="K123" s="342">
        <f t="shared" si="27"/>
        <v>31920910.41141396</v>
      </c>
      <c r="M123" s="346">
        <v>25835468</v>
      </c>
      <c r="N123" s="347">
        <f t="shared" si="28"/>
        <v>0.23554604899798837</v>
      </c>
    </row>
    <row r="124" spans="1:14" x14ac:dyDescent="0.3">
      <c r="A124" s="339">
        <v>109</v>
      </c>
      <c r="B124" s="339" t="s">
        <v>50</v>
      </c>
      <c r="C124" s="348">
        <v>3232</v>
      </c>
      <c r="D124" s="341">
        <f t="shared" si="22"/>
        <v>6.8058639930627357E-2</v>
      </c>
      <c r="E124" s="342">
        <f t="shared" si="23"/>
        <v>433956.66977201618</v>
      </c>
      <c r="F124" s="342">
        <v>1834220</v>
      </c>
      <c r="G124" s="343">
        <v>1689742</v>
      </c>
      <c r="H124" s="344">
        <f t="shared" si="24"/>
        <v>0.92123191329284382</v>
      </c>
      <c r="I124" s="345">
        <f t="shared" si="25"/>
        <v>0.7393744880015416</v>
      </c>
      <c r="J124" s="342">
        <f t="shared" si="26"/>
        <v>4714412.3193556294</v>
      </c>
      <c r="K124" s="342">
        <f t="shared" si="27"/>
        <v>5148368.9891276453</v>
      </c>
      <c r="M124" s="346">
        <v>4600820</v>
      </c>
      <c r="N124" s="347">
        <f t="shared" si="28"/>
        <v>0.11901117390544409</v>
      </c>
    </row>
    <row r="125" spans="1:14" x14ac:dyDescent="0.3">
      <c r="A125" s="339">
        <v>110</v>
      </c>
      <c r="B125" s="339" t="s">
        <v>111</v>
      </c>
      <c r="C125" s="348">
        <v>49005</v>
      </c>
      <c r="D125" s="341">
        <f t="shared" si="22"/>
        <v>1.0319349163986367</v>
      </c>
      <c r="E125" s="342">
        <f t="shared" si="23"/>
        <v>6579841.151663878</v>
      </c>
      <c r="F125" s="342">
        <v>10580373</v>
      </c>
      <c r="G125" s="343">
        <v>12150963</v>
      </c>
      <c r="H125" s="344">
        <f t="shared" si="24"/>
        <v>1.1484437268894017</v>
      </c>
      <c r="I125" s="345">
        <f t="shared" si="25"/>
        <v>0.92173314918315219</v>
      </c>
      <c r="J125" s="342">
        <f t="shared" si="26"/>
        <v>5877170.7493083701</v>
      </c>
      <c r="K125" s="342">
        <f t="shared" si="27"/>
        <v>12457011.900972247</v>
      </c>
      <c r="M125" s="346">
        <v>9096671</v>
      </c>
      <c r="N125" s="347">
        <f t="shared" si="28"/>
        <v>0.36940336755855491</v>
      </c>
    </row>
    <row r="126" spans="1:14" x14ac:dyDescent="0.3">
      <c r="A126" s="339">
        <v>111</v>
      </c>
      <c r="B126" s="339" t="s">
        <v>140</v>
      </c>
      <c r="C126" s="348">
        <v>18402</v>
      </c>
      <c r="D126" s="341">
        <f t="shared" si="22"/>
        <v>0.38750466955550888</v>
      </c>
      <c r="E126" s="342">
        <f t="shared" si="23"/>
        <v>2470813.9347600997</v>
      </c>
      <c r="F126" s="342">
        <v>1315089</v>
      </c>
      <c r="G126" s="343">
        <v>1113369</v>
      </c>
      <c r="H126" s="344">
        <f t="shared" si="24"/>
        <v>0.84661114190750586</v>
      </c>
      <c r="I126" s="345">
        <f t="shared" si="25"/>
        <v>0.67948436278854762</v>
      </c>
      <c r="J126" s="342">
        <f t="shared" si="26"/>
        <v>4332539.873533152</v>
      </c>
      <c r="K126" s="342">
        <f t="shared" si="27"/>
        <v>6803353.8082932513</v>
      </c>
      <c r="M126" s="346">
        <v>7544431</v>
      </c>
      <c r="N126" s="347">
        <f t="shared" si="28"/>
        <v>-9.8228374241443608E-2</v>
      </c>
    </row>
    <row r="127" spans="1:14" x14ac:dyDescent="0.3">
      <c r="A127" s="339">
        <v>112</v>
      </c>
      <c r="B127" s="339" t="s">
        <v>142</v>
      </c>
      <c r="C127" s="348">
        <v>157056</v>
      </c>
      <c r="D127" s="341">
        <f t="shared" si="22"/>
        <v>3.3072455918764265</v>
      </c>
      <c r="E127" s="342">
        <f t="shared" si="23"/>
        <v>21087716.190505501</v>
      </c>
      <c r="F127" s="342">
        <v>29724443</v>
      </c>
      <c r="G127" s="343">
        <v>32342737</v>
      </c>
      <c r="H127" s="344">
        <f t="shared" si="24"/>
        <v>1.0880855530244924</v>
      </c>
      <c r="I127" s="345">
        <f t="shared" si="25"/>
        <v>0.87329008804498576</v>
      </c>
      <c r="J127" s="342">
        <f t="shared" si="26"/>
        <v>5568287.2702011028</v>
      </c>
      <c r="K127" s="342">
        <f t="shared" si="27"/>
        <v>26656003.460706603</v>
      </c>
      <c r="M127" s="346">
        <v>20694950</v>
      </c>
      <c r="N127" s="347">
        <f t="shared" si="28"/>
        <v>0.2880438687074191</v>
      </c>
    </row>
    <row r="128" spans="1:14" x14ac:dyDescent="0.3">
      <c r="A128" s="339">
        <v>113</v>
      </c>
      <c r="B128" s="339" t="s">
        <v>101</v>
      </c>
      <c r="C128" s="348">
        <v>26213</v>
      </c>
      <c r="D128" s="341">
        <f t="shared" si="22"/>
        <v>0.55198673530369269</v>
      </c>
      <c r="E128" s="342">
        <f t="shared" si="23"/>
        <v>3519587.3096330012</v>
      </c>
      <c r="F128" s="342">
        <v>448753</v>
      </c>
      <c r="G128" s="343">
        <v>437276</v>
      </c>
      <c r="H128" s="344">
        <f t="shared" si="24"/>
        <v>0.97442468351186506</v>
      </c>
      <c r="I128" s="345">
        <f t="shared" si="25"/>
        <v>0.78206664475227095</v>
      </c>
      <c r="J128" s="342">
        <f t="shared" si="26"/>
        <v>4986626.7830565739</v>
      </c>
      <c r="K128" s="342">
        <f t="shared" si="27"/>
        <v>8506214.0926895756</v>
      </c>
      <c r="M128" s="346">
        <v>9660009</v>
      </c>
      <c r="N128" s="347">
        <f t="shared" si="28"/>
        <v>-0.11944035531544789</v>
      </c>
    </row>
    <row r="129" spans="1:1" x14ac:dyDescent="0.3">
      <c r="A129" s="350" t="s">
        <v>485</v>
      </c>
    </row>
    <row r="130" spans="1:1" x14ac:dyDescent="0.3">
      <c r="A130" s="350" t="s">
        <v>486</v>
      </c>
    </row>
    <row r="131" spans="1:1" x14ac:dyDescent="0.3">
      <c r="A131" s="350"/>
    </row>
    <row r="132" spans="1:1" x14ac:dyDescent="0.3">
      <c r="A132" s="350"/>
    </row>
  </sheetData>
  <mergeCells count="4">
    <mergeCell ref="D4:E4"/>
    <mergeCell ref="B12:B13"/>
    <mergeCell ref="C12:C13"/>
    <mergeCell ref="D12:D13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59"/>
  <sheetViews>
    <sheetView workbookViewId="0"/>
  </sheetViews>
  <sheetFormatPr baseColWidth="10" defaultRowHeight="15" x14ac:dyDescent="0.2"/>
  <cols>
    <col min="1" max="2" width="12.875" style="351" customWidth="1"/>
    <col min="3" max="3" width="15.375" style="351" customWidth="1"/>
    <col min="4" max="4" width="14.375" style="351" customWidth="1"/>
    <col min="5" max="1024" width="12.875" style="351" customWidth="1"/>
  </cols>
  <sheetData>
    <row r="2" spans="1:8" x14ac:dyDescent="0.2">
      <c r="C2" s="352">
        <v>4748846</v>
      </c>
      <c r="D2" s="353">
        <v>100</v>
      </c>
    </row>
    <row r="3" spans="1:8" x14ac:dyDescent="0.2">
      <c r="A3" s="354">
        <v>1</v>
      </c>
      <c r="B3" s="354" t="s">
        <v>43</v>
      </c>
      <c r="C3" s="355">
        <v>11301</v>
      </c>
      <c r="D3" s="356">
        <v>0.23797399999999999</v>
      </c>
      <c r="E3" s="354">
        <v>2</v>
      </c>
      <c r="F3" s="354" t="s">
        <v>46</v>
      </c>
      <c r="G3" s="355">
        <v>14754</v>
      </c>
      <c r="H3" s="356">
        <v>0.31068600000000002</v>
      </c>
    </row>
    <row r="4" spans="1:8" x14ac:dyDescent="0.2">
      <c r="A4" s="354">
        <v>3</v>
      </c>
      <c r="B4" s="354" t="s">
        <v>49</v>
      </c>
      <c r="C4" s="355">
        <v>23000</v>
      </c>
      <c r="D4" s="356">
        <v>0.48432799999999998</v>
      </c>
      <c r="E4" s="354">
        <v>4</v>
      </c>
      <c r="F4" s="354" t="s">
        <v>52</v>
      </c>
      <c r="G4" s="355">
        <v>14943</v>
      </c>
      <c r="H4" s="356">
        <v>0.314666</v>
      </c>
    </row>
    <row r="5" spans="1:8" x14ac:dyDescent="0.2">
      <c r="A5" s="354">
        <v>5</v>
      </c>
      <c r="B5" s="354" t="s">
        <v>54</v>
      </c>
      <c r="C5" s="355">
        <v>10892</v>
      </c>
      <c r="D5" s="356">
        <v>0.22936100000000001</v>
      </c>
      <c r="E5" s="354">
        <v>6</v>
      </c>
      <c r="F5" s="354" t="s">
        <v>57</v>
      </c>
      <c r="G5" s="355">
        <v>126191</v>
      </c>
      <c r="H5" s="356">
        <v>2.6572979999999999</v>
      </c>
    </row>
    <row r="6" spans="1:8" x14ac:dyDescent="0.2">
      <c r="A6" s="354">
        <v>7</v>
      </c>
      <c r="B6" s="354" t="s">
        <v>44</v>
      </c>
      <c r="C6" s="355">
        <v>3529</v>
      </c>
      <c r="D6" s="356">
        <v>7.4313000000000004E-2</v>
      </c>
      <c r="E6" s="354">
        <v>8</v>
      </c>
      <c r="F6" s="354" t="s">
        <v>59</v>
      </c>
      <c r="G6" s="355">
        <v>24676</v>
      </c>
      <c r="H6" s="356">
        <v>0.519621</v>
      </c>
    </row>
    <row r="7" spans="1:8" x14ac:dyDescent="0.2">
      <c r="A7" s="354">
        <v>9</v>
      </c>
      <c r="B7" s="354" t="s">
        <v>342</v>
      </c>
      <c r="C7" s="355">
        <v>36268</v>
      </c>
      <c r="D7" s="356">
        <v>0.76372200000000001</v>
      </c>
      <c r="E7" s="354">
        <v>10</v>
      </c>
      <c r="F7" s="354" t="s">
        <v>64</v>
      </c>
      <c r="G7" s="355">
        <v>20332</v>
      </c>
      <c r="H7" s="356">
        <v>0.42814600000000003</v>
      </c>
    </row>
    <row r="8" spans="1:8" x14ac:dyDescent="0.2">
      <c r="A8" s="354">
        <v>11</v>
      </c>
      <c r="B8" s="354" t="s">
        <v>343</v>
      </c>
      <c r="C8" s="355">
        <v>11681</v>
      </c>
      <c r="D8" s="356">
        <v>0.245976</v>
      </c>
      <c r="E8" s="354">
        <v>12</v>
      </c>
      <c r="F8" s="354" t="s">
        <v>70</v>
      </c>
      <c r="G8" s="355">
        <v>45538</v>
      </c>
      <c r="H8" s="356">
        <v>0.958928</v>
      </c>
    </row>
    <row r="9" spans="1:8" x14ac:dyDescent="0.2">
      <c r="A9" s="354">
        <v>13</v>
      </c>
      <c r="B9" s="354" t="s">
        <v>73</v>
      </c>
      <c r="C9" s="355">
        <v>9176</v>
      </c>
      <c r="D9" s="356">
        <v>0.19322600000000001</v>
      </c>
      <c r="E9" s="354">
        <v>14</v>
      </c>
      <c r="F9" s="354" t="s">
        <v>75</v>
      </c>
      <c r="G9" s="355">
        <v>17022</v>
      </c>
      <c r="H9" s="356">
        <v>0.35844500000000001</v>
      </c>
    </row>
    <row r="10" spans="1:8" x14ac:dyDescent="0.2">
      <c r="A10" s="354">
        <v>15</v>
      </c>
      <c r="B10" s="354" t="s">
        <v>77</v>
      </c>
      <c r="C10" s="355">
        <v>19633</v>
      </c>
      <c r="D10" s="356">
        <v>0.41342699999999999</v>
      </c>
      <c r="E10" s="354">
        <v>16</v>
      </c>
      <c r="F10" s="354" t="s">
        <v>79</v>
      </c>
      <c r="G10" s="355">
        <v>20965</v>
      </c>
      <c r="H10" s="356">
        <v>0.44147599999999998</v>
      </c>
    </row>
    <row r="11" spans="1:8" x14ac:dyDescent="0.2">
      <c r="A11" s="354">
        <v>17</v>
      </c>
      <c r="B11" s="354" t="s">
        <v>81</v>
      </c>
      <c r="C11" s="355">
        <v>35070</v>
      </c>
      <c r="D11" s="356">
        <v>0.73849500000000001</v>
      </c>
      <c r="E11" s="354">
        <v>18</v>
      </c>
      <c r="F11" s="354" t="s">
        <v>82</v>
      </c>
      <c r="G11" s="355">
        <v>9484</v>
      </c>
      <c r="H11" s="356">
        <v>0.199712</v>
      </c>
    </row>
    <row r="12" spans="1:8" x14ac:dyDescent="0.2">
      <c r="A12" s="354">
        <v>19</v>
      </c>
      <c r="B12" s="354" t="s">
        <v>344</v>
      </c>
      <c r="C12" s="355">
        <v>20198</v>
      </c>
      <c r="D12" s="356">
        <v>0.42532399999999998</v>
      </c>
      <c r="E12" s="354">
        <v>20</v>
      </c>
      <c r="F12" s="354" t="s">
        <v>87</v>
      </c>
      <c r="G12" s="355">
        <v>29910</v>
      </c>
      <c r="H12" s="356">
        <v>0.62983699999999998</v>
      </c>
    </row>
    <row r="13" spans="1:8" x14ac:dyDescent="0.2">
      <c r="A13" s="354">
        <v>21</v>
      </c>
      <c r="B13" s="354" t="s">
        <v>88</v>
      </c>
      <c r="C13" s="355">
        <v>13539</v>
      </c>
      <c r="D13" s="356">
        <v>0.28510099999999999</v>
      </c>
      <c r="E13" s="354">
        <v>22</v>
      </c>
      <c r="F13" s="354" t="s">
        <v>91</v>
      </c>
      <c r="G13" s="355">
        <v>25138</v>
      </c>
      <c r="H13" s="356">
        <v>0.52934999999999999</v>
      </c>
    </row>
    <row r="14" spans="1:8" x14ac:dyDescent="0.2">
      <c r="A14" s="354">
        <v>23</v>
      </c>
      <c r="B14" s="354" t="s">
        <v>60</v>
      </c>
      <c r="C14" s="355">
        <v>10417</v>
      </c>
      <c r="D14" s="356">
        <v>0.219359</v>
      </c>
      <c r="E14" s="354">
        <v>24</v>
      </c>
      <c r="F14" s="354" t="s">
        <v>95</v>
      </c>
      <c r="G14" s="355">
        <v>20586</v>
      </c>
      <c r="H14" s="356">
        <v>0.43349500000000002</v>
      </c>
    </row>
    <row r="15" spans="1:8" x14ac:dyDescent="0.2">
      <c r="A15" s="354">
        <v>25</v>
      </c>
      <c r="B15" s="354" t="s">
        <v>97</v>
      </c>
      <c r="C15" s="355">
        <v>40560</v>
      </c>
      <c r="D15" s="356">
        <v>0.85410200000000003</v>
      </c>
      <c r="E15" s="354">
        <v>26</v>
      </c>
      <c r="F15" s="354" t="s">
        <v>345</v>
      </c>
      <c r="G15" s="355">
        <v>4773</v>
      </c>
      <c r="H15" s="356">
        <v>0.100509</v>
      </c>
    </row>
    <row r="16" spans="1:8" x14ac:dyDescent="0.2">
      <c r="A16" s="354">
        <v>27</v>
      </c>
      <c r="B16" s="354" t="s">
        <v>71</v>
      </c>
      <c r="C16" s="355">
        <v>4944</v>
      </c>
      <c r="D16" s="356">
        <v>0.10410999999999999</v>
      </c>
      <c r="E16" s="354">
        <v>28</v>
      </c>
      <c r="F16" s="354" t="s">
        <v>72</v>
      </c>
      <c r="G16" s="355">
        <v>5233</v>
      </c>
      <c r="H16" s="356">
        <v>0.110195</v>
      </c>
    </row>
    <row r="17" spans="1:8" x14ac:dyDescent="0.2">
      <c r="A17" s="354">
        <v>29</v>
      </c>
      <c r="B17" s="354" t="s">
        <v>61</v>
      </c>
      <c r="C17" s="355">
        <v>12342</v>
      </c>
      <c r="D17" s="356">
        <v>0.25989499999999999</v>
      </c>
      <c r="E17" s="354">
        <v>30</v>
      </c>
      <c r="F17" s="354" t="s">
        <v>104</v>
      </c>
      <c r="G17" s="355">
        <v>11850</v>
      </c>
      <c r="H17" s="356">
        <v>0.24953400000000001</v>
      </c>
    </row>
    <row r="18" spans="1:8" x14ac:dyDescent="0.2">
      <c r="A18" s="354">
        <v>31</v>
      </c>
      <c r="B18" s="354" t="s">
        <v>48</v>
      </c>
      <c r="C18" s="355">
        <v>16112</v>
      </c>
      <c r="D18" s="356">
        <v>0.33928199999999997</v>
      </c>
      <c r="E18" s="354">
        <v>32</v>
      </c>
      <c r="F18" s="354" t="s">
        <v>83</v>
      </c>
      <c r="G18" s="355">
        <v>15715</v>
      </c>
      <c r="H18" s="356">
        <v>0.33092300000000002</v>
      </c>
    </row>
    <row r="19" spans="1:8" x14ac:dyDescent="0.2">
      <c r="A19" s="354">
        <v>33</v>
      </c>
      <c r="B19" s="354" t="s">
        <v>108</v>
      </c>
      <c r="C19" s="355">
        <v>21466</v>
      </c>
      <c r="D19" s="356">
        <v>0.45202599999999998</v>
      </c>
      <c r="E19" s="354">
        <v>34</v>
      </c>
      <c r="F19" s="354" t="s">
        <v>110</v>
      </c>
      <c r="G19" s="355">
        <v>125712</v>
      </c>
      <c r="H19" s="356">
        <v>2.6472120000000001</v>
      </c>
    </row>
    <row r="20" spans="1:8" x14ac:dyDescent="0.2">
      <c r="A20" s="354">
        <v>35</v>
      </c>
      <c r="B20" s="354" t="s">
        <v>112</v>
      </c>
      <c r="C20" s="355">
        <v>30627</v>
      </c>
      <c r="D20" s="356">
        <v>0.64493599999999995</v>
      </c>
      <c r="E20" s="354">
        <v>36</v>
      </c>
      <c r="F20" s="354" t="s">
        <v>114</v>
      </c>
      <c r="G20" s="355">
        <v>11644</v>
      </c>
      <c r="H20" s="356">
        <v>0.245196</v>
      </c>
    </row>
    <row r="21" spans="1:8" x14ac:dyDescent="0.2">
      <c r="A21" s="354">
        <v>37</v>
      </c>
      <c r="B21" s="354" t="s">
        <v>92</v>
      </c>
      <c r="C21" s="355">
        <v>7945</v>
      </c>
      <c r="D21" s="356">
        <v>0.16730400000000001</v>
      </c>
      <c r="E21" s="354">
        <v>38</v>
      </c>
      <c r="F21" s="354" t="s">
        <v>51</v>
      </c>
      <c r="G21" s="355">
        <v>41973</v>
      </c>
      <c r="H21" s="356">
        <v>0.883857</v>
      </c>
    </row>
    <row r="22" spans="1:8" x14ac:dyDescent="0.2">
      <c r="A22" s="354">
        <v>39</v>
      </c>
      <c r="B22" s="354" t="s">
        <v>105</v>
      </c>
      <c r="C22" s="355">
        <v>9015</v>
      </c>
      <c r="D22" s="356">
        <v>0.189836</v>
      </c>
      <c r="E22" s="354">
        <v>40</v>
      </c>
      <c r="F22" s="354" t="s">
        <v>96</v>
      </c>
      <c r="G22" s="355">
        <v>18385</v>
      </c>
      <c r="H22" s="356">
        <v>0.38714700000000002</v>
      </c>
    </row>
    <row r="23" spans="1:8" x14ac:dyDescent="0.2">
      <c r="A23" s="354">
        <v>41</v>
      </c>
      <c r="B23" s="354" t="s">
        <v>98</v>
      </c>
      <c r="C23" s="355">
        <v>16043</v>
      </c>
      <c r="D23" s="356">
        <v>0.33782899999999999</v>
      </c>
      <c r="E23" s="354">
        <v>42</v>
      </c>
      <c r="F23" s="354" t="s">
        <v>122</v>
      </c>
      <c r="G23" s="355">
        <v>14302</v>
      </c>
      <c r="H23" s="356">
        <v>0.30116799999999999</v>
      </c>
    </row>
    <row r="24" spans="1:8" x14ac:dyDescent="0.2">
      <c r="A24" s="354">
        <v>43</v>
      </c>
      <c r="B24" s="354" t="s">
        <v>346</v>
      </c>
      <c r="C24" s="355">
        <v>68781</v>
      </c>
      <c r="D24" s="356">
        <v>1.4483729999999999</v>
      </c>
      <c r="E24" s="354">
        <v>44</v>
      </c>
      <c r="F24" s="354" t="s">
        <v>102</v>
      </c>
      <c r="G24" s="355">
        <v>12946</v>
      </c>
      <c r="H24" s="356">
        <v>0.27261400000000002</v>
      </c>
    </row>
    <row r="25" spans="1:8" x14ac:dyDescent="0.2">
      <c r="A25" s="354">
        <v>45</v>
      </c>
      <c r="B25" s="354" t="s">
        <v>127</v>
      </c>
      <c r="C25" s="355">
        <v>36158</v>
      </c>
      <c r="D25" s="356">
        <v>0.76140600000000003</v>
      </c>
      <c r="E25" s="354">
        <v>46</v>
      </c>
      <c r="F25" s="354" t="s">
        <v>119</v>
      </c>
      <c r="G25" s="355">
        <v>14936</v>
      </c>
      <c r="H25" s="356">
        <v>0.31451899999999999</v>
      </c>
    </row>
    <row r="26" spans="1:8" x14ac:dyDescent="0.2">
      <c r="A26" s="354">
        <v>47</v>
      </c>
      <c r="B26" s="354" t="s">
        <v>121</v>
      </c>
      <c r="C26" s="355">
        <v>19834</v>
      </c>
      <c r="D26" s="356">
        <v>0.417659</v>
      </c>
      <c r="E26" s="354">
        <v>48</v>
      </c>
      <c r="F26" s="354" t="s">
        <v>47</v>
      </c>
      <c r="G26" s="355">
        <v>5745</v>
      </c>
      <c r="H26" s="356">
        <v>0.120977</v>
      </c>
    </row>
    <row r="27" spans="1:8" x14ac:dyDescent="0.2">
      <c r="A27" s="354">
        <v>49</v>
      </c>
      <c r="B27" s="354" t="s">
        <v>115</v>
      </c>
      <c r="C27" s="355">
        <v>19086</v>
      </c>
      <c r="D27" s="356">
        <v>0.40190799999999999</v>
      </c>
      <c r="E27" s="354">
        <v>50</v>
      </c>
      <c r="F27" s="354" t="s">
        <v>69</v>
      </c>
      <c r="G27" s="355">
        <v>89311</v>
      </c>
      <c r="H27" s="356">
        <v>1.8806879999999999</v>
      </c>
    </row>
    <row r="28" spans="1:8" x14ac:dyDescent="0.2">
      <c r="A28" s="354">
        <v>51</v>
      </c>
      <c r="B28" s="354" t="s">
        <v>126</v>
      </c>
      <c r="C28" s="355">
        <v>13983</v>
      </c>
      <c r="D28" s="356">
        <v>0.29444999999999999</v>
      </c>
      <c r="E28" s="354">
        <v>52</v>
      </c>
      <c r="F28" s="354" t="s">
        <v>58</v>
      </c>
      <c r="G28" s="355">
        <v>196003</v>
      </c>
      <c r="H28" s="356">
        <v>4.1273819999999999</v>
      </c>
    </row>
    <row r="29" spans="1:8" x14ac:dyDescent="0.2">
      <c r="A29" s="354">
        <v>53</v>
      </c>
      <c r="B29" s="354" t="s">
        <v>103</v>
      </c>
      <c r="C29" s="355">
        <v>849053</v>
      </c>
      <c r="D29" s="356">
        <v>17.879141000000001</v>
      </c>
      <c r="E29" s="354">
        <v>54</v>
      </c>
      <c r="F29" s="354" t="s">
        <v>94</v>
      </c>
      <c r="G29" s="355">
        <v>7983</v>
      </c>
      <c r="H29" s="356">
        <v>0.168104</v>
      </c>
    </row>
    <row r="30" spans="1:8" x14ac:dyDescent="0.2">
      <c r="A30" s="354">
        <v>55</v>
      </c>
      <c r="B30" s="354" t="s">
        <v>347</v>
      </c>
      <c r="C30" s="355">
        <v>45732</v>
      </c>
      <c r="D30" s="356">
        <v>0.96301300000000001</v>
      </c>
      <c r="E30" s="354">
        <v>56</v>
      </c>
      <c r="F30" s="354" t="s">
        <v>348</v>
      </c>
      <c r="G30" s="355">
        <v>32598</v>
      </c>
      <c r="H30" s="356">
        <v>0.68644000000000005</v>
      </c>
    </row>
    <row r="31" spans="1:8" x14ac:dyDescent="0.2">
      <c r="A31" s="354">
        <v>57</v>
      </c>
      <c r="B31" s="354" t="s">
        <v>65</v>
      </c>
      <c r="C31" s="355">
        <v>8196</v>
      </c>
      <c r="D31" s="356">
        <v>0.17258899999999999</v>
      </c>
      <c r="E31" s="354">
        <v>58</v>
      </c>
      <c r="F31" s="354" t="s">
        <v>134</v>
      </c>
      <c r="G31" s="355">
        <v>20981</v>
      </c>
      <c r="H31" s="356">
        <v>0.44181300000000001</v>
      </c>
    </row>
    <row r="32" spans="1:8" x14ac:dyDescent="0.2">
      <c r="A32" s="354">
        <v>59</v>
      </c>
      <c r="B32" s="354" t="s">
        <v>136</v>
      </c>
      <c r="C32" s="355">
        <v>9027</v>
      </c>
      <c r="D32" s="356">
        <v>0.19008800000000001</v>
      </c>
      <c r="E32" s="354">
        <v>60</v>
      </c>
      <c r="F32" s="354" t="s">
        <v>137</v>
      </c>
      <c r="G32" s="355">
        <v>9437</v>
      </c>
      <c r="H32" s="356">
        <v>0.19872200000000001</v>
      </c>
    </row>
    <row r="33" spans="1:8" x14ac:dyDescent="0.2">
      <c r="A33" s="354">
        <v>61</v>
      </c>
      <c r="B33" s="354" t="s">
        <v>135</v>
      </c>
      <c r="C33" s="355">
        <v>24774</v>
      </c>
      <c r="D33" s="356">
        <v>0.52168499999999995</v>
      </c>
      <c r="E33" s="354">
        <v>62</v>
      </c>
      <c r="F33" s="354" t="s">
        <v>113</v>
      </c>
      <c r="G33" s="355">
        <v>21028</v>
      </c>
      <c r="H33" s="356">
        <v>0.44280199999999997</v>
      </c>
    </row>
    <row r="34" spans="1:8" x14ac:dyDescent="0.2">
      <c r="A34" s="354">
        <v>63</v>
      </c>
      <c r="B34" s="354" t="s">
        <v>123</v>
      </c>
      <c r="C34" s="355">
        <v>14889</v>
      </c>
      <c r="D34" s="356">
        <v>0.313529</v>
      </c>
      <c r="E34" s="354">
        <v>64</v>
      </c>
      <c r="F34" s="354" t="s">
        <v>74</v>
      </c>
      <c r="G34" s="355">
        <v>26832</v>
      </c>
      <c r="H34" s="356">
        <v>0.565021</v>
      </c>
    </row>
    <row r="35" spans="1:8" x14ac:dyDescent="0.2">
      <c r="A35" s="354">
        <v>65</v>
      </c>
      <c r="B35" s="354" t="s">
        <v>89</v>
      </c>
      <c r="C35" s="355">
        <v>39657</v>
      </c>
      <c r="D35" s="356">
        <v>0.83508700000000002</v>
      </c>
      <c r="E35" s="354">
        <v>66</v>
      </c>
      <c r="F35" s="354" t="s">
        <v>118</v>
      </c>
      <c r="G35" s="355">
        <v>98382</v>
      </c>
      <c r="H35" s="356">
        <v>2.0717029999999999</v>
      </c>
    </row>
    <row r="36" spans="1:8" x14ac:dyDescent="0.2">
      <c r="A36" s="354">
        <v>67</v>
      </c>
      <c r="B36" s="354" t="s">
        <v>120</v>
      </c>
      <c r="C36" s="355">
        <v>16621</v>
      </c>
      <c r="D36" s="356">
        <v>0.35000100000000001</v>
      </c>
      <c r="E36" s="354">
        <v>68</v>
      </c>
      <c r="F36" s="354" t="s">
        <v>144</v>
      </c>
      <c r="G36" s="355">
        <v>29389</v>
      </c>
      <c r="H36" s="356">
        <v>0.61886600000000003</v>
      </c>
    </row>
    <row r="37" spans="1:8" x14ac:dyDescent="0.2">
      <c r="A37" s="354">
        <v>69</v>
      </c>
      <c r="B37" s="354" t="s">
        <v>84</v>
      </c>
      <c r="C37" s="355">
        <v>106490</v>
      </c>
      <c r="D37" s="356">
        <v>2.2424400000000002</v>
      </c>
      <c r="E37" s="354">
        <v>70</v>
      </c>
      <c r="F37" s="354" t="s">
        <v>53</v>
      </c>
      <c r="G37" s="355">
        <v>15503</v>
      </c>
      <c r="H37" s="356">
        <v>0.32645800000000003</v>
      </c>
    </row>
    <row r="38" spans="1:8" x14ac:dyDescent="0.2">
      <c r="A38" s="354">
        <v>71</v>
      </c>
      <c r="B38" s="354" t="s">
        <v>143</v>
      </c>
      <c r="C38" s="355">
        <v>69260</v>
      </c>
      <c r="D38" s="356">
        <v>1.4584600000000001</v>
      </c>
      <c r="E38" s="354">
        <v>72</v>
      </c>
      <c r="F38" s="354" t="s">
        <v>132</v>
      </c>
      <c r="G38" s="355">
        <v>13961</v>
      </c>
      <c r="H38" s="356">
        <v>0.293987</v>
      </c>
    </row>
    <row r="39" spans="1:8" x14ac:dyDescent="0.2">
      <c r="A39" s="354">
        <v>73</v>
      </c>
      <c r="B39" s="354" t="s">
        <v>85</v>
      </c>
      <c r="C39" s="355">
        <v>27176</v>
      </c>
      <c r="D39" s="356">
        <v>0.57226500000000002</v>
      </c>
      <c r="E39" s="354">
        <v>74</v>
      </c>
      <c r="F39" s="354" t="s">
        <v>133</v>
      </c>
      <c r="G39" s="355">
        <v>10553</v>
      </c>
      <c r="H39" s="356">
        <v>0.222222</v>
      </c>
    </row>
    <row r="40" spans="1:8" x14ac:dyDescent="0.2">
      <c r="A40" s="354">
        <v>75</v>
      </c>
      <c r="B40" s="354" t="s">
        <v>146</v>
      </c>
      <c r="C40" s="355">
        <v>78935</v>
      </c>
      <c r="D40" s="356">
        <v>1.662193</v>
      </c>
      <c r="E40" s="354">
        <v>76</v>
      </c>
      <c r="F40" s="354" t="s">
        <v>148</v>
      </c>
      <c r="G40" s="355">
        <v>78477</v>
      </c>
      <c r="H40" s="356">
        <v>1.652549</v>
      </c>
    </row>
    <row r="41" spans="1:8" x14ac:dyDescent="0.2">
      <c r="A41" s="354">
        <v>77</v>
      </c>
      <c r="B41" s="354" t="s">
        <v>45</v>
      </c>
      <c r="C41" s="355">
        <v>17677</v>
      </c>
      <c r="D41" s="356">
        <v>0.37223800000000001</v>
      </c>
      <c r="E41" s="354">
        <v>78</v>
      </c>
      <c r="F41" s="354" t="s">
        <v>349</v>
      </c>
      <c r="G41" s="355">
        <v>12812</v>
      </c>
      <c r="H41" s="356">
        <v>0.26979199999999998</v>
      </c>
    </row>
    <row r="42" spans="1:8" x14ac:dyDescent="0.2">
      <c r="A42" s="354">
        <v>79</v>
      </c>
      <c r="B42" s="354" t="s">
        <v>138</v>
      </c>
      <c r="C42" s="355">
        <v>49896</v>
      </c>
      <c r="D42" s="356">
        <v>1.050697</v>
      </c>
      <c r="E42" s="354">
        <v>80</v>
      </c>
      <c r="F42" s="354" t="s">
        <v>93</v>
      </c>
      <c r="G42" s="355">
        <v>19833</v>
      </c>
      <c r="H42" s="356">
        <v>0.41763800000000001</v>
      </c>
    </row>
    <row r="43" spans="1:8" x14ac:dyDescent="0.2">
      <c r="A43" s="354">
        <v>81</v>
      </c>
      <c r="B43" s="354" t="s">
        <v>116</v>
      </c>
      <c r="C43" s="355">
        <v>9076</v>
      </c>
      <c r="D43" s="356">
        <v>0.19112000000000001</v>
      </c>
      <c r="E43" s="354">
        <v>82</v>
      </c>
      <c r="F43" s="354" t="s">
        <v>152</v>
      </c>
      <c r="G43" s="355">
        <v>79540</v>
      </c>
      <c r="H43" s="356">
        <v>1.674933</v>
      </c>
    </row>
    <row r="44" spans="1:8" x14ac:dyDescent="0.2">
      <c r="A44" s="354">
        <v>83</v>
      </c>
      <c r="B44" s="354" t="s">
        <v>153</v>
      </c>
      <c r="C44" s="355">
        <v>33453</v>
      </c>
      <c r="D44" s="356">
        <v>0.70444499999999999</v>
      </c>
      <c r="E44" s="354">
        <v>84</v>
      </c>
      <c r="F44" s="354" t="s">
        <v>107</v>
      </c>
      <c r="G44" s="355">
        <v>31716</v>
      </c>
      <c r="H44" s="356">
        <v>0.66786800000000002</v>
      </c>
    </row>
    <row r="45" spans="1:8" x14ac:dyDescent="0.2">
      <c r="A45" s="354">
        <v>85</v>
      </c>
      <c r="B45" s="354" t="s">
        <v>124</v>
      </c>
      <c r="C45" s="355">
        <v>35256</v>
      </c>
      <c r="D45" s="356">
        <v>0.74241199999999996</v>
      </c>
      <c r="E45" s="354">
        <v>86</v>
      </c>
      <c r="F45" s="354" t="s">
        <v>129</v>
      </c>
      <c r="G45" s="355">
        <v>15534</v>
      </c>
      <c r="H45" s="356">
        <v>0.32711099999999999</v>
      </c>
    </row>
    <row r="46" spans="1:8" x14ac:dyDescent="0.2">
      <c r="A46" s="354">
        <v>87</v>
      </c>
      <c r="B46" s="354" t="s">
        <v>350</v>
      </c>
      <c r="C46" s="355">
        <v>15589</v>
      </c>
      <c r="D46" s="356">
        <v>0.32826899999999998</v>
      </c>
      <c r="E46" s="354">
        <v>88</v>
      </c>
      <c r="F46" s="354" t="s">
        <v>99</v>
      </c>
      <c r="G46" s="355">
        <v>114513</v>
      </c>
      <c r="H46" s="356">
        <v>2.4113859999999998</v>
      </c>
    </row>
    <row r="47" spans="1:8" x14ac:dyDescent="0.2">
      <c r="A47" s="354">
        <v>89</v>
      </c>
      <c r="B47" s="354" t="s">
        <v>55</v>
      </c>
      <c r="C47" s="355">
        <v>24074</v>
      </c>
      <c r="D47" s="356">
        <v>0.50694399999999995</v>
      </c>
      <c r="E47" s="354">
        <v>90</v>
      </c>
      <c r="F47" s="354" t="s">
        <v>147</v>
      </c>
      <c r="G47" s="355">
        <v>16325</v>
      </c>
      <c r="H47" s="356">
        <v>0.34376800000000002</v>
      </c>
    </row>
    <row r="48" spans="1:8" x14ac:dyDescent="0.2">
      <c r="A48" s="354">
        <v>91</v>
      </c>
      <c r="B48" s="354" t="s">
        <v>351</v>
      </c>
      <c r="C48" s="355">
        <v>14934</v>
      </c>
      <c r="D48" s="356">
        <v>0.31447599999999998</v>
      </c>
      <c r="E48" s="354">
        <v>92</v>
      </c>
      <c r="F48" s="354" t="s">
        <v>352</v>
      </c>
      <c r="G48" s="355">
        <v>12836</v>
      </c>
      <c r="H48" s="356">
        <v>0.27029700000000001</v>
      </c>
    </row>
    <row r="49" spans="1:8" x14ac:dyDescent="0.2">
      <c r="A49" s="354">
        <v>93</v>
      </c>
      <c r="B49" s="354" t="s">
        <v>353</v>
      </c>
      <c r="C49" s="355">
        <v>28556</v>
      </c>
      <c r="D49" s="356">
        <v>0.601325</v>
      </c>
      <c r="E49" s="354">
        <v>94</v>
      </c>
      <c r="F49" s="354" t="s">
        <v>354</v>
      </c>
      <c r="G49" s="355">
        <v>6420</v>
      </c>
      <c r="H49" s="356">
        <v>0.13519100000000001</v>
      </c>
    </row>
    <row r="50" spans="1:8" x14ac:dyDescent="0.2">
      <c r="A50" s="354">
        <v>95</v>
      </c>
      <c r="B50" s="354" t="s">
        <v>100</v>
      </c>
      <c r="C50" s="355">
        <v>12325</v>
      </c>
      <c r="D50" s="356">
        <v>0.25953700000000002</v>
      </c>
      <c r="E50" s="354">
        <v>96</v>
      </c>
      <c r="F50" s="354" t="s">
        <v>78</v>
      </c>
      <c r="G50" s="355">
        <v>5971</v>
      </c>
      <c r="H50" s="356">
        <v>0.12573599999999999</v>
      </c>
    </row>
    <row r="51" spans="1:8" x14ac:dyDescent="0.2">
      <c r="A51" s="354">
        <v>97</v>
      </c>
      <c r="B51" s="354" t="s">
        <v>130</v>
      </c>
      <c r="C51" s="355">
        <v>29056</v>
      </c>
      <c r="D51" s="356">
        <v>0.61185400000000001</v>
      </c>
      <c r="E51" s="354">
        <v>98</v>
      </c>
      <c r="F51" s="354" t="s">
        <v>355</v>
      </c>
      <c r="G51" s="355">
        <v>25757</v>
      </c>
      <c r="H51" s="356">
        <v>0.54238399999999998</v>
      </c>
    </row>
    <row r="52" spans="1:8" x14ac:dyDescent="0.2">
      <c r="A52" s="354">
        <v>99</v>
      </c>
      <c r="B52" s="354" t="s">
        <v>139</v>
      </c>
      <c r="C52" s="355">
        <v>14329</v>
      </c>
      <c r="D52" s="356">
        <v>0.301736</v>
      </c>
      <c r="E52" s="354">
        <v>100</v>
      </c>
      <c r="F52" s="354" t="s">
        <v>125</v>
      </c>
      <c r="G52" s="355">
        <v>14911</v>
      </c>
      <c r="H52" s="356">
        <v>0.31399199999999999</v>
      </c>
    </row>
    <row r="53" spans="1:8" x14ac:dyDescent="0.2">
      <c r="A53" s="354">
        <v>101</v>
      </c>
      <c r="B53" s="354" t="s">
        <v>66</v>
      </c>
      <c r="C53" s="355">
        <v>8855</v>
      </c>
      <c r="D53" s="356">
        <v>0.18646599999999999</v>
      </c>
      <c r="E53" s="354">
        <v>102</v>
      </c>
      <c r="F53" s="354" t="s">
        <v>117</v>
      </c>
      <c r="G53" s="355">
        <v>356786</v>
      </c>
      <c r="H53" s="356">
        <v>7.5131100000000002</v>
      </c>
    </row>
    <row r="54" spans="1:8" x14ac:dyDescent="0.2">
      <c r="A54" s="354">
        <v>103</v>
      </c>
      <c r="B54" s="354" t="s">
        <v>356</v>
      </c>
      <c r="C54" s="355">
        <v>23469</v>
      </c>
      <c r="D54" s="356">
        <v>0.49420399999999998</v>
      </c>
      <c r="E54" s="354">
        <v>104</v>
      </c>
      <c r="F54" s="354" t="s">
        <v>109</v>
      </c>
      <c r="G54" s="355">
        <v>15864</v>
      </c>
      <c r="H54" s="356">
        <v>0.33406000000000002</v>
      </c>
    </row>
    <row r="55" spans="1:8" x14ac:dyDescent="0.2">
      <c r="A55" s="354">
        <v>105</v>
      </c>
      <c r="B55" s="354" t="s">
        <v>150</v>
      </c>
      <c r="C55" s="355">
        <v>20982</v>
      </c>
      <c r="D55" s="356">
        <v>0.441834</v>
      </c>
      <c r="E55" s="354">
        <v>106</v>
      </c>
      <c r="F55" s="354" t="s">
        <v>357</v>
      </c>
      <c r="G55" s="355">
        <v>32303</v>
      </c>
      <c r="H55" s="356">
        <v>0.68022800000000005</v>
      </c>
    </row>
    <row r="56" spans="1:8" x14ac:dyDescent="0.2">
      <c r="A56" s="354">
        <v>107</v>
      </c>
      <c r="B56" s="354" t="s">
        <v>358</v>
      </c>
      <c r="C56" s="355">
        <v>76829</v>
      </c>
      <c r="D56" s="356">
        <v>1.6178459999999999</v>
      </c>
      <c r="E56" s="354">
        <v>108</v>
      </c>
      <c r="F56" s="354" t="s">
        <v>149</v>
      </c>
      <c r="G56" s="355">
        <v>204860</v>
      </c>
      <c r="H56" s="356">
        <v>4.3138899999999998</v>
      </c>
    </row>
    <row r="57" spans="1:8" x14ac:dyDescent="0.2">
      <c r="A57" s="354">
        <v>109</v>
      </c>
      <c r="B57" s="354" t="s">
        <v>50</v>
      </c>
      <c r="C57" s="355">
        <v>3232</v>
      </c>
      <c r="D57" s="356">
        <v>6.8058999999999995E-2</v>
      </c>
      <c r="E57" s="354">
        <v>110</v>
      </c>
      <c r="F57" s="354" t="s">
        <v>111</v>
      </c>
      <c r="G57" s="355">
        <v>49005</v>
      </c>
      <c r="H57" s="356">
        <v>1.031935</v>
      </c>
    </row>
    <row r="58" spans="1:8" x14ac:dyDescent="0.2">
      <c r="A58" s="354">
        <v>111</v>
      </c>
      <c r="B58" s="354" t="s">
        <v>140</v>
      </c>
      <c r="C58" s="355">
        <v>18402</v>
      </c>
      <c r="D58" s="356">
        <v>0.38750499999999999</v>
      </c>
      <c r="E58" s="354">
        <v>112</v>
      </c>
      <c r="F58" s="354" t="s">
        <v>142</v>
      </c>
      <c r="G58" s="355">
        <v>157056</v>
      </c>
      <c r="H58" s="356">
        <v>3.3072460000000001</v>
      </c>
    </row>
    <row r="59" spans="1:8" x14ac:dyDescent="0.2">
      <c r="A59" s="354">
        <v>113</v>
      </c>
      <c r="B59" s="354" t="s">
        <v>101</v>
      </c>
      <c r="C59" s="355">
        <v>26213</v>
      </c>
      <c r="D59" s="356">
        <v>0.55198700000000001</v>
      </c>
    </row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8"/>
  <sheetViews>
    <sheetView workbookViewId="0"/>
  </sheetViews>
  <sheetFormatPr baseColWidth="10" defaultRowHeight="14.25" x14ac:dyDescent="0.2"/>
  <cols>
    <col min="1" max="1024" width="11.75" customWidth="1"/>
  </cols>
  <sheetData>
    <row r="2" spans="1:6" x14ac:dyDescent="0.2">
      <c r="A2" s="209">
        <v>1</v>
      </c>
      <c r="B2" s="79" t="s">
        <v>43</v>
      </c>
      <c r="C2" s="232">
        <f t="shared" ref="C2:C27" si="0">ROUND((100/113),6)</f>
        <v>0.88495599999999996</v>
      </c>
      <c r="D2" s="209">
        <v>2</v>
      </c>
      <c r="E2" s="79" t="s">
        <v>46</v>
      </c>
      <c r="F2" s="232">
        <f t="shared" ref="F2:F33" si="1">ROUND((100/113),6)</f>
        <v>0.88495599999999996</v>
      </c>
    </row>
    <row r="3" spans="1:6" x14ac:dyDescent="0.2">
      <c r="A3" s="209">
        <v>3</v>
      </c>
      <c r="B3" s="79" t="s">
        <v>49</v>
      </c>
      <c r="C3" s="232">
        <f t="shared" si="0"/>
        <v>0.88495599999999996</v>
      </c>
      <c r="D3" s="209">
        <v>4</v>
      </c>
      <c r="E3" s="79" t="s">
        <v>52</v>
      </c>
      <c r="F3" s="232">
        <f t="shared" si="1"/>
        <v>0.88495599999999996</v>
      </c>
    </row>
    <row r="4" spans="1:6" x14ac:dyDescent="0.2">
      <c r="A4" s="209">
        <v>5</v>
      </c>
      <c r="B4" s="79" t="s">
        <v>54</v>
      </c>
      <c r="C4" s="232">
        <f t="shared" si="0"/>
        <v>0.88495599999999996</v>
      </c>
      <c r="D4" s="209">
        <v>6</v>
      </c>
      <c r="E4" s="79" t="s">
        <v>57</v>
      </c>
      <c r="F4" s="232">
        <f t="shared" si="1"/>
        <v>0.88495599999999996</v>
      </c>
    </row>
    <row r="5" spans="1:6" x14ac:dyDescent="0.2">
      <c r="A5" s="209">
        <v>7</v>
      </c>
      <c r="B5" s="79" t="s">
        <v>44</v>
      </c>
      <c r="C5" s="232">
        <f t="shared" si="0"/>
        <v>0.88495599999999996</v>
      </c>
      <c r="D5" s="209">
        <v>8</v>
      </c>
      <c r="E5" s="79" t="s">
        <v>59</v>
      </c>
      <c r="F5" s="232">
        <f t="shared" si="1"/>
        <v>0.88495599999999996</v>
      </c>
    </row>
    <row r="6" spans="1:6" x14ac:dyDescent="0.2">
      <c r="A6" s="209">
        <v>9</v>
      </c>
      <c r="B6" s="79" t="s">
        <v>342</v>
      </c>
      <c r="C6" s="232">
        <f t="shared" si="0"/>
        <v>0.88495599999999996</v>
      </c>
      <c r="D6" s="209">
        <v>10</v>
      </c>
      <c r="E6" s="79" t="s">
        <v>64</v>
      </c>
      <c r="F6" s="232">
        <f t="shared" si="1"/>
        <v>0.88495599999999996</v>
      </c>
    </row>
    <row r="7" spans="1:6" x14ac:dyDescent="0.2">
      <c r="A7" s="209">
        <v>11</v>
      </c>
      <c r="B7" s="79" t="s">
        <v>343</v>
      </c>
      <c r="C7" s="232">
        <f t="shared" si="0"/>
        <v>0.88495599999999996</v>
      </c>
      <c r="D7" s="209">
        <v>12</v>
      </c>
      <c r="E7" s="79" t="s">
        <v>70</v>
      </c>
      <c r="F7" s="232">
        <f t="shared" si="1"/>
        <v>0.88495599999999996</v>
      </c>
    </row>
    <row r="8" spans="1:6" x14ac:dyDescent="0.2">
      <c r="A8" s="209">
        <v>13</v>
      </c>
      <c r="B8" s="79" t="s">
        <v>73</v>
      </c>
      <c r="C8" s="232">
        <f t="shared" si="0"/>
        <v>0.88495599999999996</v>
      </c>
      <c r="D8" s="209">
        <v>14</v>
      </c>
      <c r="E8" s="79" t="s">
        <v>75</v>
      </c>
      <c r="F8" s="232">
        <f t="shared" si="1"/>
        <v>0.88495599999999996</v>
      </c>
    </row>
    <row r="9" spans="1:6" x14ac:dyDescent="0.2">
      <c r="A9" s="209">
        <v>15</v>
      </c>
      <c r="B9" s="210" t="s">
        <v>77</v>
      </c>
      <c r="C9" s="232">
        <f t="shared" si="0"/>
        <v>0.88495599999999996</v>
      </c>
      <c r="D9" s="209">
        <v>16</v>
      </c>
      <c r="E9" s="79" t="s">
        <v>79</v>
      </c>
      <c r="F9" s="232">
        <f t="shared" si="1"/>
        <v>0.88495599999999996</v>
      </c>
    </row>
    <row r="10" spans="1:6" x14ac:dyDescent="0.2">
      <c r="A10" s="209">
        <v>17</v>
      </c>
      <c r="B10" s="79" t="s">
        <v>81</v>
      </c>
      <c r="C10" s="232">
        <f t="shared" si="0"/>
        <v>0.88495599999999996</v>
      </c>
      <c r="D10" s="209">
        <v>18</v>
      </c>
      <c r="E10" s="79" t="s">
        <v>82</v>
      </c>
      <c r="F10" s="232">
        <f t="shared" si="1"/>
        <v>0.88495599999999996</v>
      </c>
    </row>
    <row r="11" spans="1:6" x14ac:dyDescent="0.2">
      <c r="A11" s="209">
        <v>19</v>
      </c>
      <c r="B11" s="79" t="s">
        <v>344</v>
      </c>
      <c r="C11" s="232">
        <f t="shared" si="0"/>
        <v>0.88495599999999996</v>
      </c>
      <c r="D11" s="209">
        <v>20</v>
      </c>
      <c r="E11" s="79" t="s">
        <v>87</v>
      </c>
      <c r="F11" s="232">
        <f t="shared" si="1"/>
        <v>0.88495599999999996</v>
      </c>
    </row>
    <row r="12" spans="1:6" x14ac:dyDescent="0.2">
      <c r="A12" s="209">
        <v>21</v>
      </c>
      <c r="B12" s="79" t="s">
        <v>88</v>
      </c>
      <c r="C12" s="232">
        <f t="shared" si="0"/>
        <v>0.88495599999999996</v>
      </c>
      <c r="D12" s="209">
        <v>22</v>
      </c>
      <c r="E12" s="79" t="s">
        <v>91</v>
      </c>
      <c r="F12" s="232">
        <f t="shared" si="1"/>
        <v>0.88495599999999996</v>
      </c>
    </row>
    <row r="13" spans="1:6" x14ac:dyDescent="0.2">
      <c r="A13" s="209">
        <v>23</v>
      </c>
      <c r="B13" s="79" t="s">
        <v>60</v>
      </c>
      <c r="C13" s="232">
        <f t="shared" si="0"/>
        <v>0.88495599999999996</v>
      </c>
      <c r="D13" s="209">
        <v>24</v>
      </c>
      <c r="E13" s="79" t="s">
        <v>95</v>
      </c>
      <c r="F13" s="232">
        <f t="shared" si="1"/>
        <v>0.88495599999999996</v>
      </c>
    </row>
    <row r="14" spans="1:6" x14ac:dyDescent="0.2">
      <c r="A14" s="209">
        <v>25</v>
      </c>
      <c r="B14" s="79" t="s">
        <v>97</v>
      </c>
      <c r="C14" s="232">
        <f t="shared" si="0"/>
        <v>0.88495599999999996</v>
      </c>
      <c r="D14" s="209">
        <v>26</v>
      </c>
      <c r="E14" s="79" t="s">
        <v>345</v>
      </c>
      <c r="F14" s="232">
        <f t="shared" si="1"/>
        <v>0.88495599999999996</v>
      </c>
    </row>
    <row r="15" spans="1:6" x14ac:dyDescent="0.2">
      <c r="A15" s="209">
        <v>27</v>
      </c>
      <c r="B15" s="79" t="s">
        <v>71</v>
      </c>
      <c r="C15" s="232">
        <f t="shared" si="0"/>
        <v>0.88495599999999996</v>
      </c>
      <c r="D15" s="209">
        <v>28</v>
      </c>
      <c r="E15" s="79" t="s">
        <v>72</v>
      </c>
      <c r="F15" s="232">
        <f t="shared" si="1"/>
        <v>0.88495599999999996</v>
      </c>
    </row>
    <row r="16" spans="1:6" x14ac:dyDescent="0.2">
      <c r="A16" s="209">
        <v>29</v>
      </c>
      <c r="B16" s="79" t="s">
        <v>61</v>
      </c>
      <c r="C16" s="232">
        <f t="shared" si="0"/>
        <v>0.88495599999999996</v>
      </c>
      <c r="D16" s="209">
        <v>30</v>
      </c>
      <c r="E16" s="79" t="s">
        <v>104</v>
      </c>
      <c r="F16" s="232">
        <f t="shared" si="1"/>
        <v>0.88495599999999996</v>
      </c>
    </row>
    <row r="17" spans="1:6" x14ac:dyDescent="0.2">
      <c r="A17" s="209">
        <v>31</v>
      </c>
      <c r="B17" s="79" t="s">
        <v>48</v>
      </c>
      <c r="C17" s="232">
        <f t="shared" si="0"/>
        <v>0.88495599999999996</v>
      </c>
      <c r="D17" s="209">
        <v>32</v>
      </c>
      <c r="E17" s="79" t="s">
        <v>83</v>
      </c>
      <c r="F17" s="232">
        <f t="shared" si="1"/>
        <v>0.88495599999999996</v>
      </c>
    </row>
    <row r="18" spans="1:6" x14ac:dyDescent="0.2">
      <c r="A18" s="209">
        <v>33</v>
      </c>
      <c r="B18" s="79" t="s">
        <v>108</v>
      </c>
      <c r="C18" s="232">
        <f t="shared" si="0"/>
        <v>0.88495599999999996</v>
      </c>
      <c r="D18" s="209">
        <v>34</v>
      </c>
      <c r="E18" s="79" t="s">
        <v>110</v>
      </c>
      <c r="F18" s="232">
        <f t="shared" si="1"/>
        <v>0.88495599999999996</v>
      </c>
    </row>
    <row r="19" spans="1:6" x14ac:dyDescent="0.2">
      <c r="A19" s="209">
        <v>35</v>
      </c>
      <c r="B19" s="79" t="s">
        <v>112</v>
      </c>
      <c r="C19" s="232">
        <f t="shared" si="0"/>
        <v>0.88495599999999996</v>
      </c>
      <c r="D19" s="209">
        <v>36</v>
      </c>
      <c r="E19" s="79" t="s">
        <v>114</v>
      </c>
      <c r="F19" s="232">
        <f t="shared" si="1"/>
        <v>0.88495599999999996</v>
      </c>
    </row>
    <row r="20" spans="1:6" x14ac:dyDescent="0.2">
      <c r="A20" s="209">
        <v>37</v>
      </c>
      <c r="B20" s="79" t="s">
        <v>92</v>
      </c>
      <c r="C20" s="232">
        <f t="shared" si="0"/>
        <v>0.88495599999999996</v>
      </c>
      <c r="D20" s="209">
        <v>38</v>
      </c>
      <c r="E20" s="79" t="s">
        <v>51</v>
      </c>
      <c r="F20" s="232">
        <f t="shared" si="1"/>
        <v>0.88495599999999996</v>
      </c>
    </row>
    <row r="21" spans="1:6" x14ac:dyDescent="0.2">
      <c r="A21" s="209">
        <v>39</v>
      </c>
      <c r="B21" s="79" t="s">
        <v>105</v>
      </c>
      <c r="C21" s="232">
        <f t="shared" si="0"/>
        <v>0.88495599999999996</v>
      </c>
      <c r="D21" s="209">
        <v>40</v>
      </c>
      <c r="E21" s="79" t="s">
        <v>96</v>
      </c>
      <c r="F21" s="232">
        <f t="shared" si="1"/>
        <v>0.88495599999999996</v>
      </c>
    </row>
    <row r="22" spans="1:6" x14ac:dyDescent="0.2">
      <c r="A22" s="209">
        <v>41</v>
      </c>
      <c r="B22" s="79" t="s">
        <v>98</v>
      </c>
      <c r="C22" s="232">
        <f t="shared" si="0"/>
        <v>0.88495599999999996</v>
      </c>
      <c r="D22" s="209">
        <v>42</v>
      </c>
      <c r="E22" s="79" t="s">
        <v>122</v>
      </c>
      <c r="F22" s="232">
        <f t="shared" si="1"/>
        <v>0.88495599999999996</v>
      </c>
    </row>
    <row r="23" spans="1:6" x14ac:dyDescent="0.2">
      <c r="A23" s="209">
        <v>43</v>
      </c>
      <c r="B23" s="79" t="s">
        <v>346</v>
      </c>
      <c r="C23" s="232">
        <f t="shared" si="0"/>
        <v>0.88495599999999996</v>
      </c>
      <c r="D23" s="209">
        <v>44</v>
      </c>
      <c r="E23" s="79" t="s">
        <v>102</v>
      </c>
      <c r="F23" s="232">
        <f t="shared" si="1"/>
        <v>0.88495599999999996</v>
      </c>
    </row>
    <row r="24" spans="1:6" x14ac:dyDescent="0.2">
      <c r="A24" s="209">
        <v>45</v>
      </c>
      <c r="B24" s="79" t="s">
        <v>127</v>
      </c>
      <c r="C24" s="232">
        <f t="shared" si="0"/>
        <v>0.88495599999999996</v>
      </c>
      <c r="D24" s="209">
        <v>46</v>
      </c>
      <c r="E24" s="79" t="s">
        <v>119</v>
      </c>
      <c r="F24" s="232">
        <f t="shared" si="1"/>
        <v>0.88495599999999996</v>
      </c>
    </row>
    <row r="25" spans="1:6" x14ac:dyDescent="0.2">
      <c r="A25" s="209">
        <v>47</v>
      </c>
      <c r="B25" s="79" t="s">
        <v>121</v>
      </c>
      <c r="C25" s="232">
        <f t="shared" si="0"/>
        <v>0.88495599999999996</v>
      </c>
      <c r="D25" s="209">
        <v>48</v>
      </c>
      <c r="E25" s="79" t="s">
        <v>47</v>
      </c>
      <c r="F25" s="232">
        <f t="shared" si="1"/>
        <v>0.88495599999999996</v>
      </c>
    </row>
    <row r="26" spans="1:6" x14ac:dyDescent="0.2">
      <c r="A26" s="209">
        <v>49</v>
      </c>
      <c r="B26" s="79" t="s">
        <v>115</v>
      </c>
      <c r="C26" s="232">
        <f t="shared" si="0"/>
        <v>0.88495599999999996</v>
      </c>
      <c r="D26" s="209">
        <v>50</v>
      </c>
      <c r="E26" s="79" t="s">
        <v>69</v>
      </c>
      <c r="F26" s="232">
        <f t="shared" si="1"/>
        <v>0.88495599999999996</v>
      </c>
    </row>
    <row r="27" spans="1:6" x14ac:dyDescent="0.2">
      <c r="A27" s="209">
        <v>51</v>
      </c>
      <c r="B27" s="79" t="s">
        <v>126</v>
      </c>
      <c r="C27" s="232">
        <f t="shared" si="0"/>
        <v>0.88495599999999996</v>
      </c>
      <c r="D27" s="209">
        <v>52</v>
      </c>
      <c r="E27" s="79" t="s">
        <v>58</v>
      </c>
      <c r="F27" s="232">
        <f t="shared" si="1"/>
        <v>0.88495599999999996</v>
      </c>
    </row>
    <row r="28" spans="1:6" x14ac:dyDescent="0.2">
      <c r="A28" s="209">
        <v>53</v>
      </c>
      <c r="B28" s="79" t="s">
        <v>103</v>
      </c>
      <c r="C28" s="232">
        <f>ROUND((100/113),6)-0.000028</f>
        <v>0.88492799999999994</v>
      </c>
      <c r="D28" s="209">
        <v>54</v>
      </c>
      <c r="E28" s="79" t="s">
        <v>94</v>
      </c>
      <c r="F28" s="232">
        <f t="shared" si="1"/>
        <v>0.88495599999999996</v>
      </c>
    </row>
    <row r="29" spans="1:6" x14ac:dyDescent="0.2">
      <c r="A29" s="209">
        <v>55</v>
      </c>
      <c r="B29" s="79" t="s">
        <v>347</v>
      </c>
      <c r="C29" s="232">
        <f t="shared" ref="C29:C58" si="2">ROUND((100/113),6)</f>
        <v>0.88495599999999996</v>
      </c>
      <c r="D29" s="209">
        <v>56</v>
      </c>
      <c r="E29" s="79" t="s">
        <v>348</v>
      </c>
      <c r="F29" s="232">
        <f t="shared" si="1"/>
        <v>0.88495599999999996</v>
      </c>
    </row>
    <row r="30" spans="1:6" x14ac:dyDescent="0.2">
      <c r="A30" s="209">
        <v>57</v>
      </c>
      <c r="B30" s="79" t="s">
        <v>65</v>
      </c>
      <c r="C30" s="232">
        <f t="shared" si="2"/>
        <v>0.88495599999999996</v>
      </c>
      <c r="D30" s="209">
        <v>58</v>
      </c>
      <c r="E30" s="79" t="s">
        <v>134</v>
      </c>
      <c r="F30" s="232">
        <f t="shared" si="1"/>
        <v>0.88495599999999996</v>
      </c>
    </row>
    <row r="31" spans="1:6" x14ac:dyDescent="0.2">
      <c r="A31" s="209">
        <v>59</v>
      </c>
      <c r="B31" s="79" t="s">
        <v>136</v>
      </c>
      <c r="C31" s="232">
        <f t="shared" si="2"/>
        <v>0.88495599999999996</v>
      </c>
      <c r="D31" s="209">
        <v>60</v>
      </c>
      <c r="E31" s="79" t="s">
        <v>137</v>
      </c>
      <c r="F31" s="232">
        <f t="shared" si="1"/>
        <v>0.88495599999999996</v>
      </c>
    </row>
    <row r="32" spans="1:6" x14ac:dyDescent="0.2">
      <c r="A32" s="209">
        <v>61</v>
      </c>
      <c r="B32" s="79" t="s">
        <v>135</v>
      </c>
      <c r="C32" s="232">
        <f t="shared" si="2"/>
        <v>0.88495599999999996</v>
      </c>
      <c r="D32" s="209">
        <v>62</v>
      </c>
      <c r="E32" s="79" t="s">
        <v>113</v>
      </c>
      <c r="F32" s="232">
        <f t="shared" si="1"/>
        <v>0.88495599999999996</v>
      </c>
    </row>
    <row r="33" spans="1:6" x14ac:dyDescent="0.2">
      <c r="A33" s="209">
        <v>63</v>
      </c>
      <c r="B33" s="79" t="s">
        <v>123</v>
      </c>
      <c r="C33" s="232">
        <f t="shared" si="2"/>
        <v>0.88495599999999996</v>
      </c>
      <c r="D33" s="209">
        <v>64</v>
      </c>
      <c r="E33" s="79" t="s">
        <v>74</v>
      </c>
      <c r="F33" s="232">
        <f t="shared" si="1"/>
        <v>0.88495599999999996</v>
      </c>
    </row>
    <row r="34" spans="1:6" x14ac:dyDescent="0.2">
      <c r="A34" s="209">
        <v>65</v>
      </c>
      <c r="B34" s="79" t="s">
        <v>89</v>
      </c>
      <c r="C34" s="232">
        <f t="shared" si="2"/>
        <v>0.88495599999999996</v>
      </c>
      <c r="D34" s="209">
        <v>66</v>
      </c>
      <c r="E34" s="79" t="s">
        <v>118</v>
      </c>
      <c r="F34" s="232">
        <f t="shared" ref="F34:F57" si="3">ROUND((100/113),6)</f>
        <v>0.88495599999999996</v>
      </c>
    </row>
    <row r="35" spans="1:6" x14ac:dyDescent="0.2">
      <c r="A35" s="209">
        <v>67</v>
      </c>
      <c r="B35" s="79" t="s">
        <v>120</v>
      </c>
      <c r="C35" s="232">
        <f t="shared" si="2"/>
        <v>0.88495599999999996</v>
      </c>
      <c r="D35" s="209">
        <v>68</v>
      </c>
      <c r="E35" s="79" t="s">
        <v>144</v>
      </c>
      <c r="F35" s="232">
        <f t="shared" si="3"/>
        <v>0.88495599999999996</v>
      </c>
    </row>
    <row r="36" spans="1:6" x14ac:dyDescent="0.2">
      <c r="A36" s="209">
        <v>69</v>
      </c>
      <c r="B36" s="79" t="s">
        <v>84</v>
      </c>
      <c r="C36" s="232">
        <f t="shared" si="2"/>
        <v>0.88495599999999996</v>
      </c>
      <c r="D36" s="209">
        <v>70</v>
      </c>
      <c r="E36" s="79" t="s">
        <v>53</v>
      </c>
      <c r="F36" s="232">
        <f t="shared" si="3"/>
        <v>0.88495599999999996</v>
      </c>
    </row>
    <row r="37" spans="1:6" x14ac:dyDescent="0.2">
      <c r="A37" s="209">
        <v>71</v>
      </c>
      <c r="B37" s="79" t="s">
        <v>143</v>
      </c>
      <c r="C37" s="232">
        <f t="shared" si="2"/>
        <v>0.88495599999999996</v>
      </c>
      <c r="D37" s="209">
        <v>72</v>
      </c>
      <c r="E37" s="79" t="s">
        <v>132</v>
      </c>
      <c r="F37" s="232">
        <f t="shared" si="3"/>
        <v>0.88495599999999996</v>
      </c>
    </row>
    <row r="38" spans="1:6" x14ac:dyDescent="0.2">
      <c r="A38" s="209">
        <v>73</v>
      </c>
      <c r="B38" s="79" t="s">
        <v>85</v>
      </c>
      <c r="C38" s="232">
        <f t="shared" si="2"/>
        <v>0.88495599999999996</v>
      </c>
      <c r="D38" s="209">
        <v>74</v>
      </c>
      <c r="E38" s="79" t="s">
        <v>133</v>
      </c>
      <c r="F38" s="232">
        <f t="shared" si="3"/>
        <v>0.88495599999999996</v>
      </c>
    </row>
    <row r="39" spans="1:6" x14ac:dyDescent="0.2">
      <c r="A39" s="209">
        <v>75</v>
      </c>
      <c r="B39" s="79" t="s">
        <v>146</v>
      </c>
      <c r="C39" s="232">
        <f t="shared" si="2"/>
        <v>0.88495599999999996</v>
      </c>
      <c r="D39" s="209">
        <v>76</v>
      </c>
      <c r="E39" s="79" t="s">
        <v>148</v>
      </c>
      <c r="F39" s="232">
        <f t="shared" si="3"/>
        <v>0.88495599999999996</v>
      </c>
    </row>
    <row r="40" spans="1:6" x14ac:dyDescent="0.2">
      <c r="A40" s="209">
        <v>77</v>
      </c>
      <c r="B40" s="79" t="s">
        <v>45</v>
      </c>
      <c r="C40" s="232">
        <f t="shared" si="2"/>
        <v>0.88495599999999996</v>
      </c>
      <c r="D40" s="209">
        <v>78</v>
      </c>
      <c r="E40" s="79" t="s">
        <v>349</v>
      </c>
      <c r="F40" s="232">
        <f t="shared" si="3"/>
        <v>0.88495599999999996</v>
      </c>
    </row>
    <row r="41" spans="1:6" x14ac:dyDescent="0.2">
      <c r="A41" s="209">
        <v>79</v>
      </c>
      <c r="B41" s="79" t="s">
        <v>138</v>
      </c>
      <c r="C41" s="232">
        <f t="shared" si="2"/>
        <v>0.88495599999999996</v>
      </c>
      <c r="D41" s="209">
        <v>80</v>
      </c>
      <c r="E41" s="79" t="s">
        <v>93</v>
      </c>
      <c r="F41" s="232">
        <f t="shared" si="3"/>
        <v>0.88495599999999996</v>
      </c>
    </row>
    <row r="42" spans="1:6" x14ac:dyDescent="0.2">
      <c r="A42" s="209">
        <v>81</v>
      </c>
      <c r="B42" s="79" t="s">
        <v>116</v>
      </c>
      <c r="C42" s="232">
        <f t="shared" si="2"/>
        <v>0.88495599999999996</v>
      </c>
      <c r="D42" s="209">
        <v>82</v>
      </c>
      <c r="E42" s="79" t="s">
        <v>152</v>
      </c>
      <c r="F42" s="232">
        <f t="shared" si="3"/>
        <v>0.88495599999999996</v>
      </c>
    </row>
    <row r="43" spans="1:6" x14ac:dyDescent="0.2">
      <c r="A43" s="209">
        <v>83</v>
      </c>
      <c r="B43" s="79" t="s">
        <v>153</v>
      </c>
      <c r="C43" s="232">
        <f t="shared" si="2"/>
        <v>0.88495599999999996</v>
      </c>
      <c r="D43" s="209">
        <v>84</v>
      </c>
      <c r="E43" s="79" t="s">
        <v>107</v>
      </c>
      <c r="F43" s="232">
        <f t="shared" si="3"/>
        <v>0.88495599999999996</v>
      </c>
    </row>
    <row r="44" spans="1:6" x14ac:dyDescent="0.2">
      <c r="A44" s="209">
        <v>85</v>
      </c>
      <c r="B44" s="79" t="s">
        <v>124</v>
      </c>
      <c r="C44" s="232">
        <f t="shared" si="2"/>
        <v>0.88495599999999996</v>
      </c>
      <c r="D44" s="209">
        <v>86</v>
      </c>
      <c r="E44" s="79" t="s">
        <v>129</v>
      </c>
      <c r="F44" s="232">
        <f t="shared" si="3"/>
        <v>0.88495599999999996</v>
      </c>
    </row>
    <row r="45" spans="1:6" x14ac:dyDescent="0.2">
      <c r="A45" s="209">
        <v>87</v>
      </c>
      <c r="B45" s="79" t="s">
        <v>350</v>
      </c>
      <c r="C45" s="232">
        <f t="shared" si="2"/>
        <v>0.88495599999999996</v>
      </c>
      <c r="D45" s="209">
        <v>88</v>
      </c>
      <c r="E45" s="79" t="s">
        <v>99</v>
      </c>
      <c r="F45" s="232">
        <f t="shared" si="3"/>
        <v>0.88495599999999996</v>
      </c>
    </row>
    <row r="46" spans="1:6" x14ac:dyDescent="0.2">
      <c r="A46" s="209">
        <v>89</v>
      </c>
      <c r="B46" s="79" t="s">
        <v>55</v>
      </c>
      <c r="C46" s="232">
        <f t="shared" si="2"/>
        <v>0.88495599999999996</v>
      </c>
      <c r="D46" s="209">
        <v>90</v>
      </c>
      <c r="E46" s="79" t="s">
        <v>147</v>
      </c>
      <c r="F46" s="232">
        <f t="shared" si="3"/>
        <v>0.88495599999999996</v>
      </c>
    </row>
    <row r="47" spans="1:6" x14ac:dyDescent="0.2">
      <c r="A47" s="209">
        <v>91</v>
      </c>
      <c r="B47" s="79" t="s">
        <v>351</v>
      </c>
      <c r="C47" s="232">
        <f t="shared" si="2"/>
        <v>0.88495599999999996</v>
      </c>
      <c r="D47" s="209">
        <v>92</v>
      </c>
      <c r="E47" s="79" t="s">
        <v>352</v>
      </c>
      <c r="F47" s="232">
        <f t="shared" si="3"/>
        <v>0.88495599999999996</v>
      </c>
    </row>
    <row r="48" spans="1:6" x14ac:dyDescent="0.2">
      <c r="A48" s="209">
        <v>93</v>
      </c>
      <c r="B48" s="79" t="s">
        <v>353</v>
      </c>
      <c r="C48" s="232">
        <f t="shared" si="2"/>
        <v>0.88495599999999996</v>
      </c>
      <c r="D48" s="209">
        <v>94</v>
      </c>
      <c r="E48" s="79" t="s">
        <v>354</v>
      </c>
      <c r="F48" s="232">
        <f t="shared" si="3"/>
        <v>0.88495599999999996</v>
      </c>
    </row>
    <row r="49" spans="1:6" x14ac:dyDescent="0.2">
      <c r="A49" s="209">
        <v>95</v>
      </c>
      <c r="B49" s="79" t="s">
        <v>100</v>
      </c>
      <c r="C49" s="232">
        <f t="shared" si="2"/>
        <v>0.88495599999999996</v>
      </c>
      <c r="D49" s="209">
        <v>96</v>
      </c>
      <c r="E49" s="79" t="s">
        <v>78</v>
      </c>
      <c r="F49" s="232">
        <f t="shared" si="3"/>
        <v>0.88495599999999996</v>
      </c>
    </row>
    <row r="50" spans="1:6" x14ac:dyDescent="0.2">
      <c r="A50" s="209">
        <v>97</v>
      </c>
      <c r="B50" s="79" t="s">
        <v>130</v>
      </c>
      <c r="C50" s="232">
        <f t="shared" si="2"/>
        <v>0.88495599999999996</v>
      </c>
      <c r="D50" s="209">
        <v>98</v>
      </c>
      <c r="E50" s="79" t="s">
        <v>355</v>
      </c>
      <c r="F50" s="232">
        <f t="shared" si="3"/>
        <v>0.88495599999999996</v>
      </c>
    </row>
    <row r="51" spans="1:6" x14ac:dyDescent="0.2">
      <c r="A51" s="209">
        <v>99</v>
      </c>
      <c r="B51" s="79" t="s">
        <v>139</v>
      </c>
      <c r="C51" s="232">
        <f t="shared" si="2"/>
        <v>0.88495599999999996</v>
      </c>
      <c r="D51" s="209">
        <v>100</v>
      </c>
      <c r="E51" s="79" t="s">
        <v>125</v>
      </c>
      <c r="F51" s="232">
        <f t="shared" si="3"/>
        <v>0.88495599999999996</v>
      </c>
    </row>
    <row r="52" spans="1:6" x14ac:dyDescent="0.2">
      <c r="A52" s="209">
        <v>101</v>
      </c>
      <c r="B52" s="79" t="s">
        <v>66</v>
      </c>
      <c r="C52" s="232">
        <f t="shared" si="2"/>
        <v>0.88495599999999996</v>
      </c>
      <c r="D52" s="209">
        <v>102</v>
      </c>
      <c r="E52" s="79" t="s">
        <v>117</v>
      </c>
      <c r="F52" s="232">
        <f t="shared" si="3"/>
        <v>0.88495599999999996</v>
      </c>
    </row>
    <row r="53" spans="1:6" x14ac:dyDescent="0.2">
      <c r="A53" s="209">
        <v>103</v>
      </c>
      <c r="B53" s="79" t="s">
        <v>356</v>
      </c>
      <c r="C53" s="232">
        <f t="shared" si="2"/>
        <v>0.88495599999999996</v>
      </c>
      <c r="D53" s="209">
        <v>104</v>
      </c>
      <c r="E53" s="79" t="s">
        <v>109</v>
      </c>
      <c r="F53" s="232">
        <f t="shared" si="3"/>
        <v>0.88495599999999996</v>
      </c>
    </row>
    <row r="54" spans="1:6" x14ac:dyDescent="0.2">
      <c r="A54" s="209">
        <v>105</v>
      </c>
      <c r="B54" s="79" t="s">
        <v>150</v>
      </c>
      <c r="C54" s="232">
        <f t="shared" si="2"/>
        <v>0.88495599999999996</v>
      </c>
      <c r="D54" s="209">
        <v>106</v>
      </c>
      <c r="E54" s="79" t="s">
        <v>357</v>
      </c>
      <c r="F54" s="232">
        <f t="shared" si="3"/>
        <v>0.88495599999999996</v>
      </c>
    </row>
    <row r="55" spans="1:6" x14ac:dyDescent="0.2">
      <c r="A55" s="209">
        <v>107</v>
      </c>
      <c r="B55" s="79" t="s">
        <v>358</v>
      </c>
      <c r="C55" s="232">
        <f t="shared" si="2"/>
        <v>0.88495599999999996</v>
      </c>
      <c r="D55" s="209">
        <v>108</v>
      </c>
      <c r="E55" s="79" t="s">
        <v>149</v>
      </c>
      <c r="F55" s="232">
        <f t="shared" si="3"/>
        <v>0.88495599999999996</v>
      </c>
    </row>
    <row r="56" spans="1:6" x14ac:dyDescent="0.2">
      <c r="A56" s="209">
        <v>109</v>
      </c>
      <c r="B56" s="79" t="s">
        <v>50</v>
      </c>
      <c r="C56" s="232">
        <f t="shared" si="2"/>
        <v>0.88495599999999996</v>
      </c>
      <c r="D56" s="209">
        <v>110</v>
      </c>
      <c r="E56" s="79" t="s">
        <v>111</v>
      </c>
      <c r="F56" s="232">
        <f t="shared" si="3"/>
        <v>0.88495599999999996</v>
      </c>
    </row>
    <row r="57" spans="1:6" x14ac:dyDescent="0.2">
      <c r="A57" s="209">
        <v>111</v>
      </c>
      <c r="B57" s="79" t="s">
        <v>140</v>
      </c>
      <c r="C57" s="232">
        <f t="shared" si="2"/>
        <v>0.88495599999999996</v>
      </c>
      <c r="D57" s="209">
        <v>112</v>
      </c>
      <c r="E57" s="79" t="s">
        <v>142</v>
      </c>
      <c r="F57" s="232">
        <f t="shared" si="3"/>
        <v>0.88495599999999996</v>
      </c>
    </row>
    <row r="58" spans="1:6" x14ac:dyDescent="0.2">
      <c r="A58" s="209">
        <v>113</v>
      </c>
      <c r="B58" s="79" t="s">
        <v>101</v>
      </c>
      <c r="C58" s="232">
        <f t="shared" si="2"/>
        <v>0.88495599999999996</v>
      </c>
    </row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24"/>
  <sheetViews>
    <sheetView showGridLines="0" topLeftCell="G5" workbookViewId="0">
      <selection activeCell="M10" sqref="M10"/>
    </sheetView>
  </sheetViews>
  <sheetFormatPr baseColWidth="10" defaultRowHeight="14.25" x14ac:dyDescent="0.2"/>
  <cols>
    <col min="1" max="1" width="5.375" style="396" customWidth="1"/>
    <col min="2" max="2" width="18.75" style="401" customWidth="1"/>
    <col min="3" max="3" width="10.75" style="401" customWidth="1"/>
    <col min="4" max="4" width="9.375" style="401" customWidth="1"/>
    <col min="5" max="5" width="9.25" style="401" customWidth="1"/>
    <col min="6" max="6" width="11.375" style="413" customWidth="1"/>
    <col min="7" max="7" width="12.25" style="413" customWidth="1"/>
    <col min="8" max="8" width="8.625" style="401" customWidth="1"/>
    <col min="9" max="9" width="10.875" style="401" customWidth="1"/>
    <col min="10" max="10" width="9.375" style="401" customWidth="1"/>
    <col min="11" max="11" width="11.375" style="401" customWidth="1"/>
    <col min="12" max="12" width="10.875" style="401" customWidth="1"/>
    <col min="13" max="13" width="11.875" style="401" customWidth="1"/>
    <col min="14" max="14" width="10.875" style="401" customWidth="1"/>
    <col min="15" max="15" width="12" style="401" bestFit="1" customWidth="1"/>
    <col min="16" max="16" width="9.625" style="401" customWidth="1"/>
    <col min="17" max="17" width="5.625" style="401" customWidth="1"/>
    <col min="18" max="19" width="12.625" style="401" bestFit="1" customWidth="1"/>
    <col min="20" max="20" width="14.25" style="401" customWidth="1"/>
    <col min="21" max="21" width="13" style="401" customWidth="1"/>
    <col min="22" max="22" width="8.75" style="401" customWidth="1"/>
    <col min="23" max="1024" width="12.875" style="401" customWidth="1"/>
    <col min="1025" max="16384" width="11" style="402"/>
  </cols>
  <sheetData>
    <row r="1" spans="1:23" x14ac:dyDescent="0.2">
      <c r="B1" s="397"/>
      <c r="C1" s="95" t="s">
        <v>0</v>
      </c>
      <c r="D1" s="398"/>
      <c r="E1" s="399"/>
      <c r="F1" s="400"/>
      <c r="G1" s="400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</row>
    <row r="2" spans="1:23" x14ac:dyDescent="0.2">
      <c r="B2" s="397"/>
      <c r="C2" s="95" t="s">
        <v>163</v>
      </c>
      <c r="D2" s="397"/>
      <c r="E2" s="399"/>
      <c r="F2" s="403"/>
      <c r="G2" s="403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</row>
    <row r="3" spans="1:23" x14ac:dyDescent="0.2">
      <c r="B3" s="397"/>
      <c r="C3" s="95" t="s">
        <v>516</v>
      </c>
      <c r="D3" s="398"/>
      <c r="E3" s="404"/>
      <c r="F3" s="405"/>
      <c r="G3" s="400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</row>
    <row r="4" spans="1:23" x14ac:dyDescent="0.2">
      <c r="A4" s="743" t="s">
        <v>21</v>
      </c>
      <c r="B4" s="743" t="s">
        <v>34</v>
      </c>
      <c r="C4" s="742" t="s">
        <v>493</v>
      </c>
      <c r="D4" s="742"/>
      <c r="E4" s="742"/>
      <c r="F4" s="742"/>
      <c r="G4" s="742"/>
      <c r="H4" s="742"/>
      <c r="I4" s="742" t="s">
        <v>27</v>
      </c>
      <c r="J4" s="742"/>
      <c r="K4" s="742"/>
      <c r="L4" s="742"/>
      <c r="M4" s="742"/>
      <c r="N4" s="742"/>
      <c r="O4" s="742"/>
      <c r="P4" s="742"/>
      <c r="Q4" s="406"/>
      <c r="R4" s="744" t="s">
        <v>545</v>
      </c>
      <c r="S4" s="744"/>
      <c r="T4" s="744"/>
      <c r="U4" s="744"/>
      <c r="V4" s="744"/>
      <c r="W4" s="744"/>
    </row>
    <row r="5" spans="1:23" ht="52.5" customHeight="1" x14ac:dyDescent="0.2">
      <c r="A5" s="743"/>
      <c r="B5" s="743"/>
      <c r="C5" s="407" t="s">
        <v>491</v>
      </c>
      <c r="D5" s="407" t="s">
        <v>488</v>
      </c>
      <c r="E5" s="407" t="s">
        <v>184</v>
      </c>
      <c r="F5" s="408" t="s">
        <v>517</v>
      </c>
      <c r="G5" s="408" t="s">
        <v>518</v>
      </c>
      <c r="H5" s="407" t="s">
        <v>489</v>
      </c>
      <c r="I5" s="407" t="s">
        <v>490</v>
      </c>
      <c r="J5" s="407" t="s">
        <v>491</v>
      </c>
      <c r="K5" s="407" t="s">
        <v>492</v>
      </c>
      <c r="L5" s="408" t="s">
        <v>517</v>
      </c>
      <c r="M5" s="408" t="s">
        <v>518</v>
      </c>
      <c r="N5" s="407" t="s">
        <v>489</v>
      </c>
      <c r="O5" s="407" t="s">
        <v>188</v>
      </c>
      <c r="P5" s="407" t="s">
        <v>519</v>
      </c>
      <c r="Q5" s="397"/>
      <c r="R5" s="745" t="s">
        <v>546</v>
      </c>
      <c r="S5" s="745" t="s">
        <v>547</v>
      </c>
      <c r="T5" s="745" t="s">
        <v>548</v>
      </c>
      <c r="U5" s="745" t="s">
        <v>549</v>
      </c>
      <c r="V5" s="745" t="s">
        <v>550</v>
      </c>
      <c r="W5" s="745" t="s">
        <v>551</v>
      </c>
    </row>
    <row r="6" spans="1:23" x14ac:dyDescent="0.2">
      <c r="A6" s="743"/>
      <c r="B6" s="743"/>
      <c r="C6" s="409">
        <v>1</v>
      </c>
      <c r="D6" s="409" t="s">
        <v>189</v>
      </c>
      <c r="E6" s="409">
        <v>3</v>
      </c>
      <c r="F6" s="410">
        <v>5</v>
      </c>
      <c r="G6" s="410">
        <v>6</v>
      </c>
      <c r="H6" s="409">
        <v>7</v>
      </c>
      <c r="I6" s="409" t="s">
        <v>35</v>
      </c>
      <c r="J6" s="411" t="s">
        <v>36</v>
      </c>
      <c r="K6" s="411" t="s">
        <v>37</v>
      </c>
      <c r="L6" s="411" t="s">
        <v>38</v>
      </c>
      <c r="M6" s="411" t="s">
        <v>190</v>
      </c>
      <c r="N6" s="411" t="s">
        <v>40</v>
      </c>
      <c r="O6" s="411" t="s">
        <v>41</v>
      </c>
      <c r="P6" s="409" t="s">
        <v>42</v>
      </c>
      <c r="Q6" s="397"/>
      <c r="R6" s="746"/>
      <c r="S6" s="746"/>
      <c r="T6" s="746"/>
      <c r="U6" s="746"/>
      <c r="V6" s="746"/>
      <c r="W6" s="746"/>
    </row>
    <row r="7" spans="1:23" x14ac:dyDescent="0.2">
      <c r="A7" s="412"/>
      <c r="B7" s="247" t="s">
        <v>191</v>
      </c>
      <c r="C7" s="416">
        <f t="shared" ref="C7:P7" si="0">SUM(C8:C120)</f>
        <v>58594</v>
      </c>
      <c r="D7" s="417">
        <f t="shared" si="0"/>
        <v>12139.185628014799</v>
      </c>
      <c r="E7" s="248">
        <f t="shared" si="0"/>
        <v>4748846</v>
      </c>
      <c r="F7" s="248">
        <f t="shared" si="0"/>
        <v>568067570.73999977</v>
      </c>
      <c r="G7" s="248">
        <f t="shared" si="0"/>
        <v>3457206339</v>
      </c>
      <c r="H7" s="248">
        <f t="shared" si="0"/>
        <v>8644</v>
      </c>
      <c r="I7" s="418">
        <f t="shared" si="0"/>
        <v>100.00000000000004</v>
      </c>
      <c r="J7" s="419">
        <f t="shared" si="0"/>
        <v>100.00000000000004</v>
      </c>
      <c r="K7" s="420">
        <f t="shared" si="0"/>
        <v>100.00000000000004</v>
      </c>
      <c r="L7" s="420">
        <f t="shared" si="0"/>
        <v>100.00000000000006</v>
      </c>
      <c r="M7" s="421">
        <f t="shared" si="0"/>
        <v>2499.9999999999995</v>
      </c>
      <c r="N7" s="420">
        <f t="shared" si="0"/>
        <v>100.00000000000003</v>
      </c>
      <c r="O7" s="421">
        <f t="shared" si="0"/>
        <v>2900.0000000000018</v>
      </c>
      <c r="P7" s="419">
        <f t="shared" si="0"/>
        <v>99.999999999999915</v>
      </c>
      <c r="Q7" s="397"/>
      <c r="R7" s="747"/>
      <c r="S7" s="747"/>
      <c r="T7" s="747"/>
      <c r="U7" s="747"/>
      <c r="V7" s="747"/>
      <c r="W7" s="747"/>
    </row>
    <row r="8" spans="1:23" x14ac:dyDescent="0.2">
      <c r="A8" s="237">
        <v>1</v>
      </c>
      <c r="B8" s="422" t="s">
        <v>43</v>
      </c>
      <c r="C8" s="423">
        <v>176</v>
      </c>
      <c r="D8" s="424">
        <f t="shared" ref="D8:D39" si="1">ROUND(E8/C8,10)</f>
        <v>64.210227272699996</v>
      </c>
      <c r="E8" s="244">
        <v>11301</v>
      </c>
      <c r="F8" s="244">
        <f>'COMPARATIVOS VARIABLES'!X10</f>
        <v>2052157.8800000001</v>
      </c>
      <c r="G8" s="244">
        <f>'COMPARATIVOS VARIABLES'!O10</f>
        <v>13430624.329873979</v>
      </c>
      <c r="H8" s="244">
        <v>40</v>
      </c>
      <c r="I8" s="425">
        <f t="shared" ref="I8:I39" si="2">E8/$E$7%</f>
        <v>0.23797360453465957</v>
      </c>
      <c r="J8" s="426">
        <f t="shared" ref="J8:J39" si="3">C8/$C$7%</f>
        <v>0.30037205174591253</v>
      </c>
      <c r="K8" s="426">
        <f t="shared" ref="K8:K39" si="4">D8/$D$7%</f>
        <v>0.5289500403100823</v>
      </c>
      <c r="L8" s="426">
        <f t="shared" ref="L8:L39" si="5">F8/$F$7%</f>
        <v>0.36125242589129547</v>
      </c>
      <c r="M8" s="426">
        <f t="shared" ref="M8:M39" si="6">G8/$G$7%*25</f>
        <v>9.7120499999999996</v>
      </c>
      <c r="N8" s="426">
        <f t="shared" ref="N8:N39" si="7">H8/$H$7%</f>
        <v>0.46274872744099954</v>
      </c>
      <c r="O8" s="425">
        <f>J8+K8+L8+M8+N8</f>
        <v>11.365373245388289</v>
      </c>
      <c r="P8" s="427">
        <f t="shared" ref="P8:P39" si="8">O8/$O$7%</f>
        <v>0.39190942225476838</v>
      </c>
      <c r="Q8" s="397"/>
      <c r="R8" s="723">
        <v>3477993</v>
      </c>
      <c r="S8" s="723">
        <v>3729595</v>
      </c>
      <c r="T8" s="724"/>
      <c r="U8" s="724"/>
      <c r="V8" s="724"/>
      <c r="W8" s="724"/>
    </row>
    <row r="9" spans="1:23" x14ac:dyDescent="0.2">
      <c r="A9" s="237">
        <v>2</v>
      </c>
      <c r="B9" s="422" t="s">
        <v>46</v>
      </c>
      <c r="C9" s="423">
        <v>1397</v>
      </c>
      <c r="D9" s="424">
        <f t="shared" si="1"/>
        <v>10.561202577</v>
      </c>
      <c r="E9" s="244">
        <v>14754</v>
      </c>
      <c r="F9" s="244">
        <f>'COMPARATIVOS VARIABLES'!X11</f>
        <v>1540175.7399999998</v>
      </c>
      <c r="G9" s="244">
        <f>'COMPARATIVOS VARIABLES'!O11</f>
        <v>44911288.383603573</v>
      </c>
      <c r="H9" s="244">
        <v>133</v>
      </c>
      <c r="I9" s="425">
        <f t="shared" si="2"/>
        <v>0.31068600666351365</v>
      </c>
      <c r="J9" s="426">
        <f t="shared" si="3"/>
        <v>2.3842031607331808</v>
      </c>
      <c r="K9" s="426">
        <f t="shared" si="4"/>
        <v>8.7000915058312214E-2</v>
      </c>
      <c r="L9" s="426">
        <f t="shared" si="5"/>
        <v>0.27112544692415236</v>
      </c>
      <c r="M9" s="426">
        <f t="shared" si="6"/>
        <v>32.476575000000004</v>
      </c>
      <c r="N9" s="426">
        <f t="shared" si="7"/>
        <v>1.5386395187413235</v>
      </c>
      <c r="O9" s="425">
        <f t="shared" ref="O9:O39" si="9">J9+K9+L9+M9+N9</f>
        <v>36.757544041456967</v>
      </c>
      <c r="P9" s="427">
        <f t="shared" si="8"/>
        <v>1.2675015186709291</v>
      </c>
      <c r="Q9" s="397"/>
      <c r="R9" s="723">
        <v>1728303</v>
      </c>
      <c r="S9" s="723">
        <v>2024079</v>
      </c>
      <c r="T9" s="724"/>
      <c r="U9" s="724"/>
      <c r="V9" s="724"/>
      <c r="W9" s="724"/>
    </row>
    <row r="10" spans="1:23" x14ac:dyDescent="0.2">
      <c r="A10" s="237">
        <v>3</v>
      </c>
      <c r="B10" s="422" t="s">
        <v>49</v>
      </c>
      <c r="C10" s="423">
        <v>160</v>
      </c>
      <c r="D10" s="424">
        <f t="shared" si="1"/>
        <v>143.75</v>
      </c>
      <c r="E10" s="244">
        <v>23000</v>
      </c>
      <c r="F10" s="244">
        <f>'COMPARATIVOS VARIABLES'!X12</f>
        <v>2638586.3200000003</v>
      </c>
      <c r="G10" s="244">
        <f>'COMPARATIVOS VARIABLES'!O12</f>
        <v>21228629.803995602</v>
      </c>
      <c r="H10" s="244">
        <v>47</v>
      </c>
      <c r="I10" s="425">
        <f t="shared" si="2"/>
        <v>0.48432819257562787</v>
      </c>
      <c r="J10" s="426">
        <f t="shared" si="3"/>
        <v>0.27306550158719323</v>
      </c>
      <c r="K10" s="426">
        <f t="shared" si="4"/>
        <v>1.1841815786081555</v>
      </c>
      <c r="L10" s="426">
        <f t="shared" si="5"/>
        <v>0.46448458878981869</v>
      </c>
      <c r="M10" s="426">
        <f t="shared" si="6"/>
        <v>15.351000000000001</v>
      </c>
      <c r="N10" s="426">
        <f t="shared" si="7"/>
        <v>0.54372975474317442</v>
      </c>
      <c r="O10" s="425">
        <f t="shared" si="9"/>
        <v>17.816461423728345</v>
      </c>
      <c r="P10" s="427">
        <f t="shared" si="8"/>
        <v>0.6143607387492529</v>
      </c>
      <c r="Q10" s="397"/>
      <c r="R10" s="723">
        <v>3226019</v>
      </c>
      <c r="S10" s="723">
        <v>3721978</v>
      </c>
      <c r="T10" s="724"/>
      <c r="U10" s="724"/>
      <c r="V10" s="724"/>
      <c r="W10" s="724"/>
    </row>
    <row r="11" spans="1:23" x14ac:dyDescent="0.2">
      <c r="A11" s="237">
        <v>4</v>
      </c>
      <c r="B11" s="422" t="s">
        <v>52</v>
      </c>
      <c r="C11" s="423">
        <v>240</v>
      </c>
      <c r="D11" s="424">
        <f t="shared" si="1"/>
        <v>62.262500000000003</v>
      </c>
      <c r="E11" s="244">
        <v>14943</v>
      </c>
      <c r="F11" s="244">
        <f>'COMPARATIVOS VARIABLES'!X13</f>
        <v>2390533.16</v>
      </c>
      <c r="G11" s="244">
        <f>'COMPARATIVOS VARIABLES'!O13</f>
        <v>13336934.038087081</v>
      </c>
      <c r="H11" s="244">
        <v>29</v>
      </c>
      <c r="I11" s="425">
        <f t="shared" si="2"/>
        <v>0.31466592094163509</v>
      </c>
      <c r="J11" s="426">
        <f t="shared" si="3"/>
        <v>0.40959825238078978</v>
      </c>
      <c r="K11" s="426">
        <f t="shared" si="4"/>
        <v>0.51290508200410634</v>
      </c>
      <c r="L11" s="426">
        <f t="shared" si="5"/>
        <v>0.42081845243972377</v>
      </c>
      <c r="M11" s="426">
        <f t="shared" si="6"/>
        <v>9.6442999999999994</v>
      </c>
      <c r="N11" s="426">
        <f t="shared" si="7"/>
        <v>0.33549282739472469</v>
      </c>
      <c r="O11" s="425">
        <f t="shared" si="9"/>
        <v>11.323114614219344</v>
      </c>
      <c r="P11" s="427">
        <f t="shared" si="8"/>
        <v>0.39045222807652885</v>
      </c>
      <c r="Q11" s="397"/>
      <c r="R11" s="723">
        <v>2631046</v>
      </c>
      <c r="S11" s="723">
        <v>2336482</v>
      </c>
      <c r="T11" s="724"/>
      <c r="U11" s="724"/>
      <c r="V11" s="724"/>
      <c r="W11" s="724"/>
    </row>
    <row r="12" spans="1:23" x14ac:dyDescent="0.2">
      <c r="A12" s="237">
        <v>5</v>
      </c>
      <c r="B12" s="422" t="s">
        <v>54</v>
      </c>
      <c r="C12" s="423">
        <v>77</v>
      </c>
      <c r="D12" s="424">
        <f t="shared" si="1"/>
        <v>141.45454545449999</v>
      </c>
      <c r="E12" s="244">
        <v>10892</v>
      </c>
      <c r="F12" s="244">
        <f>'COMPARATIVOS VARIABLES'!X14</f>
        <v>1225055.4000000001</v>
      </c>
      <c r="G12" s="244">
        <f>'COMPARATIVOS VARIABLES'!O14</f>
        <v>14115669.76594683</v>
      </c>
      <c r="H12" s="244">
        <v>22</v>
      </c>
      <c r="I12" s="425">
        <f t="shared" si="2"/>
        <v>0.22936098580581471</v>
      </c>
      <c r="J12" s="426">
        <f t="shared" si="3"/>
        <v>0.13141277263883672</v>
      </c>
      <c r="K12" s="426">
        <f t="shared" si="4"/>
        <v>1.1652721178268446</v>
      </c>
      <c r="L12" s="426">
        <f t="shared" si="5"/>
        <v>0.21565311295699693</v>
      </c>
      <c r="M12" s="426">
        <f t="shared" si="6"/>
        <v>10.207424999999999</v>
      </c>
      <c r="N12" s="426">
        <f t="shared" si="7"/>
        <v>0.25451180009254976</v>
      </c>
      <c r="O12" s="425">
        <f t="shared" si="9"/>
        <v>11.974274803515227</v>
      </c>
      <c r="P12" s="427">
        <f t="shared" si="8"/>
        <v>0.41290602770742135</v>
      </c>
      <c r="Q12" s="397"/>
      <c r="R12" s="723">
        <v>416546</v>
      </c>
      <c r="S12" s="723">
        <v>436147</v>
      </c>
      <c r="T12" s="724"/>
      <c r="U12" s="724"/>
      <c r="V12" s="724"/>
      <c r="W12" s="724"/>
    </row>
    <row r="13" spans="1:23" x14ac:dyDescent="0.2">
      <c r="A13" s="237">
        <v>6</v>
      </c>
      <c r="B13" s="422" t="s">
        <v>57</v>
      </c>
      <c r="C13" s="423">
        <v>1640</v>
      </c>
      <c r="D13" s="424">
        <f t="shared" si="1"/>
        <v>76.945731707299998</v>
      </c>
      <c r="E13" s="244">
        <v>126191</v>
      </c>
      <c r="F13" s="244">
        <f>'COMPARATIVOS VARIABLES'!X15</f>
        <v>15867038.970000001</v>
      </c>
      <c r="G13" s="244">
        <f>'COMPARATIVOS VARIABLES'!O15</f>
        <v>81536621.190399066</v>
      </c>
      <c r="H13" s="244">
        <v>168</v>
      </c>
      <c r="I13" s="425">
        <f t="shared" si="2"/>
        <v>2.6572982151874371</v>
      </c>
      <c r="J13" s="426">
        <f t="shared" si="3"/>
        <v>2.7989213912687303</v>
      </c>
      <c r="K13" s="426">
        <f t="shared" si="4"/>
        <v>0.6338623863673748</v>
      </c>
      <c r="L13" s="426">
        <f t="shared" si="5"/>
        <v>2.7931604948563811</v>
      </c>
      <c r="M13" s="426">
        <f t="shared" si="6"/>
        <v>58.961350000000003</v>
      </c>
      <c r="N13" s="426">
        <f t="shared" si="7"/>
        <v>1.9435446552521982</v>
      </c>
      <c r="O13" s="425">
        <f t="shared" si="9"/>
        <v>67.130838927744691</v>
      </c>
      <c r="P13" s="427">
        <f t="shared" si="8"/>
        <v>2.3148565147498155</v>
      </c>
      <c r="Q13" s="397"/>
      <c r="R13" s="723">
        <v>26263319</v>
      </c>
      <c r="S13" s="723">
        <v>24752267</v>
      </c>
      <c r="T13" s="724"/>
      <c r="U13" s="724"/>
      <c r="V13" s="724"/>
      <c r="W13" s="724"/>
    </row>
    <row r="14" spans="1:23" x14ac:dyDescent="0.2">
      <c r="A14" s="237">
        <v>7</v>
      </c>
      <c r="B14" s="422" t="s">
        <v>44</v>
      </c>
      <c r="C14" s="423">
        <v>58</v>
      </c>
      <c r="D14" s="424">
        <f t="shared" si="1"/>
        <v>60.844827586199997</v>
      </c>
      <c r="E14" s="244">
        <v>3529</v>
      </c>
      <c r="F14" s="244">
        <f>'COMPARATIVOS VARIABLES'!X16</f>
        <v>548759.91999999993</v>
      </c>
      <c r="G14" s="244">
        <f>'COMPARATIVOS VARIABLES'!O16</f>
        <v>13928946.05157744</v>
      </c>
      <c r="H14" s="244">
        <v>13</v>
      </c>
      <c r="I14" s="425">
        <f t="shared" si="2"/>
        <v>7.4312790939103937E-2</v>
      </c>
      <c r="J14" s="426">
        <f t="shared" si="3"/>
        <v>9.8986244325357534E-2</v>
      </c>
      <c r="K14" s="426">
        <f t="shared" si="4"/>
        <v>0.50122660160812083</v>
      </c>
      <c r="L14" s="426">
        <f t="shared" si="5"/>
        <v>9.6601170048336238E-2</v>
      </c>
      <c r="M14" s="426">
        <f t="shared" si="6"/>
        <v>10.0724</v>
      </c>
      <c r="N14" s="426">
        <f t="shared" si="7"/>
        <v>0.15039333641832486</v>
      </c>
      <c r="O14" s="425">
        <f t="shared" si="9"/>
        <v>10.91960735240014</v>
      </c>
      <c r="P14" s="427">
        <f t="shared" si="8"/>
        <v>0.37653818456552185</v>
      </c>
      <c r="Q14" s="397"/>
      <c r="R14" s="723">
        <v>588773</v>
      </c>
      <c r="S14" s="723">
        <v>501503</v>
      </c>
      <c r="T14" s="724"/>
      <c r="U14" s="724"/>
      <c r="V14" s="724"/>
      <c r="W14" s="724"/>
    </row>
    <row r="15" spans="1:23" x14ac:dyDescent="0.2">
      <c r="A15" s="237">
        <v>8</v>
      </c>
      <c r="B15" s="422" t="s">
        <v>59</v>
      </c>
      <c r="C15" s="423">
        <v>2264</v>
      </c>
      <c r="D15" s="424">
        <f t="shared" si="1"/>
        <v>10.899293286200001</v>
      </c>
      <c r="E15" s="244">
        <v>24676</v>
      </c>
      <c r="F15" s="244">
        <f>'COMPARATIVOS VARIABLES'!X17</f>
        <v>2166752.77</v>
      </c>
      <c r="G15" s="244">
        <f>'COMPARATIVOS VARIABLES'!O17</f>
        <v>82235772.028335035</v>
      </c>
      <c r="H15" s="244">
        <v>418</v>
      </c>
      <c r="I15" s="425">
        <f t="shared" si="2"/>
        <v>0.51962097739113877</v>
      </c>
      <c r="J15" s="426">
        <f t="shared" si="3"/>
        <v>3.8638768474587839</v>
      </c>
      <c r="K15" s="426">
        <f t="shared" si="4"/>
        <v>8.9786033595586706E-2</v>
      </c>
      <c r="L15" s="426">
        <f t="shared" si="5"/>
        <v>0.38142518277842447</v>
      </c>
      <c r="M15" s="426">
        <f t="shared" si="6"/>
        <v>59.466925000000003</v>
      </c>
      <c r="N15" s="426">
        <f t="shared" si="7"/>
        <v>4.8357242017584454</v>
      </c>
      <c r="O15" s="425">
        <f t="shared" si="9"/>
        <v>68.637737265591241</v>
      </c>
      <c r="P15" s="427">
        <f t="shared" si="8"/>
        <v>2.3668185263996966</v>
      </c>
      <c r="Q15" s="397"/>
      <c r="R15" s="723">
        <v>908628</v>
      </c>
      <c r="S15" s="723">
        <v>950240</v>
      </c>
      <c r="T15" s="724"/>
      <c r="U15" s="724"/>
      <c r="V15" s="724"/>
      <c r="W15" s="724"/>
    </row>
    <row r="16" spans="1:23" x14ac:dyDescent="0.2">
      <c r="A16" s="237">
        <v>9</v>
      </c>
      <c r="B16" s="422" t="s">
        <v>62</v>
      </c>
      <c r="C16" s="423">
        <v>695</v>
      </c>
      <c r="D16" s="424">
        <f t="shared" si="1"/>
        <v>52.1841726619</v>
      </c>
      <c r="E16" s="244">
        <v>36268</v>
      </c>
      <c r="F16" s="244">
        <f>'COMPARATIVOS VARIABLES'!X18</f>
        <v>5160552.5199999996</v>
      </c>
      <c r="G16" s="244">
        <f>'COMPARATIVOS VARIABLES'!O18</f>
        <v>31679107.69758819</v>
      </c>
      <c r="H16" s="244">
        <v>113</v>
      </c>
      <c r="I16" s="425">
        <f t="shared" si="2"/>
        <v>0.76372238644925527</v>
      </c>
      <c r="J16" s="426">
        <f t="shared" si="3"/>
        <v>1.1861282725193705</v>
      </c>
      <c r="K16" s="426">
        <f t="shared" si="4"/>
        <v>0.42988198929481253</v>
      </c>
      <c r="L16" s="426">
        <f t="shared" si="5"/>
        <v>0.90843990852664691</v>
      </c>
      <c r="M16" s="426">
        <f t="shared" si="6"/>
        <v>22.908025000000002</v>
      </c>
      <c r="N16" s="426">
        <f t="shared" si="7"/>
        <v>1.3072651550208236</v>
      </c>
      <c r="O16" s="425">
        <f t="shared" si="9"/>
        <v>26.739740325361655</v>
      </c>
      <c r="P16" s="427">
        <f t="shared" si="8"/>
        <v>0.92206001121936687</v>
      </c>
      <c r="Q16" s="397"/>
      <c r="R16" s="723">
        <v>5768398</v>
      </c>
      <c r="S16" s="723">
        <v>5736486</v>
      </c>
      <c r="T16" s="724"/>
      <c r="U16" s="724"/>
      <c r="V16" s="724"/>
      <c r="W16" s="724"/>
    </row>
    <row r="17" spans="1:23" x14ac:dyDescent="0.2">
      <c r="A17" s="237">
        <v>10</v>
      </c>
      <c r="B17" s="422" t="s">
        <v>64</v>
      </c>
      <c r="C17" s="423">
        <v>3434</v>
      </c>
      <c r="D17" s="424">
        <f t="shared" si="1"/>
        <v>5.9207920791999999</v>
      </c>
      <c r="E17" s="244">
        <v>20332</v>
      </c>
      <c r="F17" s="244">
        <f>'COMPARATIVOS VARIABLES'!X19</f>
        <v>3282129.2100000004</v>
      </c>
      <c r="G17" s="244">
        <f>'COMPARATIVOS VARIABLES'!O19</f>
        <v>88804083.779737741</v>
      </c>
      <c r="H17" s="244">
        <v>333</v>
      </c>
      <c r="I17" s="425">
        <f t="shared" si="2"/>
        <v>0.428146122236855</v>
      </c>
      <c r="J17" s="426">
        <f t="shared" si="3"/>
        <v>5.8606683278151337</v>
      </c>
      <c r="K17" s="426">
        <f t="shared" si="4"/>
        <v>4.8774211554488488E-2</v>
      </c>
      <c r="L17" s="426">
        <f t="shared" si="5"/>
        <v>0.57777091653454127</v>
      </c>
      <c r="M17" s="426">
        <f t="shared" si="6"/>
        <v>64.216650000000001</v>
      </c>
      <c r="N17" s="426">
        <f t="shared" si="7"/>
        <v>3.8523831559463213</v>
      </c>
      <c r="O17" s="425">
        <f t="shared" si="9"/>
        <v>74.556246611850497</v>
      </c>
      <c r="P17" s="427">
        <f t="shared" si="8"/>
        <v>2.5709050555810502</v>
      </c>
      <c r="Q17" s="397"/>
      <c r="R17" s="723">
        <v>4765014</v>
      </c>
      <c r="S17" s="723">
        <v>4934905</v>
      </c>
      <c r="T17" s="724"/>
      <c r="U17" s="724"/>
      <c r="V17" s="724"/>
      <c r="W17" s="724"/>
    </row>
    <row r="18" spans="1:23" x14ac:dyDescent="0.2">
      <c r="A18" s="237">
        <v>11</v>
      </c>
      <c r="B18" s="422" t="s">
        <v>67</v>
      </c>
      <c r="C18" s="423">
        <v>68</v>
      </c>
      <c r="D18" s="424">
        <f t="shared" si="1"/>
        <v>171.7794117647</v>
      </c>
      <c r="E18" s="244">
        <v>11681</v>
      </c>
      <c r="F18" s="244">
        <f>'COMPARATIVOS VARIABLES'!X20</f>
        <v>1443598.9</v>
      </c>
      <c r="G18" s="244">
        <f>'COMPARATIVOS VARIABLES'!O20</f>
        <v>16729456.046484392</v>
      </c>
      <c r="H18" s="244">
        <v>7</v>
      </c>
      <c r="I18" s="425">
        <f t="shared" si="2"/>
        <v>0.24597554858590909</v>
      </c>
      <c r="J18" s="426">
        <f t="shared" si="3"/>
        <v>0.11605283817455711</v>
      </c>
      <c r="K18" s="426">
        <f t="shared" si="4"/>
        <v>1.4150818434497587</v>
      </c>
      <c r="L18" s="426">
        <f t="shared" si="5"/>
        <v>0.25412450461121711</v>
      </c>
      <c r="M18" s="426">
        <f t="shared" si="6"/>
        <v>12.097525000000003</v>
      </c>
      <c r="N18" s="426">
        <f t="shared" si="7"/>
        <v>8.0981027302174921E-2</v>
      </c>
      <c r="O18" s="425">
        <f t="shared" si="9"/>
        <v>13.963765213537711</v>
      </c>
      <c r="P18" s="427">
        <f t="shared" si="8"/>
        <v>0.48150914529440353</v>
      </c>
      <c r="Q18" s="397"/>
      <c r="R18" s="723">
        <v>1723218</v>
      </c>
      <c r="S18" s="723">
        <v>1722357</v>
      </c>
      <c r="T18" s="724"/>
      <c r="U18" s="724"/>
      <c r="V18" s="724"/>
      <c r="W18" s="724"/>
    </row>
    <row r="19" spans="1:23" x14ac:dyDescent="0.2">
      <c r="A19" s="237">
        <v>12</v>
      </c>
      <c r="B19" s="422" t="s">
        <v>70</v>
      </c>
      <c r="C19" s="423">
        <v>922</v>
      </c>
      <c r="D19" s="424">
        <f t="shared" si="1"/>
        <v>49.390455531500002</v>
      </c>
      <c r="E19" s="244">
        <v>45538</v>
      </c>
      <c r="F19" s="244">
        <f>'COMPARATIVOS VARIABLES'!X21</f>
        <v>5533232.9900000002</v>
      </c>
      <c r="G19" s="244">
        <f>'COMPARATIVOS VARIABLES'!O21</f>
        <v>35466131.521328792</v>
      </c>
      <c r="H19" s="244">
        <v>92</v>
      </c>
      <c r="I19" s="425">
        <f t="shared" si="2"/>
        <v>0.95892770580473663</v>
      </c>
      <c r="J19" s="426">
        <f t="shared" si="3"/>
        <v>1.5735399528962009</v>
      </c>
      <c r="K19" s="426">
        <f t="shared" si="4"/>
        <v>0.40686794851803537</v>
      </c>
      <c r="L19" s="426">
        <f t="shared" si="5"/>
        <v>0.97404486279547176</v>
      </c>
      <c r="M19" s="426">
        <f t="shared" si="6"/>
        <v>25.646525000000004</v>
      </c>
      <c r="N19" s="426">
        <f t="shared" si="7"/>
        <v>1.064322073114299</v>
      </c>
      <c r="O19" s="425">
        <f t="shared" si="9"/>
        <v>29.66529983732401</v>
      </c>
      <c r="P19" s="427">
        <f t="shared" si="8"/>
        <v>1.0229413737008273</v>
      </c>
      <c r="Q19" s="397"/>
      <c r="R19" s="723">
        <v>2453020</v>
      </c>
      <c r="S19" s="723">
        <v>2661082</v>
      </c>
      <c r="T19" s="724"/>
      <c r="U19" s="724"/>
      <c r="V19" s="724"/>
      <c r="W19" s="724"/>
    </row>
    <row r="20" spans="1:23" x14ac:dyDescent="0.2">
      <c r="A20" s="237">
        <v>13</v>
      </c>
      <c r="B20" s="422" t="s">
        <v>73</v>
      </c>
      <c r="C20" s="423">
        <v>918</v>
      </c>
      <c r="D20" s="424">
        <f t="shared" si="1"/>
        <v>9.9956427014999996</v>
      </c>
      <c r="E20" s="244">
        <v>9176</v>
      </c>
      <c r="F20" s="244">
        <f>'COMPARATIVOS VARIABLES'!X22</f>
        <v>1014984.8899999999</v>
      </c>
      <c r="G20" s="244">
        <f>'COMPARATIVOS VARIABLES'!O22</f>
        <v>33794641.400549069</v>
      </c>
      <c r="H20" s="244">
        <v>149</v>
      </c>
      <c r="I20" s="425">
        <f t="shared" si="2"/>
        <v>0.19322589109017221</v>
      </c>
      <c r="J20" s="426">
        <f t="shared" si="3"/>
        <v>1.5667133153565209</v>
      </c>
      <c r="K20" s="426">
        <f t="shared" si="4"/>
        <v>8.2341954458889449E-2</v>
      </c>
      <c r="L20" s="426">
        <f t="shared" si="5"/>
        <v>0.17867326745616161</v>
      </c>
      <c r="M20" s="426">
        <f t="shared" si="6"/>
        <v>24.437825</v>
      </c>
      <c r="N20" s="426">
        <f t="shared" si="7"/>
        <v>1.7237390097177234</v>
      </c>
      <c r="O20" s="425">
        <f t="shared" si="9"/>
        <v>27.989292546989294</v>
      </c>
      <c r="P20" s="427">
        <f t="shared" si="8"/>
        <v>0.96514801886169921</v>
      </c>
      <c r="Q20" s="397"/>
      <c r="R20" s="723">
        <v>673964</v>
      </c>
      <c r="S20" s="723">
        <v>776419</v>
      </c>
      <c r="T20" s="724"/>
      <c r="U20" s="724"/>
      <c r="V20" s="724"/>
      <c r="W20" s="724"/>
    </row>
    <row r="21" spans="1:23" x14ac:dyDescent="0.2">
      <c r="A21" s="237">
        <v>14</v>
      </c>
      <c r="B21" s="422" t="s">
        <v>75</v>
      </c>
      <c r="C21" s="423">
        <v>366</v>
      </c>
      <c r="D21" s="424">
        <f t="shared" si="1"/>
        <v>46.508196721300003</v>
      </c>
      <c r="E21" s="244">
        <v>17022</v>
      </c>
      <c r="F21" s="244">
        <f>'COMPARATIVOS VARIABLES'!X23</f>
        <v>2183620.73</v>
      </c>
      <c r="G21" s="244">
        <f>'COMPARATIVOS VARIABLES'!O23</f>
        <v>19876447.260685921</v>
      </c>
      <c r="H21" s="244">
        <v>69</v>
      </c>
      <c r="I21" s="425">
        <f t="shared" si="2"/>
        <v>0.35844497800097119</v>
      </c>
      <c r="J21" s="426">
        <f t="shared" si="3"/>
        <v>0.6246373348807045</v>
      </c>
      <c r="K21" s="426">
        <f t="shared" si="4"/>
        <v>0.38312452042885348</v>
      </c>
      <c r="L21" s="426">
        <f t="shared" si="5"/>
        <v>0.38439454080356694</v>
      </c>
      <c r="M21" s="426">
        <f t="shared" si="6"/>
        <v>14.373200000000001</v>
      </c>
      <c r="N21" s="426">
        <f t="shared" si="7"/>
        <v>0.79824155483572423</v>
      </c>
      <c r="O21" s="425">
        <f t="shared" si="9"/>
        <v>16.56359795094885</v>
      </c>
      <c r="P21" s="427">
        <f t="shared" si="8"/>
        <v>0.57115855003271865</v>
      </c>
      <c r="Q21" s="397"/>
      <c r="R21" s="723">
        <v>3033786</v>
      </c>
      <c r="S21" s="723">
        <v>3349773</v>
      </c>
      <c r="T21" s="724"/>
      <c r="U21" s="724"/>
      <c r="V21" s="724"/>
      <c r="W21" s="724"/>
    </row>
    <row r="22" spans="1:23" x14ac:dyDescent="0.2">
      <c r="A22" s="237">
        <v>15</v>
      </c>
      <c r="B22" s="244" t="s">
        <v>77</v>
      </c>
      <c r="C22" s="423">
        <v>2826</v>
      </c>
      <c r="D22" s="424">
        <f t="shared" si="1"/>
        <v>6.9472753008000003</v>
      </c>
      <c r="E22" s="244">
        <v>19633</v>
      </c>
      <c r="F22" s="244">
        <f>'COMPARATIVOS VARIABLES'!X24</f>
        <v>2411314.9900000002</v>
      </c>
      <c r="G22" s="244">
        <f>'COMPARATIVOS VARIABLES'!O24</f>
        <v>85566237.182947293</v>
      </c>
      <c r="H22" s="244">
        <v>345</v>
      </c>
      <c r="I22" s="425">
        <f t="shared" si="2"/>
        <v>0.41342675673205659</v>
      </c>
      <c r="J22" s="426">
        <f t="shared" si="3"/>
        <v>4.8230194217838003</v>
      </c>
      <c r="K22" s="426">
        <f t="shared" si="4"/>
        <v>5.7230159532012478E-2</v>
      </c>
      <c r="L22" s="426">
        <f t="shared" si="5"/>
        <v>0.42447679012179357</v>
      </c>
      <c r="M22" s="426">
        <f t="shared" si="6"/>
        <v>61.875274999999995</v>
      </c>
      <c r="N22" s="426">
        <f t="shared" si="7"/>
        <v>3.9912077741786209</v>
      </c>
      <c r="O22" s="425">
        <f t="shared" si="9"/>
        <v>71.171209145616217</v>
      </c>
      <c r="P22" s="427">
        <f t="shared" si="8"/>
        <v>2.4541796257109025</v>
      </c>
      <c r="Q22" s="397"/>
      <c r="R22" s="723">
        <v>4149125</v>
      </c>
      <c r="S22" s="723">
        <v>6343970</v>
      </c>
      <c r="T22" s="724"/>
      <c r="U22" s="724"/>
      <c r="V22" s="724"/>
      <c r="W22" s="724"/>
    </row>
    <row r="23" spans="1:23" x14ac:dyDescent="0.2">
      <c r="A23" s="237">
        <v>16</v>
      </c>
      <c r="B23" s="422" t="s">
        <v>79</v>
      </c>
      <c r="C23" s="423">
        <v>394</v>
      </c>
      <c r="D23" s="424">
        <f t="shared" si="1"/>
        <v>53.210659898499998</v>
      </c>
      <c r="E23" s="244">
        <v>20965</v>
      </c>
      <c r="F23" s="244">
        <f>'COMPARATIVOS VARIABLES'!X25</f>
        <v>3375949.5500000003</v>
      </c>
      <c r="G23" s="244">
        <f>'COMPARATIVOS VARIABLES'!O25</f>
        <v>17366930.3233326</v>
      </c>
      <c r="H23" s="244">
        <v>41</v>
      </c>
      <c r="I23" s="425">
        <f t="shared" si="2"/>
        <v>0.44147567640643642</v>
      </c>
      <c r="J23" s="426">
        <f t="shared" si="3"/>
        <v>0.67242379765846327</v>
      </c>
      <c r="K23" s="426">
        <f t="shared" si="4"/>
        <v>0.43833797034704286</v>
      </c>
      <c r="L23" s="426">
        <f t="shared" si="5"/>
        <v>0.59428661727728638</v>
      </c>
      <c r="M23" s="426">
        <f t="shared" si="6"/>
        <v>12.5585</v>
      </c>
      <c r="N23" s="426">
        <f t="shared" si="7"/>
        <v>0.47431744562702455</v>
      </c>
      <c r="O23" s="425">
        <f t="shared" si="9"/>
        <v>14.737865830909817</v>
      </c>
      <c r="P23" s="427">
        <f t="shared" si="8"/>
        <v>0.50820227003137264</v>
      </c>
      <c r="Q23" s="397"/>
      <c r="R23" s="723">
        <v>3983623</v>
      </c>
      <c r="S23" s="723">
        <v>4661832</v>
      </c>
      <c r="T23" s="724"/>
      <c r="U23" s="724"/>
      <c r="V23" s="724"/>
      <c r="W23" s="724"/>
    </row>
    <row r="24" spans="1:23" x14ac:dyDescent="0.2">
      <c r="A24" s="237">
        <v>17</v>
      </c>
      <c r="B24" s="422" t="s">
        <v>81</v>
      </c>
      <c r="C24" s="423">
        <v>379</v>
      </c>
      <c r="D24" s="424">
        <f t="shared" si="1"/>
        <v>92.532981530300006</v>
      </c>
      <c r="E24" s="244">
        <v>35070</v>
      </c>
      <c r="F24" s="244">
        <f>'COMPARATIVOS VARIABLES'!X26</f>
        <v>5686781.7000000002</v>
      </c>
      <c r="G24" s="244">
        <f>'COMPARATIVOS VARIABLES'!O26</f>
        <v>22247191.935591783</v>
      </c>
      <c r="H24" s="244">
        <v>78</v>
      </c>
      <c r="I24" s="425">
        <f t="shared" si="2"/>
        <v>0.73849520494031606</v>
      </c>
      <c r="J24" s="426">
        <f t="shared" si="3"/>
        <v>0.64682390688466385</v>
      </c>
      <c r="K24" s="426">
        <f t="shared" si="4"/>
        <v>0.76226679750866067</v>
      </c>
      <c r="L24" s="426">
        <f t="shared" si="5"/>
        <v>1.001074870827787</v>
      </c>
      <c r="M24" s="426">
        <f t="shared" si="6"/>
        <v>16.087550000000004</v>
      </c>
      <c r="N24" s="426">
        <f t="shared" si="7"/>
        <v>0.90236001850994907</v>
      </c>
      <c r="O24" s="425">
        <f t="shared" si="9"/>
        <v>19.400075593731064</v>
      </c>
      <c r="P24" s="427">
        <f t="shared" si="8"/>
        <v>0.66896812392176042</v>
      </c>
      <c r="Q24" s="397"/>
      <c r="R24" s="723">
        <v>3769325</v>
      </c>
      <c r="S24" s="723">
        <v>4371565</v>
      </c>
      <c r="T24" s="724"/>
      <c r="U24" s="724"/>
      <c r="V24" s="724"/>
      <c r="W24" s="724"/>
    </row>
    <row r="25" spans="1:23" x14ac:dyDescent="0.2">
      <c r="A25" s="237">
        <v>18</v>
      </c>
      <c r="B25" s="422" t="s">
        <v>82</v>
      </c>
      <c r="C25" s="423">
        <v>173</v>
      </c>
      <c r="D25" s="424">
        <f t="shared" si="1"/>
        <v>54.8208092486</v>
      </c>
      <c r="E25" s="244">
        <v>9484</v>
      </c>
      <c r="F25" s="244">
        <f>'COMPARATIVOS VARIABLES'!X27</f>
        <v>1180906.3500000001</v>
      </c>
      <c r="G25" s="244">
        <f>'COMPARATIVOS VARIABLES'!O27</f>
        <v>9695389.4570916016</v>
      </c>
      <c r="H25" s="244">
        <v>14</v>
      </c>
      <c r="I25" s="425">
        <f t="shared" si="2"/>
        <v>0.19971167732118497</v>
      </c>
      <c r="J25" s="426">
        <f t="shared" si="3"/>
        <v>0.29525207359115263</v>
      </c>
      <c r="K25" s="426">
        <f t="shared" si="4"/>
        <v>0.45160203434145202</v>
      </c>
      <c r="L25" s="426">
        <f t="shared" si="5"/>
        <v>0.20788131743934596</v>
      </c>
      <c r="M25" s="426">
        <f t="shared" si="6"/>
        <v>7.011000000000001</v>
      </c>
      <c r="N25" s="426">
        <f t="shared" si="7"/>
        <v>0.16196205460434984</v>
      </c>
      <c r="O25" s="425">
        <f t="shared" si="9"/>
        <v>8.1276974799763018</v>
      </c>
      <c r="P25" s="427">
        <f t="shared" si="8"/>
        <v>0.28026543034401025</v>
      </c>
      <c r="Q25" s="397"/>
      <c r="R25" s="723">
        <v>1325855</v>
      </c>
      <c r="S25" s="723">
        <v>1552385</v>
      </c>
      <c r="T25" s="724"/>
      <c r="U25" s="724"/>
      <c r="V25" s="724"/>
      <c r="W25" s="724"/>
    </row>
    <row r="26" spans="1:23" x14ac:dyDescent="0.2">
      <c r="A26" s="237">
        <v>19</v>
      </c>
      <c r="B26" s="422" t="s">
        <v>86</v>
      </c>
      <c r="C26" s="423">
        <v>505</v>
      </c>
      <c r="D26" s="424">
        <f t="shared" si="1"/>
        <v>39.996039604000003</v>
      </c>
      <c r="E26" s="244">
        <v>20198</v>
      </c>
      <c r="F26" s="244">
        <f>'COMPARATIVOS VARIABLES'!X28</f>
        <v>2776413.8499999996</v>
      </c>
      <c r="G26" s="244">
        <f>'COMPARATIVOS VARIABLES'!O28</f>
        <v>21586761.808652613</v>
      </c>
      <c r="H26" s="244">
        <v>72</v>
      </c>
      <c r="I26" s="425">
        <f t="shared" si="2"/>
        <v>0.42532438407141443</v>
      </c>
      <c r="J26" s="426">
        <f t="shared" si="3"/>
        <v>0.8618629893845785</v>
      </c>
      <c r="K26" s="426">
        <f t="shared" si="4"/>
        <v>0.32947877089627153</v>
      </c>
      <c r="L26" s="426">
        <f t="shared" si="5"/>
        <v>0.4887471126688806</v>
      </c>
      <c r="M26" s="426">
        <f t="shared" si="6"/>
        <v>15.609975</v>
      </c>
      <c r="N26" s="426">
        <f t="shared" si="7"/>
        <v>0.83294770939379914</v>
      </c>
      <c r="O26" s="425">
        <f t="shared" si="9"/>
        <v>18.12301158234353</v>
      </c>
      <c r="P26" s="427">
        <f t="shared" si="8"/>
        <v>0.62493143387391448</v>
      </c>
      <c r="Q26" s="397"/>
      <c r="R26" s="723">
        <v>7698323</v>
      </c>
      <c r="S26" s="723">
        <v>8606890</v>
      </c>
      <c r="T26" s="724"/>
      <c r="U26" s="724"/>
      <c r="V26" s="724"/>
      <c r="W26" s="724"/>
    </row>
    <row r="27" spans="1:23" x14ac:dyDescent="0.2">
      <c r="A27" s="237">
        <v>20</v>
      </c>
      <c r="B27" s="422" t="s">
        <v>87</v>
      </c>
      <c r="C27" s="423">
        <v>254</v>
      </c>
      <c r="D27" s="424">
        <f t="shared" si="1"/>
        <v>117.75590551179999</v>
      </c>
      <c r="E27" s="244">
        <v>29910</v>
      </c>
      <c r="F27" s="244">
        <f>'COMPARATIVOS VARIABLES'!X29</f>
        <v>2649059.77</v>
      </c>
      <c r="G27" s="244">
        <f>'COMPARATIVOS VARIABLES'!O29</f>
        <v>18454221.716948099</v>
      </c>
      <c r="H27" s="244">
        <v>20</v>
      </c>
      <c r="I27" s="425">
        <f t="shared" si="2"/>
        <v>0.62983722782334906</v>
      </c>
      <c r="J27" s="426">
        <f t="shared" si="3"/>
        <v>0.43349148376966923</v>
      </c>
      <c r="K27" s="426">
        <f t="shared" si="4"/>
        <v>0.97004781968275566</v>
      </c>
      <c r="L27" s="426">
        <f t="shared" si="5"/>
        <v>0.46632828671229581</v>
      </c>
      <c r="M27" s="426">
        <f t="shared" si="6"/>
        <v>13.344749999999999</v>
      </c>
      <c r="N27" s="426">
        <f t="shared" si="7"/>
        <v>0.23137436372049977</v>
      </c>
      <c r="O27" s="425">
        <f t="shared" si="9"/>
        <v>15.445991953885219</v>
      </c>
      <c r="P27" s="427">
        <f t="shared" si="8"/>
        <v>0.53262041220293821</v>
      </c>
      <c r="Q27" s="397"/>
      <c r="R27" s="723">
        <v>5726958</v>
      </c>
      <c r="S27" s="723">
        <v>7136100</v>
      </c>
      <c r="T27" s="724"/>
      <c r="U27" s="724"/>
      <c r="V27" s="724"/>
      <c r="W27" s="724"/>
    </row>
    <row r="28" spans="1:23" x14ac:dyDescent="0.2">
      <c r="A28" s="237">
        <v>21</v>
      </c>
      <c r="B28" s="422" t="s">
        <v>88</v>
      </c>
      <c r="C28" s="423">
        <v>234</v>
      </c>
      <c r="D28" s="424">
        <f t="shared" si="1"/>
        <v>57.858974359000001</v>
      </c>
      <c r="E28" s="244">
        <v>13539</v>
      </c>
      <c r="F28" s="244">
        <f>'COMPARATIVOS VARIABLES'!X30</f>
        <v>1541779.7000000002</v>
      </c>
      <c r="G28" s="244">
        <f>'COMPARATIVOS VARIABLES'!O30</f>
        <v>10113503.991730262</v>
      </c>
      <c r="H28" s="244">
        <v>9</v>
      </c>
      <c r="I28" s="425">
        <f t="shared" si="2"/>
        <v>0.28510084344701853</v>
      </c>
      <c r="J28" s="426">
        <f t="shared" si="3"/>
        <v>0.39935829607127005</v>
      </c>
      <c r="K28" s="426">
        <f t="shared" si="4"/>
        <v>0.47662978499540465</v>
      </c>
      <c r="L28" s="426">
        <f t="shared" si="5"/>
        <v>0.27140780065857006</v>
      </c>
      <c r="M28" s="426">
        <f t="shared" si="6"/>
        <v>7.3133500000000007</v>
      </c>
      <c r="N28" s="426">
        <f t="shared" si="7"/>
        <v>0.10411846367422489</v>
      </c>
      <c r="O28" s="425">
        <f t="shared" si="9"/>
        <v>8.5648643453994691</v>
      </c>
      <c r="P28" s="427">
        <f t="shared" si="8"/>
        <v>0.29534014984136081</v>
      </c>
      <c r="Q28" s="397"/>
      <c r="R28" s="723">
        <v>799733</v>
      </c>
      <c r="S28" s="723">
        <v>908474</v>
      </c>
      <c r="T28" s="724">
        <f>S28/R28</f>
        <v>1.13597163053169</v>
      </c>
      <c r="U28" s="724">
        <f>MIN(T28,2)</f>
        <v>1.13597163053169</v>
      </c>
      <c r="V28" s="725">
        <f>U28*E28</f>
        <v>15379.919905768551</v>
      </c>
      <c r="W28" s="724">
        <f>V28/$V$121</f>
        <v>0.19076778160159105</v>
      </c>
    </row>
    <row r="29" spans="1:23" x14ac:dyDescent="0.2">
      <c r="A29" s="237">
        <v>22</v>
      </c>
      <c r="B29" s="422" t="s">
        <v>91</v>
      </c>
      <c r="C29" s="423">
        <v>323</v>
      </c>
      <c r="D29" s="424">
        <f t="shared" si="1"/>
        <v>77.826625387000007</v>
      </c>
      <c r="E29" s="244">
        <v>25138</v>
      </c>
      <c r="F29" s="244">
        <f>'COMPARATIVOS VARIABLES'!X31</f>
        <v>2412635.39</v>
      </c>
      <c r="G29" s="244">
        <f>'COMPARATIVOS VARIABLES'!O31</f>
        <v>20156826.694778819</v>
      </c>
      <c r="H29" s="244">
        <v>77</v>
      </c>
      <c r="I29" s="425">
        <f t="shared" si="2"/>
        <v>0.52934965673765799</v>
      </c>
      <c r="J29" s="426">
        <f t="shared" si="3"/>
        <v>0.55125098132914629</v>
      </c>
      <c r="K29" s="426">
        <f t="shared" si="4"/>
        <v>0.64111899901581382</v>
      </c>
      <c r="L29" s="426">
        <f t="shared" si="5"/>
        <v>0.42470922725920662</v>
      </c>
      <c r="M29" s="426">
        <f t="shared" si="6"/>
        <v>14.575949999999999</v>
      </c>
      <c r="N29" s="426">
        <f t="shared" si="7"/>
        <v>0.89079130032392417</v>
      </c>
      <c r="O29" s="425">
        <f t="shared" si="9"/>
        <v>17.083820507928092</v>
      </c>
      <c r="P29" s="427">
        <f t="shared" si="8"/>
        <v>0.58909725889407172</v>
      </c>
      <c r="Q29" s="397"/>
      <c r="R29" s="723">
        <v>5840098</v>
      </c>
      <c r="S29" s="723">
        <v>7720179</v>
      </c>
      <c r="T29" s="724"/>
      <c r="U29" s="724"/>
      <c r="V29" s="724"/>
      <c r="W29" s="724"/>
    </row>
    <row r="30" spans="1:23" x14ac:dyDescent="0.2">
      <c r="A30" s="237">
        <v>23</v>
      </c>
      <c r="B30" s="422" t="s">
        <v>60</v>
      </c>
      <c r="C30" s="423">
        <v>152</v>
      </c>
      <c r="D30" s="424">
        <f t="shared" si="1"/>
        <v>68.532894736800003</v>
      </c>
      <c r="E30" s="244">
        <v>10417</v>
      </c>
      <c r="F30" s="244">
        <f>'COMPARATIVOS VARIABLES'!X32</f>
        <v>1984209.9100000001</v>
      </c>
      <c r="G30" s="244">
        <f>'COMPARATIVOS VARIABLES'!O32</f>
        <v>11546550.591309149</v>
      </c>
      <c r="H30" s="244">
        <v>8</v>
      </c>
      <c r="I30" s="425">
        <f t="shared" si="2"/>
        <v>0.21935855574175284</v>
      </c>
      <c r="J30" s="426">
        <f t="shared" si="3"/>
        <v>0.25941222650783352</v>
      </c>
      <c r="K30" s="426">
        <f t="shared" si="4"/>
        <v>0.56455924505050703</v>
      </c>
      <c r="L30" s="426">
        <f t="shared" si="5"/>
        <v>0.34929117805743537</v>
      </c>
      <c r="M30" s="426">
        <f t="shared" si="6"/>
        <v>8.3496249999999996</v>
      </c>
      <c r="N30" s="426">
        <f t="shared" si="7"/>
        <v>9.2549745488199914E-2</v>
      </c>
      <c r="O30" s="425">
        <f t="shared" si="9"/>
        <v>9.6154373951039744</v>
      </c>
      <c r="P30" s="427">
        <f t="shared" si="8"/>
        <v>0.33156680672772304</v>
      </c>
      <c r="Q30" s="397"/>
      <c r="R30" s="723">
        <v>2800057</v>
      </c>
      <c r="S30" s="723">
        <v>2826225</v>
      </c>
      <c r="T30" s="724"/>
      <c r="U30" s="724"/>
      <c r="V30" s="724"/>
      <c r="W30" s="724"/>
    </row>
    <row r="31" spans="1:23" x14ac:dyDescent="0.2">
      <c r="A31" s="237">
        <v>24</v>
      </c>
      <c r="B31" s="422" t="s">
        <v>95</v>
      </c>
      <c r="C31" s="423">
        <v>222</v>
      </c>
      <c r="D31" s="424">
        <f t="shared" si="1"/>
        <v>92.729729729699997</v>
      </c>
      <c r="E31" s="244">
        <v>20586</v>
      </c>
      <c r="F31" s="244">
        <f>'COMPARATIVOS VARIABLES'!X33</f>
        <v>2378709.92</v>
      </c>
      <c r="G31" s="244">
        <f>'COMPARATIVOS VARIABLES'!O33</f>
        <v>12884109.151804861</v>
      </c>
      <c r="H31" s="244">
        <v>8</v>
      </c>
      <c r="I31" s="425">
        <f t="shared" si="2"/>
        <v>0.43349479010269021</v>
      </c>
      <c r="J31" s="426">
        <f t="shared" si="3"/>
        <v>0.37887838345223057</v>
      </c>
      <c r="K31" s="426">
        <f t="shared" si="4"/>
        <v>0.76388756685373049</v>
      </c>
      <c r="L31" s="426">
        <f t="shared" si="5"/>
        <v>0.41873714369953313</v>
      </c>
      <c r="M31" s="426">
        <f t="shared" si="6"/>
        <v>9.3168500000000005</v>
      </c>
      <c r="N31" s="426">
        <f t="shared" si="7"/>
        <v>9.2549745488199914E-2</v>
      </c>
      <c r="O31" s="425">
        <f t="shared" si="9"/>
        <v>10.970902839493693</v>
      </c>
      <c r="P31" s="427">
        <f t="shared" si="8"/>
        <v>0.37830699446529953</v>
      </c>
      <c r="Q31" s="397"/>
      <c r="R31" s="723">
        <v>1657875</v>
      </c>
      <c r="S31" s="723">
        <v>2125634</v>
      </c>
      <c r="T31" s="724"/>
      <c r="U31" s="724"/>
      <c r="V31" s="724"/>
      <c r="W31" s="724"/>
    </row>
    <row r="32" spans="1:23" x14ac:dyDescent="0.2">
      <c r="A32" s="237">
        <v>25</v>
      </c>
      <c r="B32" s="422" t="s">
        <v>97</v>
      </c>
      <c r="C32" s="423">
        <v>305</v>
      </c>
      <c r="D32" s="424">
        <f t="shared" si="1"/>
        <v>132.98360655740001</v>
      </c>
      <c r="E32" s="244">
        <v>40560</v>
      </c>
      <c r="F32" s="244">
        <f>'COMPARATIVOS VARIABLES'!X34</f>
        <v>4093200.52</v>
      </c>
      <c r="G32" s="244">
        <f>'COMPARATIVOS VARIABLES'!O34</f>
        <v>19603258.81577814</v>
      </c>
      <c r="H32" s="244">
        <v>19</v>
      </c>
      <c r="I32" s="425">
        <f t="shared" si="2"/>
        <v>0.8541022387333681</v>
      </c>
      <c r="J32" s="426">
        <f t="shared" si="3"/>
        <v>0.52053111240058703</v>
      </c>
      <c r="K32" s="426">
        <f t="shared" si="4"/>
        <v>1.0954903453366804</v>
      </c>
      <c r="L32" s="426">
        <f t="shared" si="5"/>
        <v>0.72054817610305499</v>
      </c>
      <c r="M32" s="426">
        <f t="shared" si="6"/>
        <v>14.175650000000001</v>
      </c>
      <c r="N32" s="426">
        <f t="shared" si="7"/>
        <v>0.21980564553447479</v>
      </c>
      <c r="O32" s="425">
        <f t="shared" si="9"/>
        <v>16.732025279374799</v>
      </c>
      <c r="P32" s="427">
        <f t="shared" si="8"/>
        <v>0.57696638894395824</v>
      </c>
      <c r="Q32" s="397"/>
      <c r="R32" s="723">
        <v>1296569</v>
      </c>
      <c r="S32" s="723">
        <v>2534381.71</v>
      </c>
      <c r="T32" s="724"/>
      <c r="U32" s="724"/>
      <c r="V32" s="724"/>
      <c r="W32" s="724"/>
    </row>
    <row r="33" spans="1:23" x14ac:dyDescent="0.2">
      <c r="A33" s="237">
        <v>26</v>
      </c>
      <c r="B33" s="422" t="s">
        <v>90</v>
      </c>
      <c r="C33" s="423">
        <v>1022</v>
      </c>
      <c r="D33" s="424">
        <f t="shared" si="1"/>
        <v>4.6702544031000004</v>
      </c>
      <c r="E33" s="244">
        <v>4773</v>
      </c>
      <c r="F33" s="244">
        <f>'COMPARATIVOS VARIABLES'!X35</f>
        <v>792203.63000000012</v>
      </c>
      <c r="G33" s="244">
        <f>'COMPARATIVOS VARIABLES'!O35</f>
        <v>33061506.224300731</v>
      </c>
      <c r="H33" s="244">
        <v>144</v>
      </c>
      <c r="I33" s="425">
        <f t="shared" si="2"/>
        <v>0.10050862883319442</v>
      </c>
      <c r="J33" s="426">
        <f t="shared" si="3"/>
        <v>1.7442058913881966</v>
      </c>
      <c r="K33" s="426">
        <f t="shared" si="4"/>
        <v>3.8472551176101898E-2</v>
      </c>
      <c r="L33" s="426">
        <f t="shared" si="5"/>
        <v>0.13945588004047246</v>
      </c>
      <c r="M33" s="426">
        <f t="shared" si="6"/>
        <v>23.907675000000001</v>
      </c>
      <c r="N33" s="426">
        <f t="shared" si="7"/>
        <v>1.6658954187875983</v>
      </c>
      <c r="O33" s="425">
        <f t="shared" si="9"/>
        <v>27.49570474139237</v>
      </c>
      <c r="P33" s="427">
        <f t="shared" si="8"/>
        <v>0.94812774970318459</v>
      </c>
      <c r="Q33" s="397"/>
      <c r="R33" s="723">
        <v>700106</v>
      </c>
      <c r="S33" s="723">
        <v>666749</v>
      </c>
      <c r="T33" s="724"/>
      <c r="U33" s="724"/>
      <c r="V33" s="724"/>
      <c r="W33" s="724"/>
    </row>
    <row r="34" spans="1:23" x14ac:dyDescent="0.2">
      <c r="A34" s="237">
        <v>27</v>
      </c>
      <c r="B34" s="422" t="s">
        <v>71</v>
      </c>
      <c r="C34" s="423">
        <v>192</v>
      </c>
      <c r="D34" s="424">
        <f t="shared" si="1"/>
        <v>25.75</v>
      </c>
      <c r="E34" s="244">
        <v>4944</v>
      </c>
      <c r="F34" s="244">
        <f>'COMPARATIVOS VARIABLES'!X36</f>
        <v>1092929.0100000002</v>
      </c>
      <c r="G34" s="244">
        <f>'COMPARATIVOS VARIABLES'!O36</f>
        <v>8127442.666164929</v>
      </c>
      <c r="H34" s="244">
        <v>21</v>
      </c>
      <c r="I34" s="425">
        <f t="shared" si="2"/>
        <v>0.10410950365625671</v>
      </c>
      <c r="J34" s="426">
        <f t="shared" si="3"/>
        <v>0.32767860190463183</v>
      </c>
      <c r="K34" s="426">
        <f t="shared" si="4"/>
        <v>0.21212296103763484</v>
      </c>
      <c r="L34" s="426">
        <f t="shared" si="5"/>
        <v>0.19239419151779491</v>
      </c>
      <c r="M34" s="426">
        <f t="shared" si="6"/>
        <v>5.8771749999999994</v>
      </c>
      <c r="N34" s="426">
        <f t="shared" si="7"/>
        <v>0.24294308190652478</v>
      </c>
      <c r="O34" s="425">
        <f t="shared" si="9"/>
        <v>6.8523138363665854</v>
      </c>
      <c r="P34" s="427">
        <f t="shared" si="8"/>
        <v>0.23628668401264072</v>
      </c>
      <c r="Q34" s="397"/>
      <c r="R34" s="723">
        <v>1336279</v>
      </c>
      <c r="S34" s="723">
        <v>1434285.51</v>
      </c>
      <c r="T34" s="724"/>
      <c r="U34" s="724"/>
      <c r="V34" s="724"/>
      <c r="W34" s="724"/>
    </row>
    <row r="35" spans="1:23" x14ac:dyDescent="0.2">
      <c r="A35" s="237">
        <v>28</v>
      </c>
      <c r="B35" s="422" t="s">
        <v>72</v>
      </c>
      <c r="C35" s="423">
        <v>229</v>
      </c>
      <c r="D35" s="424">
        <f t="shared" si="1"/>
        <v>22.8515283843</v>
      </c>
      <c r="E35" s="244">
        <v>5233</v>
      </c>
      <c r="F35" s="244">
        <f>'COMPARATIVOS VARIABLES'!X37</f>
        <v>1586739.4399999995</v>
      </c>
      <c r="G35" s="244">
        <f>'COMPARATIVOS VARIABLES'!O37</f>
        <v>8848615.9084803294</v>
      </c>
      <c r="H35" s="244">
        <v>20</v>
      </c>
      <c r="I35" s="425">
        <f t="shared" si="2"/>
        <v>0.11019519268470698</v>
      </c>
      <c r="J35" s="426">
        <f t="shared" si="3"/>
        <v>0.39082499914667029</v>
      </c>
      <c r="K35" s="426">
        <f t="shared" si="4"/>
        <v>0.18824597534420487</v>
      </c>
      <c r="L35" s="426">
        <f t="shared" si="5"/>
        <v>0.27932230631173244</v>
      </c>
      <c r="M35" s="426">
        <f t="shared" si="6"/>
        <v>6.3986749999999999</v>
      </c>
      <c r="N35" s="426">
        <f t="shared" si="7"/>
        <v>0.23137436372049977</v>
      </c>
      <c r="O35" s="425">
        <f t="shared" si="9"/>
        <v>7.4884426445231069</v>
      </c>
      <c r="P35" s="427">
        <f t="shared" si="8"/>
        <v>0.25822216015596905</v>
      </c>
      <c r="Q35" s="397"/>
      <c r="R35" s="723">
        <v>2221956</v>
      </c>
      <c r="S35" s="723">
        <v>2355827</v>
      </c>
      <c r="T35" s="724"/>
      <c r="U35" s="724"/>
      <c r="V35" s="724"/>
      <c r="W35" s="724"/>
    </row>
    <row r="36" spans="1:23" x14ac:dyDescent="0.2">
      <c r="A36" s="237">
        <v>29</v>
      </c>
      <c r="B36" s="422" t="s">
        <v>61</v>
      </c>
      <c r="C36" s="423">
        <v>1109</v>
      </c>
      <c r="D36" s="424">
        <f t="shared" si="1"/>
        <v>11.128944995499999</v>
      </c>
      <c r="E36" s="244">
        <v>12342</v>
      </c>
      <c r="F36" s="244">
        <f>'COMPARATIVOS VARIABLES'!X38</f>
        <v>1411885.4200000002</v>
      </c>
      <c r="G36" s="244">
        <f>'COMPARATIVOS VARIABLES'!O38</f>
        <v>27988609.074832473</v>
      </c>
      <c r="H36" s="244">
        <v>75</v>
      </c>
      <c r="I36" s="425">
        <f t="shared" si="2"/>
        <v>0.25989471968558259</v>
      </c>
      <c r="J36" s="426">
        <f t="shared" si="3"/>
        <v>1.892685257876233</v>
      </c>
      <c r="K36" s="426">
        <f t="shared" si="4"/>
        <v>9.167785497749234E-2</v>
      </c>
      <c r="L36" s="426">
        <f t="shared" si="5"/>
        <v>0.24854180958803743</v>
      </c>
      <c r="M36" s="426">
        <f t="shared" si="6"/>
        <v>20.239325000000001</v>
      </c>
      <c r="N36" s="426">
        <f t="shared" si="7"/>
        <v>0.86765386395187416</v>
      </c>
      <c r="O36" s="425">
        <f t="shared" si="9"/>
        <v>23.339883786393635</v>
      </c>
      <c r="P36" s="427">
        <f t="shared" si="8"/>
        <v>0.80482357884115929</v>
      </c>
      <c r="Q36" s="397"/>
      <c r="R36" s="723">
        <v>6062</v>
      </c>
      <c r="S36" s="723">
        <v>3189</v>
      </c>
      <c r="T36" s="724">
        <f>S36/R36</f>
        <v>0.52606400527878583</v>
      </c>
      <c r="U36" s="724">
        <f>MIN(T36,2)</f>
        <v>0.52606400527878583</v>
      </c>
      <c r="V36" s="725">
        <f>U36*E36</f>
        <v>6492.6819531507745</v>
      </c>
      <c r="W36" s="724">
        <f>V36/$V$121</f>
        <v>8.0533223868265946E-2</v>
      </c>
    </row>
    <row r="37" spans="1:23" x14ac:dyDescent="0.2">
      <c r="A37" s="237">
        <v>30</v>
      </c>
      <c r="B37" s="422" t="s">
        <v>104</v>
      </c>
      <c r="C37" s="423">
        <v>304</v>
      </c>
      <c r="D37" s="424">
        <f t="shared" si="1"/>
        <v>38.980263157899998</v>
      </c>
      <c r="E37" s="244">
        <v>11850</v>
      </c>
      <c r="F37" s="244">
        <f>'COMPARATIVOS VARIABLES'!X39</f>
        <v>2973969.68</v>
      </c>
      <c r="G37" s="244">
        <f>'COMPARATIVOS VARIABLES'!O39</f>
        <v>12699840.053936159</v>
      </c>
      <c r="H37" s="244">
        <v>20</v>
      </c>
      <c r="I37" s="425">
        <f t="shared" si="2"/>
        <v>0.24953430791396478</v>
      </c>
      <c r="J37" s="426">
        <f t="shared" si="3"/>
        <v>0.51882445301566704</v>
      </c>
      <c r="K37" s="426">
        <f t="shared" si="4"/>
        <v>0.32111102303223199</v>
      </c>
      <c r="L37" s="426">
        <f t="shared" si="5"/>
        <v>0.52352393151503507</v>
      </c>
      <c r="M37" s="426">
        <f t="shared" si="6"/>
        <v>9.1835999999999984</v>
      </c>
      <c r="N37" s="426">
        <f t="shared" si="7"/>
        <v>0.23137436372049977</v>
      </c>
      <c r="O37" s="425">
        <f t="shared" si="9"/>
        <v>10.778433771283431</v>
      </c>
      <c r="P37" s="427">
        <f t="shared" si="8"/>
        <v>0.37167013004425603</v>
      </c>
      <c r="Q37" s="397"/>
      <c r="R37" s="723">
        <v>3356915</v>
      </c>
      <c r="S37" s="723">
        <v>4806287</v>
      </c>
      <c r="T37" s="724"/>
      <c r="U37" s="724"/>
      <c r="V37" s="724"/>
      <c r="W37" s="724"/>
    </row>
    <row r="38" spans="1:23" x14ac:dyDescent="0.2">
      <c r="A38" s="237">
        <v>31</v>
      </c>
      <c r="B38" s="422" t="s">
        <v>48</v>
      </c>
      <c r="C38" s="423">
        <v>424</v>
      </c>
      <c r="D38" s="424">
        <f t="shared" si="1"/>
        <v>38</v>
      </c>
      <c r="E38" s="244">
        <v>16112</v>
      </c>
      <c r="F38" s="244">
        <f>'COMPARATIVOS VARIABLES'!X40</f>
        <v>2456255.17</v>
      </c>
      <c r="G38" s="244">
        <f>'COMPARATIVOS VARIABLES'!O40</f>
        <v>19011523.378794901</v>
      </c>
      <c r="H38" s="244">
        <v>78</v>
      </c>
      <c r="I38" s="425">
        <f t="shared" si="2"/>
        <v>0.33928242777297896</v>
      </c>
      <c r="J38" s="426">
        <f t="shared" si="3"/>
        <v>0.72362357920606202</v>
      </c>
      <c r="K38" s="426">
        <f t="shared" si="4"/>
        <v>0.31303582599728635</v>
      </c>
      <c r="L38" s="426">
        <f t="shared" si="5"/>
        <v>0.43238785252260231</v>
      </c>
      <c r="M38" s="426">
        <f t="shared" si="6"/>
        <v>13.74775</v>
      </c>
      <c r="N38" s="426">
        <f t="shared" si="7"/>
        <v>0.90236001850994907</v>
      </c>
      <c r="O38" s="425">
        <f t="shared" si="9"/>
        <v>16.119157276235899</v>
      </c>
      <c r="P38" s="427">
        <f t="shared" si="8"/>
        <v>0.55583300952537551</v>
      </c>
      <c r="Q38" s="397"/>
      <c r="R38" s="723">
        <v>2264566</v>
      </c>
      <c r="S38" s="723">
        <v>2415674</v>
      </c>
      <c r="T38" s="724"/>
      <c r="U38" s="724"/>
      <c r="V38" s="724"/>
      <c r="W38" s="724"/>
    </row>
    <row r="39" spans="1:23" x14ac:dyDescent="0.2">
      <c r="A39" s="237">
        <v>32</v>
      </c>
      <c r="B39" s="422" t="s">
        <v>83</v>
      </c>
      <c r="C39" s="423">
        <v>244</v>
      </c>
      <c r="D39" s="424">
        <f t="shared" si="1"/>
        <v>64.405737704900005</v>
      </c>
      <c r="E39" s="244">
        <v>15715</v>
      </c>
      <c r="F39" s="244">
        <f>'COMPARATIVOS VARIABLES'!X41</f>
        <v>1979522.7100000002</v>
      </c>
      <c r="G39" s="244">
        <f>'COMPARATIVOS VARIABLES'!O41</f>
        <v>12023161.057203691</v>
      </c>
      <c r="H39" s="244">
        <v>21</v>
      </c>
      <c r="I39" s="425">
        <f t="shared" si="2"/>
        <v>0.33092250201417356</v>
      </c>
      <c r="J39" s="426">
        <f t="shared" si="3"/>
        <v>0.41642488992046961</v>
      </c>
      <c r="K39" s="426">
        <f t="shared" si="4"/>
        <v>0.53056061319520909</v>
      </c>
      <c r="L39" s="426">
        <f t="shared" si="5"/>
        <v>0.34846606494740617</v>
      </c>
      <c r="M39" s="426">
        <f t="shared" si="6"/>
        <v>8.6942750000000011</v>
      </c>
      <c r="N39" s="426">
        <f t="shared" si="7"/>
        <v>0.24294308190652478</v>
      </c>
      <c r="O39" s="425">
        <f t="shared" si="9"/>
        <v>10.23266964996961</v>
      </c>
      <c r="P39" s="427">
        <f t="shared" si="8"/>
        <v>0.35285067758515876</v>
      </c>
      <c r="Q39" s="397"/>
      <c r="R39" s="723">
        <v>2090331</v>
      </c>
      <c r="S39" s="723">
        <v>2242283</v>
      </c>
      <c r="T39" s="724"/>
      <c r="U39" s="724"/>
      <c r="V39" s="724"/>
      <c r="W39" s="724"/>
    </row>
    <row r="40" spans="1:23" x14ac:dyDescent="0.2">
      <c r="A40" s="237">
        <v>33</v>
      </c>
      <c r="B40" s="422" t="s">
        <v>108</v>
      </c>
      <c r="C40" s="423">
        <v>367</v>
      </c>
      <c r="D40" s="424">
        <f t="shared" ref="D40:D71" si="10">ROUND(E40/C40,10)</f>
        <v>58.490463215299997</v>
      </c>
      <c r="E40" s="244">
        <v>21466</v>
      </c>
      <c r="F40" s="244">
        <f>'COMPARATIVOS VARIABLES'!X42</f>
        <v>2642442.3499999996</v>
      </c>
      <c r="G40" s="244">
        <f>'COMPARATIVOS VARIABLES'!O42</f>
        <v>17098374.534919079</v>
      </c>
      <c r="H40" s="244">
        <v>38</v>
      </c>
      <c r="I40" s="425">
        <f t="shared" ref="I40:I71" si="11">E40/$E$7%</f>
        <v>0.45202560790558383</v>
      </c>
      <c r="J40" s="426">
        <f t="shared" ref="J40:J71" si="12">C40/$C$7%</f>
        <v>0.62634399426562437</v>
      </c>
      <c r="K40" s="426">
        <f t="shared" ref="K40:K71" si="13">D40/$D$7%</f>
        <v>0.48183185435698234</v>
      </c>
      <c r="L40" s="426">
        <f t="shared" ref="L40:L71" si="14">F40/$F$7%</f>
        <v>0.46516338655941786</v>
      </c>
      <c r="M40" s="426">
        <f t="shared" ref="M40:M71" si="15">G40/$G$7%*25</f>
        <v>12.364299999999998</v>
      </c>
      <c r="N40" s="426">
        <f t="shared" ref="N40:N71" si="16">H40/$H$7%</f>
        <v>0.43961129106894958</v>
      </c>
      <c r="O40" s="425">
        <f t="shared" ref="O40:O71" si="17">J40+K40+L40+M40+N40</f>
        <v>14.377250526250972</v>
      </c>
      <c r="P40" s="427">
        <f t="shared" ref="P40:P71" si="18">O40/$O$7%</f>
        <v>0.49576725952589529</v>
      </c>
      <c r="Q40" s="397"/>
      <c r="R40" s="723">
        <v>1969135</v>
      </c>
      <c r="S40" s="723">
        <v>2264354</v>
      </c>
      <c r="T40" s="724"/>
      <c r="U40" s="724"/>
      <c r="V40" s="724"/>
      <c r="W40" s="724"/>
    </row>
    <row r="41" spans="1:23" x14ac:dyDescent="0.2">
      <c r="A41" s="237">
        <v>34</v>
      </c>
      <c r="B41" s="422" t="s">
        <v>110</v>
      </c>
      <c r="C41" s="423">
        <v>1143</v>
      </c>
      <c r="D41" s="424">
        <f t="shared" si="10"/>
        <v>109.9842519685</v>
      </c>
      <c r="E41" s="244">
        <v>125712</v>
      </c>
      <c r="F41" s="244">
        <f>'COMPARATIVOS VARIABLES'!X43</f>
        <v>13864094.91</v>
      </c>
      <c r="G41" s="244">
        <f>'COMPARATIVOS VARIABLES'!O43</f>
        <v>67799135.225875437</v>
      </c>
      <c r="H41" s="244">
        <v>247</v>
      </c>
      <c r="I41" s="425">
        <f t="shared" si="11"/>
        <v>2.6472115541333623</v>
      </c>
      <c r="J41" s="426">
        <f t="shared" si="12"/>
        <v>1.9507116769635113</v>
      </c>
      <c r="K41" s="426">
        <f t="shared" si="13"/>
        <v>0.90602660951718594</v>
      </c>
      <c r="L41" s="426">
        <f t="shared" si="14"/>
        <v>2.4405714432773862</v>
      </c>
      <c r="M41" s="426">
        <f t="shared" si="15"/>
        <v>49.0274</v>
      </c>
      <c r="N41" s="426">
        <f t="shared" si="16"/>
        <v>2.8574733919481723</v>
      </c>
      <c r="O41" s="425">
        <f t="shared" si="17"/>
        <v>57.182183121706259</v>
      </c>
      <c r="P41" s="427">
        <f t="shared" si="18"/>
        <v>1.9717994179898699</v>
      </c>
      <c r="Q41" s="397"/>
      <c r="R41" s="723">
        <v>30386023</v>
      </c>
      <c r="S41" s="723">
        <v>32433931</v>
      </c>
      <c r="T41" s="724"/>
      <c r="U41" s="724"/>
      <c r="V41" s="724"/>
      <c r="W41" s="724"/>
    </row>
    <row r="42" spans="1:23" x14ac:dyDescent="0.2">
      <c r="A42" s="237">
        <v>35</v>
      </c>
      <c r="B42" s="422" t="s">
        <v>112</v>
      </c>
      <c r="C42" s="423">
        <v>1952</v>
      </c>
      <c r="D42" s="424">
        <f t="shared" si="10"/>
        <v>15.6900614754</v>
      </c>
      <c r="E42" s="244">
        <v>30627</v>
      </c>
      <c r="F42" s="244">
        <f>'COMPARATIVOS VARIABLES'!X44</f>
        <v>3451732.5300000003</v>
      </c>
      <c r="G42" s="244">
        <f>'COMPARATIVOS VARIABLES'!O44</f>
        <v>48038435.23341924</v>
      </c>
      <c r="H42" s="244">
        <v>133</v>
      </c>
      <c r="I42" s="425">
        <f t="shared" si="11"/>
        <v>0.64493563278320676</v>
      </c>
      <c r="J42" s="426">
        <f t="shared" si="12"/>
        <v>3.3313991193637569</v>
      </c>
      <c r="K42" s="426">
        <f t="shared" si="13"/>
        <v>0.12925135141842212</v>
      </c>
      <c r="L42" s="426">
        <f t="shared" si="14"/>
        <v>0.60762710420233301</v>
      </c>
      <c r="M42" s="426">
        <f t="shared" si="15"/>
        <v>34.737899999999996</v>
      </c>
      <c r="N42" s="426">
        <f t="shared" si="16"/>
        <v>1.5386395187413235</v>
      </c>
      <c r="O42" s="425">
        <f t="shared" si="17"/>
        <v>40.344817093725837</v>
      </c>
      <c r="P42" s="427">
        <f t="shared" si="18"/>
        <v>1.3912005894388211</v>
      </c>
      <c r="Q42" s="397"/>
      <c r="R42" s="723">
        <v>1805654</v>
      </c>
      <c r="S42" s="723">
        <v>1752169</v>
      </c>
      <c r="T42" s="724"/>
      <c r="U42" s="724"/>
      <c r="V42" s="724"/>
      <c r="W42" s="724"/>
    </row>
    <row r="43" spans="1:23" x14ac:dyDescent="0.2">
      <c r="A43" s="237">
        <v>36</v>
      </c>
      <c r="B43" s="422" t="s">
        <v>114</v>
      </c>
      <c r="C43" s="423">
        <v>96</v>
      </c>
      <c r="D43" s="424">
        <f t="shared" si="10"/>
        <v>121.2916666667</v>
      </c>
      <c r="E43" s="244">
        <v>11644</v>
      </c>
      <c r="F43" s="244">
        <f>'COMPARATIVOS VARIABLES'!X45</f>
        <v>1716904.44</v>
      </c>
      <c r="G43" s="244">
        <f>'COMPARATIVOS VARIABLES'!O45</f>
        <v>13307409.495952019</v>
      </c>
      <c r="H43" s="244">
        <v>10</v>
      </c>
      <c r="I43" s="425">
        <f t="shared" si="11"/>
        <v>0.24519641192828742</v>
      </c>
      <c r="J43" s="426">
        <f t="shared" si="12"/>
        <v>0.16383930095231591</v>
      </c>
      <c r="K43" s="426">
        <f t="shared" si="13"/>
        <v>0.9991746595157357</v>
      </c>
      <c r="L43" s="426">
        <f t="shared" si="14"/>
        <v>0.3022359536847799</v>
      </c>
      <c r="M43" s="426">
        <f t="shared" si="15"/>
        <v>9.6229499999999994</v>
      </c>
      <c r="N43" s="426">
        <f t="shared" si="16"/>
        <v>0.11568718186024989</v>
      </c>
      <c r="O43" s="425">
        <f t="shared" si="17"/>
        <v>11.203887096013082</v>
      </c>
      <c r="P43" s="427">
        <f t="shared" si="18"/>
        <v>0.38634093434527844</v>
      </c>
      <c r="Q43" s="397"/>
      <c r="R43" s="723">
        <v>3981031</v>
      </c>
      <c r="S43" s="723">
        <v>4305303</v>
      </c>
      <c r="T43" s="724"/>
      <c r="U43" s="724"/>
      <c r="V43" s="724"/>
      <c r="W43" s="724"/>
    </row>
    <row r="44" spans="1:23" x14ac:dyDescent="0.2">
      <c r="A44" s="237">
        <v>37</v>
      </c>
      <c r="B44" s="422" t="s">
        <v>92</v>
      </c>
      <c r="C44" s="423">
        <v>201</v>
      </c>
      <c r="D44" s="424">
        <f t="shared" si="10"/>
        <v>39.527363184099997</v>
      </c>
      <c r="E44" s="244">
        <v>7945</v>
      </c>
      <c r="F44" s="244">
        <f>'COMPARATIVOS VARIABLES'!X46</f>
        <v>1269897.6000000001</v>
      </c>
      <c r="G44" s="244">
        <f>'COMPARATIVOS VARIABLES'!O46</f>
        <v>10271636.609676119</v>
      </c>
      <c r="H44" s="244">
        <v>26</v>
      </c>
      <c r="I44" s="425">
        <f t="shared" si="11"/>
        <v>0.16730380391362448</v>
      </c>
      <c r="J44" s="426">
        <f t="shared" si="12"/>
        <v>0.34303853636891146</v>
      </c>
      <c r="K44" s="426">
        <f t="shared" si="13"/>
        <v>0.32561791536393342</v>
      </c>
      <c r="L44" s="426">
        <f t="shared" si="14"/>
        <v>0.22354692740966595</v>
      </c>
      <c r="M44" s="426">
        <f t="shared" si="15"/>
        <v>7.4276999999999997</v>
      </c>
      <c r="N44" s="426">
        <f t="shared" si="16"/>
        <v>0.30078667283664973</v>
      </c>
      <c r="O44" s="425">
        <f t="shared" si="17"/>
        <v>8.6206900519791603</v>
      </c>
      <c r="P44" s="427">
        <f t="shared" si="18"/>
        <v>0.29726517420617776</v>
      </c>
      <c r="Q44" s="397"/>
      <c r="R44" s="723">
        <v>1793838</v>
      </c>
      <c r="S44" s="723">
        <v>1912827</v>
      </c>
      <c r="T44" s="724"/>
      <c r="U44" s="724"/>
      <c r="V44" s="724"/>
      <c r="W44" s="724"/>
    </row>
    <row r="45" spans="1:23" x14ac:dyDescent="0.2">
      <c r="A45" s="237">
        <v>38</v>
      </c>
      <c r="B45" s="422" t="s">
        <v>51</v>
      </c>
      <c r="C45" s="423">
        <v>2057</v>
      </c>
      <c r="D45" s="424">
        <f t="shared" si="10"/>
        <v>20.404958677700002</v>
      </c>
      <c r="E45" s="244">
        <v>41973</v>
      </c>
      <c r="F45" s="244">
        <f>'COMPARATIVOS VARIABLES'!X47</f>
        <v>8832720.2399999984</v>
      </c>
      <c r="G45" s="244">
        <f>'COMPARATIVOS VARIABLES'!O47</f>
        <v>65764327.290930212</v>
      </c>
      <c r="H45" s="244">
        <v>246</v>
      </c>
      <c r="I45" s="425">
        <f t="shared" si="11"/>
        <v>0.88385683595551423</v>
      </c>
      <c r="J45" s="426">
        <f t="shared" si="12"/>
        <v>3.5105983547803525</v>
      </c>
      <c r="K45" s="426">
        <f t="shared" si="13"/>
        <v>0.16809166037142936</v>
      </c>
      <c r="L45" s="426">
        <f t="shared" si="14"/>
        <v>1.5548714087822253</v>
      </c>
      <c r="M45" s="426">
        <f t="shared" si="15"/>
        <v>47.555975000000004</v>
      </c>
      <c r="N45" s="426">
        <f t="shared" si="16"/>
        <v>2.8459046737621474</v>
      </c>
      <c r="O45" s="425">
        <f t="shared" si="17"/>
        <v>55.635441097696159</v>
      </c>
      <c r="P45" s="427">
        <f t="shared" si="18"/>
        <v>1.9184634861274525</v>
      </c>
      <c r="Q45" s="397"/>
      <c r="R45" s="723">
        <v>5123379</v>
      </c>
      <c r="S45" s="723">
        <v>4502272</v>
      </c>
      <c r="T45" s="724"/>
      <c r="U45" s="724"/>
      <c r="V45" s="724"/>
      <c r="W45" s="724"/>
    </row>
    <row r="46" spans="1:23" x14ac:dyDescent="0.2">
      <c r="A46" s="237">
        <v>39</v>
      </c>
      <c r="B46" s="422" t="s">
        <v>105</v>
      </c>
      <c r="C46" s="423">
        <v>79</v>
      </c>
      <c r="D46" s="424">
        <f t="shared" si="10"/>
        <v>114.1139240506</v>
      </c>
      <c r="E46" s="244">
        <v>9015</v>
      </c>
      <c r="F46" s="244">
        <f>'COMPARATIVOS VARIABLES'!X48</f>
        <v>878477.74</v>
      </c>
      <c r="G46" s="244">
        <f>'COMPARATIVOS VARIABLES'!O48</f>
        <v>10827624.533114102</v>
      </c>
      <c r="H46" s="244">
        <v>19</v>
      </c>
      <c r="I46" s="425">
        <f t="shared" si="11"/>
        <v>0.18983559374214284</v>
      </c>
      <c r="J46" s="426">
        <f t="shared" si="12"/>
        <v>0.13482609140867666</v>
      </c>
      <c r="K46" s="426">
        <f t="shared" si="13"/>
        <v>0.94004595981503092</v>
      </c>
      <c r="L46" s="426">
        <f t="shared" si="14"/>
        <v>0.15464317719380474</v>
      </c>
      <c r="M46" s="426">
        <f t="shared" si="15"/>
        <v>7.8297500000000007</v>
      </c>
      <c r="N46" s="426">
        <f t="shared" si="16"/>
        <v>0.21980564553447479</v>
      </c>
      <c r="O46" s="425">
        <f t="shared" si="17"/>
        <v>9.2790708739519872</v>
      </c>
      <c r="P46" s="427">
        <f t="shared" si="18"/>
        <v>0.31996796117075799</v>
      </c>
      <c r="Q46" s="397"/>
      <c r="R46" s="723">
        <v>1120360</v>
      </c>
      <c r="S46" s="723">
        <v>788117</v>
      </c>
      <c r="T46" s="724"/>
      <c r="U46" s="724"/>
      <c r="V46" s="724"/>
      <c r="W46" s="724"/>
    </row>
    <row r="47" spans="1:23" x14ac:dyDescent="0.2">
      <c r="A47" s="237">
        <v>40</v>
      </c>
      <c r="B47" s="422" t="s">
        <v>96</v>
      </c>
      <c r="C47" s="423">
        <v>176</v>
      </c>
      <c r="D47" s="424">
        <f t="shared" si="10"/>
        <v>104.4602272727</v>
      </c>
      <c r="E47" s="244">
        <v>18385</v>
      </c>
      <c r="F47" s="244">
        <f>'COMPARATIVOS VARIABLES'!X49</f>
        <v>2221089.17</v>
      </c>
      <c r="G47" s="244">
        <f>'COMPARATIVOS VARIABLES'!O49</f>
        <v>15958913.897648068</v>
      </c>
      <c r="H47" s="244">
        <v>39</v>
      </c>
      <c r="I47" s="425">
        <f t="shared" si="11"/>
        <v>0.38714668784795297</v>
      </c>
      <c r="J47" s="426">
        <f t="shared" si="12"/>
        <v>0.30037205174591253</v>
      </c>
      <c r="K47" s="426">
        <f t="shared" si="13"/>
        <v>0.86052088232036583</v>
      </c>
      <c r="L47" s="426">
        <f t="shared" si="14"/>
        <v>0.39099031249164118</v>
      </c>
      <c r="M47" s="426">
        <f t="shared" si="15"/>
        <v>11.540324999999999</v>
      </c>
      <c r="N47" s="426">
        <f t="shared" si="16"/>
        <v>0.45118000925497453</v>
      </c>
      <c r="O47" s="425">
        <f t="shared" si="17"/>
        <v>13.543388255812893</v>
      </c>
      <c r="P47" s="427">
        <f t="shared" si="18"/>
        <v>0.4670133881314788</v>
      </c>
      <c r="Q47" s="397"/>
      <c r="R47" s="723">
        <v>2846284</v>
      </c>
      <c r="S47" s="723">
        <v>3771110</v>
      </c>
      <c r="T47" s="724"/>
      <c r="U47" s="724"/>
      <c r="V47" s="724"/>
      <c r="W47" s="724"/>
    </row>
    <row r="48" spans="1:23" x14ac:dyDescent="0.2">
      <c r="A48" s="237">
        <v>41</v>
      </c>
      <c r="B48" s="422" t="s">
        <v>98</v>
      </c>
      <c r="C48" s="423">
        <v>127</v>
      </c>
      <c r="D48" s="424">
        <f t="shared" si="10"/>
        <v>126.3228346457</v>
      </c>
      <c r="E48" s="244">
        <v>16043</v>
      </c>
      <c r="F48" s="244">
        <f>'COMPARATIVOS VARIABLES'!X50</f>
        <v>2270654.69</v>
      </c>
      <c r="G48" s="244">
        <f>'COMPARATIVOS VARIABLES'!O50</f>
        <v>17666566.396733727</v>
      </c>
      <c r="H48" s="244">
        <v>37</v>
      </c>
      <c r="I48" s="425">
        <f t="shared" si="11"/>
        <v>0.3378294431952521</v>
      </c>
      <c r="J48" s="426">
        <f t="shared" si="12"/>
        <v>0.21674574188483461</v>
      </c>
      <c r="K48" s="426">
        <f t="shared" si="13"/>
        <v>1.0406203390956663</v>
      </c>
      <c r="L48" s="426">
        <f t="shared" si="14"/>
        <v>0.39971559845285753</v>
      </c>
      <c r="M48" s="426">
        <f t="shared" si="15"/>
        <v>12.775174999999997</v>
      </c>
      <c r="N48" s="426">
        <f t="shared" si="16"/>
        <v>0.42804257288292458</v>
      </c>
      <c r="O48" s="425">
        <f t="shared" si="17"/>
        <v>14.860299252316281</v>
      </c>
      <c r="P48" s="427">
        <f t="shared" si="18"/>
        <v>0.51242411214883699</v>
      </c>
      <c r="Q48" s="397"/>
      <c r="R48" s="723">
        <v>3710870</v>
      </c>
      <c r="S48" s="723">
        <v>3989411</v>
      </c>
      <c r="T48" s="724"/>
      <c r="U48" s="724"/>
      <c r="V48" s="724"/>
      <c r="W48" s="724"/>
    </row>
    <row r="49" spans="1:23" x14ac:dyDescent="0.2">
      <c r="A49" s="237">
        <v>42</v>
      </c>
      <c r="B49" s="422" t="s">
        <v>122</v>
      </c>
      <c r="C49" s="423">
        <v>124</v>
      </c>
      <c r="D49" s="424">
        <f t="shared" si="10"/>
        <v>115.3387096774</v>
      </c>
      <c r="E49" s="244">
        <v>14302</v>
      </c>
      <c r="F49" s="244">
        <f>'COMPARATIVOS VARIABLES'!X51</f>
        <v>2181136.7200000002</v>
      </c>
      <c r="G49" s="244">
        <f>'COMPARATIVOS VARIABLES'!O51</f>
        <v>13456034.79646563</v>
      </c>
      <c r="H49" s="244">
        <v>17</v>
      </c>
      <c r="I49" s="425">
        <f t="shared" si="11"/>
        <v>0.30116790479202737</v>
      </c>
      <c r="J49" s="426">
        <f t="shared" si="12"/>
        <v>0.21162576373007475</v>
      </c>
      <c r="K49" s="426">
        <f t="shared" si="13"/>
        <v>0.95013548035068729</v>
      </c>
      <c r="L49" s="426">
        <f t="shared" si="14"/>
        <v>0.38395726711854317</v>
      </c>
      <c r="M49" s="426">
        <f t="shared" si="15"/>
        <v>9.7304250000000003</v>
      </c>
      <c r="N49" s="426">
        <f t="shared" si="16"/>
        <v>0.19666820916242481</v>
      </c>
      <c r="O49" s="425">
        <f t="shared" si="17"/>
        <v>11.472811720361731</v>
      </c>
      <c r="P49" s="427">
        <f t="shared" si="18"/>
        <v>0.39561419725385255</v>
      </c>
      <c r="Q49" s="397"/>
      <c r="R49" s="723">
        <v>1776710.57</v>
      </c>
      <c r="S49" s="723">
        <v>2228156</v>
      </c>
      <c r="T49" s="724"/>
      <c r="U49" s="724"/>
      <c r="V49" s="724"/>
      <c r="W49" s="724"/>
    </row>
    <row r="50" spans="1:23" x14ac:dyDescent="0.2">
      <c r="A50" s="237">
        <v>43</v>
      </c>
      <c r="B50" s="422" t="s">
        <v>63</v>
      </c>
      <c r="C50" s="423">
        <v>119</v>
      </c>
      <c r="D50" s="424">
        <f t="shared" si="10"/>
        <v>577.9915966387</v>
      </c>
      <c r="E50" s="244">
        <v>68781</v>
      </c>
      <c r="F50" s="244">
        <f>'COMPARATIVOS VARIABLES'!X52</f>
        <v>5982982.5399999991</v>
      </c>
      <c r="G50" s="244">
        <f>'COMPARATIVOS VARIABLES'!O52</f>
        <v>67440588.356457755</v>
      </c>
      <c r="H50" s="244">
        <v>31</v>
      </c>
      <c r="I50" s="425">
        <f t="shared" si="11"/>
        <v>1.4483729310236635</v>
      </c>
      <c r="J50" s="426">
        <f t="shared" si="12"/>
        <v>0.20309246680547494</v>
      </c>
      <c r="K50" s="426">
        <f t="shared" si="13"/>
        <v>4.7613704440338376</v>
      </c>
      <c r="L50" s="426">
        <f t="shared" si="14"/>
        <v>1.0532167031126594</v>
      </c>
      <c r="M50" s="426">
        <f t="shared" si="15"/>
        <v>48.768124999999998</v>
      </c>
      <c r="N50" s="426">
        <f t="shared" si="16"/>
        <v>0.35863026376677465</v>
      </c>
      <c r="O50" s="425">
        <f t="shared" si="17"/>
        <v>55.144434877718744</v>
      </c>
      <c r="P50" s="427">
        <f t="shared" si="18"/>
        <v>1.9015322371627141</v>
      </c>
      <c r="Q50" s="397"/>
      <c r="R50" s="723">
        <v>16550524</v>
      </c>
      <c r="S50" s="723">
        <v>18268029</v>
      </c>
      <c r="T50" s="724"/>
      <c r="U50" s="724"/>
      <c r="V50" s="724"/>
      <c r="W50" s="724"/>
    </row>
    <row r="51" spans="1:23" x14ac:dyDescent="0.2">
      <c r="A51" s="237">
        <v>44</v>
      </c>
      <c r="B51" s="422" t="s">
        <v>102</v>
      </c>
      <c r="C51" s="423">
        <v>194</v>
      </c>
      <c r="D51" s="424">
        <f t="shared" si="10"/>
        <v>66.731958762900007</v>
      </c>
      <c r="E51" s="244">
        <v>12946</v>
      </c>
      <c r="F51" s="244">
        <f>'COMPARATIVOS VARIABLES'!X53</f>
        <v>1963559.67</v>
      </c>
      <c r="G51" s="244">
        <f>'COMPARATIVOS VARIABLES'!O53</f>
        <v>12863400.48583425</v>
      </c>
      <c r="H51" s="244">
        <v>29</v>
      </c>
      <c r="I51" s="425">
        <f t="shared" si="11"/>
        <v>0.27261359917756861</v>
      </c>
      <c r="J51" s="426">
        <f t="shared" si="12"/>
        <v>0.33109192067447174</v>
      </c>
      <c r="K51" s="426">
        <f t="shared" si="13"/>
        <v>0.54972352188845408</v>
      </c>
      <c r="L51" s="426">
        <f t="shared" si="14"/>
        <v>0.34565600487317844</v>
      </c>
      <c r="M51" s="426">
        <f t="shared" si="15"/>
        <v>9.301874999999999</v>
      </c>
      <c r="N51" s="426">
        <f t="shared" si="16"/>
        <v>0.33549282739472469</v>
      </c>
      <c r="O51" s="425">
        <f t="shared" si="17"/>
        <v>10.863839274830829</v>
      </c>
      <c r="P51" s="427">
        <f t="shared" si="18"/>
        <v>0.37461514740795937</v>
      </c>
      <c r="Q51" s="397"/>
      <c r="R51" s="723">
        <v>2684530</v>
      </c>
      <c r="S51" s="723">
        <v>3023066</v>
      </c>
      <c r="T51" s="724"/>
      <c r="U51" s="724"/>
      <c r="V51" s="724"/>
      <c r="W51" s="724"/>
    </row>
    <row r="52" spans="1:23" x14ac:dyDescent="0.2">
      <c r="A52" s="237">
        <v>45</v>
      </c>
      <c r="B52" s="422" t="s">
        <v>127</v>
      </c>
      <c r="C52" s="423">
        <v>243</v>
      </c>
      <c r="D52" s="424">
        <f t="shared" si="10"/>
        <v>148.79835390950001</v>
      </c>
      <c r="E52" s="244">
        <v>36158</v>
      </c>
      <c r="F52" s="244">
        <f>'COMPARATIVOS VARIABLES'!X54</f>
        <v>8013045.5899999999</v>
      </c>
      <c r="G52" s="244">
        <f>'COMPARATIVOS VARIABLES'!O54</f>
        <v>25554770.38423986</v>
      </c>
      <c r="H52" s="244">
        <v>34</v>
      </c>
      <c r="I52" s="425">
        <f t="shared" si="11"/>
        <v>0.76140603422389352</v>
      </c>
      <c r="J52" s="426">
        <f t="shared" si="12"/>
        <v>0.41471823053554968</v>
      </c>
      <c r="K52" s="426">
        <f t="shared" si="13"/>
        <v>1.2257688321867599</v>
      </c>
      <c r="L52" s="426">
        <f t="shared" si="14"/>
        <v>1.4105796568464053</v>
      </c>
      <c r="M52" s="426">
        <f t="shared" si="15"/>
        <v>18.47935</v>
      </c>
      <c r="N52" s="426">
        <f t="shared" si="16"/>
        <v>0.39333641832484961</v>
      </c>
      <c r="O52" s="425">
        <f t="shared" si="17"/>
        <v>21.923753137893566</v>
      </c>
      <c r="P52" s="427">
        <f t="shared" si="18"/>
        <v>0.75599148751357081</v>
      </c>
      <c r="Q52" s="397"/>
      <c r="R52" s="723">
        <v>17747309</v>
      </c>
      <c r="S52" s="723">
        <v>17891304</v>
      </c>
      <c r="T52" s="724"/>
      <c r="U52" s="724"/>
      <c r="V52" s="724"/>
      <c r="W52" s="724"/>
    </row>
    <row r="53" spans="1:23" x14ac:dyDescent="0.2">
      <c r="A53" s="237">
        <v>46</v>
      </c>
      <c r="B53" s="422" t="s">
        <v>119</v>
      </c>
      <c r="C53" s="423">
        <v>141</v>
      </c>
      <c r="D53" s="424">
        <f t="shared" si="10"/>
        <v>105.9290780142</v>
      </c>
      <c r="E53" s="244">
        <v>14936</v>
      </c>
      <c r="F53" s="244">
        <f>'COMPARATIVOS VARIABLES'!X55</f>
        <v>1332823.3899999999</v>
      </c>
      <c r="G53" s="244">
        <f>'COMPARATIVOS VARIABLES'!O55</f>
        <v>15033143.18419065</v>
      </c>
      <c r="H53" s="244">
        <v>45</v>
      </c>
      <c r="I53" s="425">
        <f t="shared" si="11"/>
        <v>0.31451851670911207</v>
      </c>
      <c r="J53" s="426">
        <f t="shared" si="12"/>
        <v>0.240638973273714</v>
      </c>
      <c r="K53" s="426">
        <f t="shared" si="13"/>
        <v>0.87262095877121271</v>
      </c>
      <c r="L53" s="426">
        <f t="shared" si="14"/>
        <v>0.23462409379640914</v>
      </c>
      <c r="M53" s="426">
        <f t="shared" si="15"/>
        <v>10.870875</v>
      </c>
      <c r="N53" s="426">
        <f t="shared" si="16"/>
        <v>0.52059231837112452</v>
      </c>
      <c r="O53" s="425">
        <f t="shared" si="17"/>
        <v>12.73935134421246</v>
      </c>
      <c r="P53" s="427">
        <f t="shared" si="18"/>
        <v>0.43928797738663627</v>
      </c>
      <c r="Q53" s="397"/>
      <c r="R53" s="723">
        <v>502042</v>
      </c>
      <c r="S53" s="723">
        <v>698835</v>
      </c>
      <c r="T53" s="724"/>
      <c r="U53" s="724"/>
      <c r="V53" s="724"/>
      <c r="W53" s="724"/>
    </row>
    <row r="54" spans="1:23" x14ac:dyDescent="0.2">
      <c r="A54" s="237">
        <v>47</v>
      </c>
      <c r="B54" s="422" t="s">
        <v>121</v>
      </c>
      <c r="C54" s="423">
        <v>265</v>
      </c>
      <c r="D54" s="424">
        <f t="shared" si="10"/>
        <v>74.845283018900005</v>
      </c>
      <c r="E54" s="244">
        <v>19834</v>
      </c>
      <c r="F54" s="244">
        <f>'COMPARATIVOS VARIABLES'!X56</f>
        <v>2688385.65</v>
      </c>
      <c r="G54" s="244">
        <f>'COMPARATIVOS VARIABLES'!O56</f>
        <v>19390294.905295737</v>
      </c>
      <c r="H54" s="244">
        <v>69</v>
      </c>
      <c r="I54" s="425">
        <f t="shared" si="11"/>
        <v>0.41765936398021752</v>
      </c>
      <c r="J54" s="426">
        <f t="shared" si="12"/>
        <v>0.45226473700378872</v>
      </c>
      <c r="K54" s="426">
        <f t="shared" si="13"/>
        <v>0.61655934189005357</v>
      </c>
      <c r="L54" s="426">
        <f t="shared" si="14"/>
        <v>0.47325103358706838</v>
      </c>
      <c r="M54" s="426">
        <f t="shared" si="15"/>
        <v>14.021649999999998</v>
      </c>
      <c r="N54" s="426">
        <f t="shared" si="16"/>
        <v>0.79824155483572423</v>
      </c>
      <c r="O54" s="425">
        <f t="shared" si="17"/>
        <v>16.361966667316633</v>
      </c>
      <c r="P54" s="427">
        <f t="shared" si="18"/>
        <v>0.56420574714884908</v>
      </c>
      <c r="Q54" s="397"/>
      <c r="R54" s="723">
        <v>1523030</v>
      </c>
      <c r="S54" s="723">
        <v>1782262</v>
      </c>
      <c r="T54" s="724"/>
      <c r="U54" s="724"/>
      <c r="V54" s="724"/>
      <c r="W54" s="724"/>
    </row>
    <row r="55" spans="1:23" x14ac:dyDescent="0.2">
      <c r="A55" s="237">
        <v>48</v>
      </c>
      <c r="B55" s="422" t="s">
        <v>47</v>
      </c>
      <c r="C55" s="423">
        <v>73</v>
      </c>
      <c r="D55" s="424">
        <f t="shared" si="10"/>
        <v>78.698630136999995</v>
      </c>
      <c r="E55" s="244">
        <v>5745</v>
      </c>
      <c r="F55" s="244">
        <f>'COMPARATIVOS VARIABLES'!X57</f>
        <v>998337.23999999987</v>
      </c>
      <c r="G55" s="244">
        <f>'COMPARATIVOS VARIABLES'!O57</f>
        <v>11800240.392464969</v>
      </c>
      <c r="H55" s="244">
        <v>10</v>
      </c>
      <c r="I55" s="425">
        <f t="shared" si="11"/>
        <v>0.12097675940639052</v>
      </c>
      <c r="J55" s="426">
        <f t="shared" si="12"/>
        <v>0.12458613509915691</v>
      </c>
      <c r="K55" s="426">
        <f t="shared" si="13"/>
        <v>0.64830238657344019</v>
      </c>
      <c r="L55" s="426">
        <f t="shared" si="14"/>
        <v>0.17574269178920113</v>
      </c>
      <c r="M55" s="426">
        <f t="shared" si="15"/>
        <v>8.5330750000000002</v>
      </c>
      <c r="N55" s="426">
        <f t="shared" si="16"/>
        <v>0.11568718186024989</v>
      </c>
      <c r="O55" s="425">
        <f t="shared" si="17"/>
        <v>9.5973933953220492</v>
      </c>
      <c r="P55" s="427">
        <f t="shared" si="18"/>
        <v>0.33094459983869112</v>
      </c>
      <c r="Q55" s="397"/>
      <c r="R55" s="723">
        <v>961203</v>
      </c>
      <c r="S55" s="723">
        <v>1067735</v>
      </c>
      <c r="T55" s="724"/>
      <c r="U55" s="724"/>
      <c r="V55" s="724"/>
      <c r="W55" s="724"/>
    </row>
    <row r="56" spans="1:23" x14ac:dyDescent="0.2">
      <c r="A56" s="237">
        <v>49</v>
      </c>
      <c r="B56" s="422" t="s">
        <v>115</v>
      </c>
      <c r="C56" s="423">
        <v>1020</v>
      </c>
      <c r="D56" s="424">
        <f t="shared" si="10"/>
        <v>18.711764705899999</v>
      </c>
      <c r="E56" s="244">
        <v>19086</v>
      </c>
      <c r="F56" s="244">
        <f>'COMPARATIVOS VARIABLES'!X58</f>
        <v>2112051.91</v>
      </c>
      <c r="G56" s="244">
        <f>'COMPARATIVOS VARIABLES'!O58</f>
        <v>45452237.459466897</v>
      </c>
      <c r="H56" s="244">
        <v>284</v>
      </c>
      <c r="I56" s="425">
        <f t="shared" si="11"/>
        <v>0.40190816884775799</v>
      </c>
      <c r="J56" s="426">
        <f t="shared" si="12"/>
        <v>1.7407925726183566</v>
      </c>
      <c r="K56" s="426">
        <f t="shared" si="13"/>
        <v>0.15414349264679675</v>
      </c>
      <c r="L56" s="426">
        <f t="shared" si="14"/>
        <v>0.37179589520463407</v>
      </c>
      <c r="M56" s="426">
        <f t="shared" si="15"/>
        <v>32.867749999999994</v>
      </c>
      <c r="N56" s="426">
        <f t="shared" si="16"/>
        <v>3.285515964831097</v>
      </c>
      <c r="O56" s="425">
        <f t="shared" si="17"/>
        <v>38.419997925300883</v>
      </c>
      <c r="P56" s="427">
        <f t="shared" si="18"/>
        <v>1.3248275146655468</v>
      </c>
      <c r="Q56" s="397"/>
      <c r="R56" s="723">
        <v>1932620</v>
      </c>
      <c r="S56" s="723">
        <v>1950031</v>
      </c>
      <c r="T56" s="724"/>
      <c r="U56" s="724"/>
      <c r="V56" s="724"/>
      <c r="W56" s="724"/>
    </row>
    <row r="57" spans="1:23" x14ac:dyDescent="0.2">
      <c r="A57" s="237">
        <v>50</v>
      </c>
      <c r="B57" s="422" t="s">
        <v>69</v>
      </c>
      <c r="C57" s="423">
        <v>698</v>
      </c>
      <c r="D57" s="424">
        <f t="shared" si="10"/>
        <v>127.952722063</v>
      </c>
      <c r="E57" s="244">
        <v>89311</v>
      </c>
      <c r="F57" s="244">
        <f>'COMPARATIVOS VARIABLES'!X59</f>
        <v>11341062.929999998</v>
      </c>
      <c r="G57" s="244">
        <f>'COMPARATIVOS VARIABLES'!O59</f>
        <v>40987566.621218912</v>
      </c>
      <c r="H57" s="244">
        <v>137</v>
      </c>
      <c r="I57" s="425">
        <f t="shared" si="11"/>
        <v>1.8806884872661696</v>
      </c>
      <c r="J57" s="426">
        <f t="shared" si="12"/>
        <v>1.1912482506741304</v>
      </c>
      <c r="K57" s="426">
        <f t="shared" si="13"/>
        <v>1.0540470010419056</v>
      </c>
      <c r="L57" s="426">
        <f t="shared" si="14"/>
        <v>1.9964285085357771</v>
      </c>
      <c r="M57" s="426">
        <f t="shared" si="15"/>
        <v>29.639225000000003</v>
      </c>
      <c r="N57" s="426">
        <f t="shared" si="16"/>
        <v>1.5849143914854233</v>
      </c>
      <c r="O57" s="425">
        <f t="shared" si="17"/>
        <v>35.465863151737246</v>
      </c>
      <c r="P57" s="427">
        <f t="shared" si="18"/>
        <v>1.2229607983357664</v>
      </c>
      <c r="Q57" s="397"/>
      <c r="R57" s="723">
        <v>14644796</v>
      </c>
      <c r="S57" s="723">
        <v>14435910</v>
      </c>
      <c r="T57" s="724"/>
      <c r="U57" s="724"/>
      <c r="V57" s="724"/>
      <c r="W57" s="724"/>
    </row>
    <row r="58" spans="1:23" x14ac:dyDescent="0.2">
      <c r="A58" s="237">
        <v>51</v>
      </c>
      <c r="B58" s="422" t="s">
        <v>126</v>
      </c>
      <c r="C58" s="423">
        <v>233</v>
      </c>
      <c r="D58" s="424">
        <f t="shared" si="10"/>
        <v>60.012875536499998</v>
      </c>
      <c r="E58" s="244">
        <v>13983</v>
      </c>
      <c r="F58" s="244">
        <f>'COMPARATIVOS VARIABLES'!X60</f>
        <v>2216539.5600000005</v>
      </c>
      <c r="G58" s="244">
        <f>'COMPARATIVOS VARIABLES'!O60</f>
        <v>13678298.591999941</v>
      </c>
      <c r="H58" s="244">
        <v>28</v>
      </c>
      <c r="I58" s="425">
        <f t="shared" si="11"/>
        <v>0.29445048333847845</v>
      </c>
      <c r="J58" s="426">
        <f t="shared" si="12"/>
        <v>0.39765163668635012</v>
      </c>
      <c r="K58" s="426">
        <f t="shared" si="13"/>
        <v>0.49437315958001621</v>
      </c>
      <c r="L58" s="426">
        <f t="shared" si="14"/>
        <v>0.39018942009180346</v>
      </c>
      <c r="M58" s="426">
        <f t="shared" si="15"/>
        <v>9.8911499999999997</v>
      </c>
      <c r="N58" s="426">
        <f t="shared" si="16"/>
        <v>0.32392410920869968</v>
      </c>
      <c r="O58" s="425">
        <f t="shared" si="17"/>
        <v>11.497288325566869</v>
      </c>
      <c r="P58" s="427">
        <f t="shared" si="18"/>
        <v>0.39645821812299525</v>
      </c>
      <c r="Q58" s="397"/>
      <c r="R58" s="723">
        <v>6220473</v>
      </c>
      <c r="S58" s="723">
        <v>5822048</v>
      </c>
      <c r="T58" s="724"/>
      <c r="U58" s="724"/>
      <c r="V58" s="724"/>
      <c r="W58" s="724"/>
    </row>
    <row r="59" spans="1:23" x14ac:dyDescent="0.2">
      <c r="A59" s="237">
        <v>52</v>
      </c>
      <c r="B59" s="422" t="s">
        <v>58</v>
      </c>
      <c r="C59" s="423">
        <v>1150</v>
      </c>
      <c r="D59" s="424">
        <f t="shared" si="10"/>
        <v>170.43739130430001</v>
      </c>
      <c r="E59" s="244">
        <v>196003</v>
      </c>
      <c r="F59" s="244">
        <f>'COMPARATIVOS VARIABLES'!X61</f>
        <v>32782594.950000003</v>
      </c>
      <c r="G59" s="244">
        <f>'COMPARATIVOS VARIABLES'!O61</f>
        <v>108771628.4274563</v>
      </c>
      <c r="H59" s="244">
        <v>170</v>
      </c>
      <c r="I59" s="425">
        <f t="shared" si="11"/>
        <v>4.1273816838869903</v>
      </c>
      <c r="J59" s="426">
        <f t="shared" si="12"/>
        <v>1.9626582926579512</v>
      </c>
      <c r="K59" s="426">
        <f t="shared" si="13"/>
        <v>1.4040265675727439</v>
      </c>
      <c r="L59" s="426">
        <f t="shared" si="14"/>
        <v>5.7708970972054221</v>
      </c>
      <c r="M59" s="426">
        <f t="shared" si="15"/>
        <v>78.655725000000004</v>
      </c>
      <c r="N59" s="426">
        <f t="shared" si="16"/>
        <v>1.966682091624248</v>
      </c>
      <c r="O59" s="425">
        <f t="shared" si="17"/>
        <v>89.759989049060366</v>
      </c>
      <c r="P59" s="427">
        <f t="shared" si="18"/>
        <v>3.0951720361744934</v>
      </c>
      <c r="Q59" s="397"/>
      <c r="R59" s="723">
        <v>96503259</v>
      </c>
      <c r="S59" s="723">
        <v>106878061.72</v>
      </c>
      <c r="T59" s="724"/>
      <c r="U59" s="724"/>
      <c r="V59" s="724"/>
      <c r="W59" s="724"/>
    </row>
    <row r="60" spans="1:23" x14ac:dyDescent="0.2">
      <c r="A60" s="237">
        <v>53</v>
      </c>
      <c r="B60" s="422" t="s">
        <v>103</v>
      </c>
      <c r="C60" s="423">
        <v>1192</v>
      </c>
      <c r="D60" s="424">
        <f t="shared" si="10"/>
        <v>712.29278523489995</v>
      </c>
      <c r="E60" s="244">
        <v>849053</v>
      </c>
      <c r="F60" s="244">
        <f>'COMPARATIVOS VARIABLES'!X62</f>
        <v>102156237.09999999</v>
      </c>
      <c r="G60" s="244">
        <f>'COMPARATIVOS VARIABLES'!O62</f>
        <v>257565848.04278985</v>
      </c>
      <c r="H60" s="244">
        <v>256</v>
      </c>
      <c r="I60" s="425">
        <f t="shared" si="11"/>
        <v>17.879143690909327</v>
      </c>
      <c r="J60" s="426">
        <f t="shared" si="12"/>
        <v>2.0343379868245894</v>
      </c>
      <c r="K60" s="426">
        <f t="shared" si="13"/>
        <v>5.8677147467872262</v>
      </c>
      <c r="L60" s="426">
        <f t="shared" si="14"/>
        <v>17.98311369313425</v>
      </c>
      <c r="M60" s="426">
        <f t="shared" si="15"/>
        <v>186.25287499999999</v>
      </c>
      <c r="N60" s="426">
        <f t="shared" si="16"/>
        <v>2.9615918556223972</v>
      </c>
      <c r="O60" s="425">
        <f t="shared" si="17"/>
        <v>215.09963328236844</v>
      </c>
      <c r="P60" s="427">
        <f t="shared" si="18"/>
        <v>7.4172287338747696</v>
      </c>
      <c r="Q60" s="397"/>
      <c r="R60" s="723">
        <v>480627822</v>
      </c>
      <c r="S60" s="723">
        <v>552574723.25</v>
      </c>
      <c r="T60" s="724"/>
      <c r="U60" s="724"/>
      <c r="V60" s="724"/>
      <c r="W60" s="724"/>
    </row>
    <row r="61" spans="1:23" x14ac:dyDescent="0.2">
      <c r="A61" s="237">
        <v>54</v>
      </c>
      <c r="B61" s="422" t="s">
        <v>94</v>
      </c>
      <c r="C61" s="423">
        <v>183</v>
      </c>
      <c r="D61" s="424">
        <f t="shared" si="10"/>
        <v>43.622950819700002</v>
      </c>
      <c r="E61" s="244">
        <v>7983</v>
      </c>
      <c r="F61" s="244">
        <f>'COMPARATIVOS VARIABLES'!X63</f>
        <v>1233194.25</v>
      </c>
      <c r="G61" s="244">
        <f>'COMPARATIVOS VARIABLES'!O63</f>
        <v>10654660.49997393</v>
      </c>
      <c r="H61" s="244">
        <v>32</v>
      </c>
      <c r="I61" s="425">
        <f t="shared" si="11"/>
        <v>0.16810399831874945</v>
      </c>
      <c r="J61" s="426">
        <f t="shared" si="12"/>
        <v>0.31231866744035225</v>
      </c>
      <c r="K61" s="426">
        <f t="shared" si="13"/>
        <v>0.35935648532325765</v>
      </c>
      <c r="L61" s="426">
        <f t="shared" si="14"/>
        <v>0.21708583864302713</v>
      </c>
      <c r="M61" s="426">
        <f t="shared" si="15"/>
        <v>7.7046749999999999</v>
      </c>
      <c r="N61" s="426">
        <f t="shared" si="16"/>
        <v>0.37019898195279966</v>
      </c>
      <c r="O61" s="425">
        <f t="shared" si="17"/>
        <v>8.9636349733594365</v>
      </c>
      <c r="P61" s="427">
        <f t="shared" si="18"/>
        <v>0.30909086115032519</v>
      </c>
      <c r="Q61" s="397"/>
      <c r="R61" s="723">
        <v>2383927</v>
      </c>
      <c r="S61" s="723">
        <v>2626925</v>
      </c>
      <c r="T61" s="724"/>
      <c r="U61" s="724"/>
      <c r="V61" s="724"/>
      <c r="W61" s="724"/>
    </row>
    <row r="62" spans="1:23" s="404" customFormat="1" ht="10.5" x14ac:dyDescent="0.15">
      <c r="A62" s="237">
        <v>55</v>
      </c>
      <c r="B62" s="422" t="s">
        <v>131</v>
      </c>
      <c r="C62" s="423">
        <v>378</v>
      </c>
      <c r="D62" s="424">
        <f t="shared" si="10"/>
        <v>120.9841269841</v>
      </c>
      <c r="E62" s="244">
        <v>45732</v>
      </c>
      <c r="F62" s="244">
        <f>'COMPARATIVOS VARIABLES'!X64</f>
        <v>4938706.76</v>
      </c>
      <c r="G62" s="244">
        <f>'COMPARATIVOS VARIABLES'!O64</f>
        <v>28020726.521721777</v>
      </c>
      <c r="H62" s="244">
        <v>45</v>
      </c>
      <c r="I62" s="425">
        <f t="shared" si="11"/>
        <v>0.96301290882037449</v>
      </c>
      <c r="J62" s="426">
        <f t="shared" si="12"/>
        <v>0.64511724749974397</v>
      </c>
      <c r="K62" s="426">
        <f t="shared" si="13"/>
        <v>0.99664121376390336</v>
      </c>
      <c r="L62" s="426">
        <f t="shared" si="14"/>
        <v>0.86938720222429466</v>
      </c>
      <c r="M62" s="426">
        <f t="shared" si="15"/>
        <v>20.262549999999997</v>
      </c>
      <c r="N62" s="426">
        <f t="shared" si="16"/>
        <v>0.52059231837112452</v>
      </c>
      <c r="O62" s="425">
        <f t="shared" si="17"/>
        <v>23.294287981859064</v>
      </c>
      <c r="P62" s="427">
        <f t="shared" si="18"/>
        <v>0.80325130971927761</v>
      </c>
      <c r="Q62" s="397"/>
      <c r="R62" s="723">
        <v>2250569</v>
      </c>
      <c r="S62" s="723">
        <v>252880</v>
      </c>
      <c r="T62" s="724"/>
      <c r="U62" s="724"/>
      <c r="V62" s="724"/>
      <c r="W62" s="724"/>
    </row>
    <row r="63" spans="1:23" s="404" customFormat="1" ht="10.5" x14ac:dyDescent="0.15">
      <c r="A63" s="237">
        <v>56</v>
      </c>
      <c r="B63" s="422" t="s">
        <v>80</v>
      </c>
      <c r="C63" s="423">
        <v>304</v>
      </c>
      <c r="D63" s="424">
        <f t="shared" si="10"/>
        <v>107.2302631579</v>
      </c>
      <c r="E63" s="244">
        <v>32598</v>
      </c>
      <c r="F63" s="244">
        <f>'COMPARATIVOS VARIABLES'!X65</f>
        <v>3056213.45</v>
      </c>
      <c r="G63" s="244">
        <f>'COMPARATIVOS VARIABLES'!O65</f>
        <v>15738274.989093091</v>
      </c>
      <c r="H63" s="244">
        <v>15</v>
      </c>
      <c r="I63" s="425">
        <f t="shared" si="11"/>
        <v>0.68644045311218771</v>
      </c>
      <c r="J63" s="426">
        <f t="shared" si="12"/>
        <v>0.51882445301566704</v>
      </c>
      <c r="K63" s="426">
        <f t="shared" si="13"/>
        <v>0.88333984209314764</v>
      </c>
      <c r="L63" s="426">
        <f t="shared" si="14"/>
        <v>0.53800174616882079</v>
      </c>
      <c r="M63" s="426">
        <f t="shared" si="15"/>
        <v>11.380775000000002</v>
      </c>
      <c r="N63" s="426">
        <f t="shared" si="16"/>
        <v>0.17353077279037482</v>
      </c>
      <c r="O63" s="425">
        <f t="shared" si="17"/>
        <v>13.494471814068012</v>
      </c>
      <c r="P63" s="427">
        <f t="shared" si="18"/>
        <v>0.46532661427820704</v>
      </c>
      <c r="Q63" s="397"/>
      <c r="R63" s="723">
        <v>995722</v>
      </c>
      <c r="S63" s="723">
        <v>1580155</v>
      </c>
      <c r="T63" s="724">
        <f>S63/R63</f>
        <v>1.5869439462018515</v>
      </c>
      <c r="U63" s="724">
        <f>MIN(T63,2)</f>
        <v>1.5869439462018515</v>
      </c>
      <c r="V63" s="725">
        <f>U63*E63</f>
        <v>51731.198758287959</v>
      </c>
      <c r="W63" s="724">
        <f>V63/$V$121</f>
        <v>0.64165782963590978</v>
      </c>
    </row>
    <row r="64" spans="1:23" x14ac:dyDescent="0.2">
      <c r="A64" s="237">
        <v>57</v>
      </c>
      <c r="B64" s="422" t="s">
        <v>65</v>
      </c>
      <c r="C64" s="423">
        <v>546</v>
      </c>
      <c r="D64" s="424">
        <f t="shared" si="10"/>
        <v>15.010989010999999</v>
      </c>
      <c r="E64" s="244">
        <v>8196</v>
      </c>
      <c r="F64" s="244">
        <f>'COMPARATIVOS VARIABLES'!X66</f>
        <v>1270935.83</v>
      </c>
      <c r="G64" s="244">
        <f>'COMPARATIVOS VARIABLES'!O66</f>
        <v>26025019.590470638</v>
      </c>
      <c r="H64" s="244">
        <v>130</v>
      </c>
      <c r="I64" s="425">
        <f t="shared" si="11"/>
        <v>0.17258929853694982</v>
      </c>
      <c r="J64" s="426">
        <f t="shared" si="12"/>
        <v>0.93183602416629685</v>
      </c>
      <c r="K64" s="426">
        <f t="shared" si="13"/>
        <v>0.12365729852880457</v>
      </c>
      <c r="L64" s="426">
        <f t="shared" si="14"/>
        <v>0.22372969263927545</v>
      </c>
      <c r="M64" s="426">
        <f t="shared" si="15"/>
        <v>18.819399999999998</v>
      </c>
      <c r="N64" s="426">
        <f t="shared" si="16"/>
        <v>1.5039333641832486</v>
      </c>
      <c r="O64" s="425">
        <f t="shared" si="17"/>
        <v>21.602556379517623</v>
      </c>
      <c r="P64" s="427">
        <f t="shared" si="18"/>
        <v>0.74491573722474513</v>
      </c>
      <c r="Q64" s="397"/>
      <c r="R64" s="723">
        <v>622586</v>
      </c>
      <c r="S64" s="723">
        <v>683933</v>
      </c>
      <c r="T64" s="724"/>
      <c r="U64" s="724"/>
      <c r="V64" s="724"/>
      <c r="W64" s="724"/>
    </row>
    <row r="65" spans="1:23" x14ac:dyDescent="0.2">
      <c r="A65" s="237">
        <v>58</v>
      </c>
      <c r="B65" s="422" t="s">
        <v>134</v>
      </c>
      <c r="C65" s="423">
        <v>235</v>
      </c>
      <c r="D65" s="424">
        <f t="shared" si="10"/>
        <v>89.2808510638</v>
      </c>
      <c r="E65" s="244">
        <v>20981</v>
      </c>
      <c r="F65" s="244">
        <f>'COMPARATIVOS VARIABLES'!X67</f>
        <v>1508681.7400000002</v>
      </c>
      <c r="G65" s="244">
        <f>'COMPARATIVOS VARIABLES'!O67</f>
        <v>17315521.66507167</v>
      </c>
      <c r="H65" s="244">
        <v>63</v>
      </c>
      <c r="I65" s="425">
        <f t="shared" si="11"/>
        <v>0.44181260036648906</v>
      </c>
      <c r="J65" s="426">
        <f t="shared" si="12"/>
        <v>0.40106495545619003</v>
      </c>
      <c r="K65" s="426">
        <f t="shared" si="13"/>
        <v>0.73547644627624564</v>
      </c>
      <c r="L65" s="426">
        <f t="shared" si="14"/>
        <v>0.26558138814977567</v>
      </c>
      <c r="M65" s="426">
        <f t="shared" si="15"/>
        <v>12.521324999999999</v>
      </c>
      <c r="N65" s="426">
        <f t="shared" si="16"/>
        <v>0.7288292457195743</v>
      </c>
      <c r="O65" s="425">
        <f t="shared" si="17"/>
        <v>14.652277035601784</v>
      </c>
      <c r="P65" s="427">
        <f t="shared" si="18"/>
        <v>0.50525093226213014</v>
      </c>
      <c r="Q65" s="397"/>
      <c r="R65" s="723">
        <v>1773556</v>
      </c>
      <c r="S65" s="723">
        <v>2535908</v>
      </c>
      <c r="T65" s="724"/>
      <c r="U65" s="724"/>
      <c r="V65" s="724"/>
      <c r="W65" s="724"/>
    </row>
    <row r="66" spans="1:23" x14ac:dyDescent="0.2">
      <c r="A66" s="237">
        <v>59</v>
      </c>
      <c r="B66" s="422" t="s">
        <v>136</v>
      </c>
      <c r="C66" s="423">
        <v>330</v>
      </c>
      <c r="D66" s="424">
        <f t="shared" si="10"/>
        <v>27.354545454499998</v>
      </c>
      <c r="E66" s="244">
        <v>9027</v>
      </c>
      <c r="F66" s="244">
        <f>'COMPARATIVOS VARIABLES'!X68</f>
        <v>905578.64</v>
      </c>
      <c r="G66" s="244">
        <f>'COMPARATIVOS VARIABLES'!O68</f>
        <v>11813930.92956741</v>
      </c>
      <c r="H66" s="244">
        <v>36</v>
      </c>
      <c r="I66" s="425">
        <f t="shared" si="11"/>
        <v>0.19008828671218228</v>
      </c>
      <c r="J66" s="426">
        <f t="shared" si="12"/>
        <v>0.56319759702358596</v>
      </c>
      <c r="K66" s="426">
        <f t="shared" si="13"/>
        <v>0.22534086134551901</v>
      </c>
      <c r="L66" s="426">
        <f t="shared" si="14"/>
        <v>0.15941389486823504</v>
      </c>
      <c r="M66" s="426">
        <f t="shared" si="15"/>
        <v>8.5429750000000002</v>
      </c>
      <c r="N66" s="426">
        <f t="shared" si="16"/>
        <v>0.41647385469689957</v>
      </c>
      <c r="O66" s="425">
        <f t="shared" si="17"/>
        <v>9.9074012079342406</v>
      </c>
      <c r="P66" s="427">
        <f t="shared" si="18"/>
        <v>0.34163452441152531</v>
      </c>
      <c r="Q66" s="397"/>
      <c r="R66" s="723">
        <v>749907</v>
      </c>
      <c r="S66" s="723">
        <v>682263</v>
      </c>
      <c r="T66" s="724"/>
      <c r="U66" s="724"/>
      <c r="V66" s="724"/>
      <c r="W66" s="724"/>
    </row>
    <row r="67" spans="1:23" x14ac:dyDescent="0.2">
      <c r="A67" s="237">
        <v>60</v>
      </c>
      <c r="B67" s="422" t="s">
        <v>137</v>
      </c>
      <c r="C67" s="423">
        <v>77</v>
      </c>
      <c r="D67" s="424">
        <f t="shared" si="10"/>
        <v>122.55844155840001</v>
      </c>
      <c r="E67" s="244">
        <v>9437</v>
      </c>
      <c r="F67" s="244">
        <f>'COMPARATIVOS VARIABLES'!X69</f>
        <v>1875819.14</v>
      </c>
      <c r="G67" s="244">
        <f>'COMPARATIVOS VARIABLES'!O69</f>
        <v>14205384.270443877</v>
      </c>
      <c r="H67" s="244">
        <v>16</v>
      </c>
      <c r="I67" s="425">
        <f t="shared" si="11"/>
        <v>0.19872196318853044</v>
      </c>
      <c r="J67" s="426">
        <f t="shared" si="12"/>
        <v>0.13141277263883672</v>
      </c>
      <c r="K67" s="426">
        <f t="shared" si="13"/>
        <v>1.0096100785835236</v>
      </c>
      <c r="L67" s="426">
        <f t="shared" si="14"/>
        <v>0.33021056589385001</v>
      </c>
      <c r="M67" s="426">
        <f t="shared" si="15"/>
        <v>10.272299999999998</v>
      </c>
      <c r="N67" s="426">
        <f t="shared" si="16"/>
        <v>0.18509949097639983</v>
      </c>
      <c r="O67" s="425">
        <f t="shared" si="17"/>
        <v>11.928632908092608</v>
      </c>
      <c r="P67" s="427">
        <f t="shared" si="18"/>
        <v>0.41133216924457244</v>
      </c>
      <c r="Q67" s="397"/>
      <c r="R67" s="723">
        <v>3202047</v>
      </c>
      <c r="S67" s="723">
        <v>3378436</v>
      </c>
      <c r="T67" s="724"/>
      <c r="U67" s="724"/>
      <c r="V67" s="724"/>
      <c r="W67" s="724"/>
    </row>
    <row r="68" spans="1:23" x14ac:dyDescent="0.2">
      <c r="A68" s="237">
        <v>61</v>
      </c>
      <c r="B68" s="422" t="s">
        <v>135</v>
      </c>
      <c r="C68" s="423">
        <v>142</v>
      </c>
      <c r="D68" s="424">
        <f t="shared" si="10"/>
        <v>174.4647887324</v>
      </c>
      <c r="E68" s="244">
        <v>24774</v>
      </c>
      <c r="F68" s="244">
        <f>'COMPARATIVOS VARIABLES'!X70</f>
        <v>1625851.0299999998</v>
      </c>
      <c r="G68" s="244">
        <f>'COMPARATIVOS VARIABLES'!O70</f>
        <v>20593195.278887399</v>
      </c>
      <c r="H68" s="244">
        <v>39</v>
      </c>
      <c r="I68" s="425">
        <f t="shared" si="11"/>
        <v>0.52168463664646103</v>
      </c>
      <c r="J68" s="426">
        <f t="shared" si="12"/>
        <v>0.24234563265863396</v>
      </c>
      <c r="K68" s="426">
        <f t="shared" si="13"/>
        <v>1.4372034012707602</v>
      </c>
      <c r="L68" s="426">
        <f t="shared" si="14"/>
        <v>0.28620733056140946</v>
      </c>
      <c r="M68" s="426">
        <f t="shared" si="15"/>
        <v>14.891499999999999</v>
      </c>
      <c r="N68" s="426">
        <f t="shared" si="16"/>
        <v>0.45118000925497453</v>
      </c>
      <c r="O68" s="425">
        <f t="shared" si="17"/>
        <v>17.308436373745778</v>
      </c>
      <c r="P68" s="427">
        <f t="shared" si="18"/>
        <v>0.59684263357744027</v>
      </c>
      <c r="Q68" s="397"/>
      <c r="R68" s="723">
        <v>721956</v>
      </c>
      <c r="S68" s="723">
        <v>653284</v>
      </c>
      <c r="T68" s="724"/>
      <c r="U68" s="724"/>
      <c r="V68" s="724"/>
      <c r="W68" s="724"/>
    </row>
    <row r="69" spans="1:23" x14ac:dyDescent="0.2">
      <c r="A69" s="237">
        <v>62</v>
      </c>
      <c r="B69" s="422" t="s">
        <v>113</v>
      </c>
      <c r="C69" s="423">
        <v>170</v>
      </c>
      <c r="D69" s="424">
        <f t="shared" si="10"/>
        <v>123.6941176471</v>
      </c>
      <c r="E69" s="244">
        <v>21028</v>
      </c>
      <c r="F69" s="244">
        <f>'COMPARATIVOS VARIABLES'!X71</f>
        <v>3262804.1</v>
      </c>
      <c r="G69" s="244">
        <f>'COMPARATIVOS VARIABLES'!O71</f>
        <v>16641504.717220228</v>
      </c>
      <c r="H69" s="244">
        <v>18</v>
      </c>
      <c r="I69" s="425">
        <f t="shared" si="11"/>
        <v>0.44280231449914359</v>
      </c>
      <c r="J69" s="426">
        <f t="shared" si="12"/>
        <v>0.29013209543639279</v>
      </c>
      <c r="K69" s="426">
        <f t="shared" si="13"/>
        <v>1.018965533912249</v>
      </c>
      <c r="L69" s="426">
        <f t="shared" si="14"/>
        <v>0.57436901313512245</v>
      </c>
      <c r="M69" s="426">
        <f t="shared" si="15"/>
        <v>12.033924999999998</v>
      </c>
      <c r="N69" s="426">
        <f t="shared" si="16"/>
        <v>0.20823692734844979</v>
      </c>
      <c r="O69" s="425">
        <f t="shared" si="17"/>
        <v>14.125628569832212</v>
      </c>
      <c r="P69" s="427">
        <f t="shared" si="18"/>
        <v>0.48709064033904148</v>
      </c>
      <c r="Q69" s="397"/>
      <c r="R69" s="723">
        <v>2820968</v>
      </c>
      <c r="S69" s="723">
        <v>3155175</v>
      </c>
      <c r="T69" s="724"/>
      <c r="U69" s="724"/>
      <c r="V69" s="724"/>
      <c r="W69" s="724"/>
    </row>
    <row r="70" spans="1:23" x14ac:dyDescent="0.2">
      <c r="A70" s="237">
        <v>63</v>
      </c>
      <c r="B70" s="422" t="s">
        <v>123</v>
      </c>
      <c r="C70" s="423">
        <v>289</v>
      </c>
      <c r="D70" s="424">
        <f t="shared" si="10"/>
        <v>51.519031141900001</v>
      </c>
      <c r="E70" s="244">
        <v>14889</v>
      </c>
      <c r="F70" s="244">
        <f>'COMPARATIVOS VARIABLES'!X72</f>
        <v>3049918.2800000003</v>
      </c>
      <c r="G70" s="244">
        <f>'COMPARATIVOS VARIABLES'!O72</f>
        <v>14082964.59397989</v>
      </c>
      <c r="H70" s="244">
        <v>30</v>
      </c>
      <c r="I70" s="425">
        <f t="shared" si="11"/>
        <v>0.31352880257645754</v>
      </c>
      <c r="J70" s="426">
        <f t="shared" si="12"/>
        <v>0.49322456224186773</v>
      </c>
      <c r="K70" s="426">
        <f t="shared" si="13"/>
        <v>0.42440269652854173</v>
      </c>
      <c r="L70" s="426">
        <f t="shared" si="14"/>
        <v>0.53689357342243438</v>
      </c>
      <c r="M70" s="426">
        <f t="shared" si="15"/>
        <v>10.183774999999999</v>
      </c>
      <c r="N70" s="426">
        <f t="shared" si="16"/>
        <v>0.34706154558074964</v>
      </c>
      <c r="O70" s="425">
        <f t="shared" si="17"/>
        <v>11.985357377773592</v>
      </c>
      <c r="P70" s="427">
        <f t="shared" si="18"/>
        <v>0.41328818544046847</v>
      </c>
      <c r="Q70" s="397"/>
      <c r="R70" s="723">
        <v>2858014</v>
      </c>
      <c r="S70" s="723">
        <v>4332425</v>
      </c>
      <c r="T70" s="724"/>
      <c r="U70" s="724"/>
      <c r="V70" s="724"/>
      <c r="W70" s="724"/>
    </row>
    <row r="71" spans="1:23" x14ac:dyDescent="0.2">
      <c r="A71" s="237">
        <v>64</v>
      </c>
      <c r="B71" s="422" t="s">
        <v>74</v>
      </c>
      <c r="C71" s="423">
        <v>503</v>
      </c>
      <c r="D71" s="424">
        <f t="shared" si="10"/>
        <v>53.343936381699997</v>
      </c>
      <c r="E71" s="244">
        <v>26832</v>
      </c>
      <c r="F71" s="244">
        <f>'COMPARATIVOS VARIABLES'!X73</f>
        <v>3627283.8199999994</v>
      </c>
      <c r="G71" s="244">
        <f>'COMPARATIVOS VARIABLES'!O73</f>
        <v>23283074.670946348</v>
      </c>
      <c r="H71" s="244">
        <v>84</v>
      </c>
      <c r="I71" s="425">
        <f t="shared" si="11"/>
        <v>0.56502148100822813</v>
      </c>
      <c r="J71" s="426">
        <f t="shared" si="12"/>
        <v>0.85844967061473865</v>
      </c>
      <c r="K71" s="426">
        <f t="shared" si="13"/>
        <v>0.43943587334716194</v>
      </c>
      <c r="L71" s="426">
        <f t="shared" si="14"/>
        <v>0.63853034512687923</v>
      </c>
      <c r="M71" s="426">
        <f t="shared" si="15"/>
        <v>16.836624999999998</v>
      </c>
      <c r="N71" s="426">
        <f t="shared" si="16"/>
        <v>0.97177232762609911</v>
      </c>
      <c r="O71" s="425">
        <f t="shared" si="17"/>
        <v>19.744813216714874</v>
      </c>
      <c r="P71" s="427">
        <f t="shared" si="18"/>
        <v>0.68085562816258149</v>
      </c>
      <c r="Q71" s="397"/>
      <c r="R71" s="723">
        <v>1051444</v>
      </c>
      <c r="S71" s="723">
        <v>1090041</v>
      </c>
      <c r="T71" s="724"/>
      <c r="U71" s="724"/>
      <c r="V71" s="724"/>
      <c r="W71" s="724"/>
    </row>
    <row r="72" spans="1:23" x14ac:dyDescent="0.2">
      <c r="A72" s="237">
        <v>65</v>
      </c>
      <c r="B72" s="422" t="s">
        <v>89</v>
      </c>
      <c r="C72" s="423">
        <v>244</v>
      </c>
      <c r="D72" s="424">
        <f t="shared" ref="D72:D103" si="19">ROUND(E72/C72,10)</f>
        <v>162.5286885246</v>
      </c>
      <c r="E72" s="244">
        <v>39657</v>
      </c>
      <c r="F72" s="244">
        <f>'COMPARATIVOS VARIABLES'!X74</f>
        <v>3600353.4899999998</v>
      </c>
      <c r="G72" s="244">
        <f>'COMPARATIVOS VARIABLES'!O74</f>
        <v>21005639.995130099</v>
      </c>
      <c r="H72" s="244">
        <v>22</v>
      </c>
      <c r="I72" s="425">
        <f t="shared" ref="I72:I103" si="20">E72/$E$7%</f>
        <v>0.83508709273789883</v>
      </c>
      <c r="J72" s="426">
        <f t="shared" ref="J72:J103" si="21">C72/$C$7%</f>
        <v>0.41642488992046961</v>
      </c>
      <c r="K72" s="426">
        <f t="shared" ref="K72:K103" si="22">D72/$D$7%</f>
        <v>1.3388763752777326</v>
      </c>
      <c r="L72" s="426">
        <f t="shared" ref="L72:L103" si="23">F72/$F$7%</f>
        <v>0.63378965381001373</v>
      </c>
      <c r="M72" s="426">
        <f t="shared" ref="M72:M103" si="24">G72/$G$7%*25</f>
        <v>15.189749999999998</v>
      </c>
      <c r="N72" s="426">
        <f t="shared" ref="N72:N103" si="25">H72/$H$7%</f>
        <v>0.25451180009254976</v>
      </c>
      <c r="O72" s="425">
        <f t="shared" ref="O72:O103" si="26">J72+K72+L72+M72+N72</f>
        <v>17.833352719100766</v>
      </c>
      <c r="P72" s="427">
        <f t="shared" ref="P72:P103" si="27">O72/$O$7%</f>
        <v>0.61494319721037083</v>
      </c>
      <c r="Q72" s="397"/>
      <c r="R72" s="723">
        <v>2793053</v>
      </c>
      <c r="S72" s="723">
        <v>3273290</v>
      </c>
      <c r="T72" s="724"/>
      <c r="U72" s="724"/>
      <c r="V72" s="724"/>
      <c r="W72" s="724"/>
    </row>
    <row r="73" spans="1:23" x14ac:dyDescent="0.2">
      <c r="A73" s="237">
        <v>66</v>
      </c>
      <c r="B73" s="422" t="s">
        <v>118</v>
      </c>
      <c r="C73" s="423">
        <v>439</v>
      </c>
      <c r="D73" s="424">
        <f t="shared" si="19"/>
        <v>224.10478359909999</v>
      </c>
      <c r="E73" s="244">
        <v>98382</v>
      </c>
      <c r="F73" s="244">
        <f>'COMPARATIVOS VARIABLES'!X75</f>
        <v>9060673.1100000013</v>
      </c>
      <c r="G73" s="244">
        <f>'COMPARATIVOS VARIABLES'!O75</f>
        <v>46450782.366360269</v>
      </c>
      <c r="H73" s="244">
        <v>81</v>
      </c>
      <c r="I73" s="425">
        <f t="shared" si="20"/>
        <v>2.0717033148684965</v>
      </c>
      <c r="J73" s="426">
        <f t="shared" si="21"/>
        <v>0.74922346997986133</v>
      </c>
      <c r="K73" s="426">
        <f t="shared" si="22"/>
        <v>1.8461270011549311</v>
      </c>
      <c r="L73" s="426">
        <f t="shared" si="23"/>
        <v>1.5949991826143166</v>
      </c>
      <c r="M73" s="426">
        <f t="shared" si="24"/>
        <v>33.589824999999998</v>
      </c>
      <c r="N73" s="426">
        <f t="shared" si="25"/>
        <v>0.93706617306802409</v>
      </c>
      <c r="O73" s="425">
        <f t="shared" si="26"/>
        <v>38.717240826817132</v>
      </c>
      <c r="P73" s="427">
        <f t="shared" si="27"/>
        <v>1.3350772698902451</v>
      </c>
      <c r="Q73" s="397"/>
      <c r="R73" s="723">
        <v>26721497</v>
      </c>
      <c r="S73" s="723">
        <v>28065697</v>
      </c>
      <c r="T73" s="724"/>
      <c r="U73" s="724"/>
      <c r="V73" s="724"/>
      <c r="W73" s="724"/>
    </row>
    <row r="74" spans="1:23" x14ac:dyDescent="0.2">
      <c r="A74" s="237">
        <v>67</v>
      </c>
      <c r="B74" s="422" t="s">
        <v>120</v>
      </c>
      <c r="C74" s="423">
        <v>371</v>
      </c>
      <c r="D74" s="424">
        <f t="shared" si="19"/>
        <v>44.8005390836</v>
      </c>
      <c r="E74" s="244">
        <v>16621</v>
      </c>
      <c r="F74" s="244">
        <f>'COMPARATIVOS VARIABLES'!X76</f>
        <v>2672626.83</v>
      </c>
      <c r="G74" s="244">
        <f>'COMPARATIVOS VARIABLES'!O76</f>
        <v>16976750.015913058</v>
      </c>
      <c r="H74" s="244">
        <v>54</v>
      </c>
      <c r="I74" s="425">
        <f t="shared" si="20"/>
        <v>0.35000082125215265</v>
      </c>
      <c r="J74" s="426">
        <f t="shared" si="21"/>
        <v>0.6331706318053042</v>
      </c>
      <c r="K74" s="426">
        <f t="shared" si="22"/>
        <v>0.36905720413574833</v>
      </c>
      <c r="L74" s="426">
        <f t="shared" si="23"/>
        <v>0.4704769234614945</v>
      </c>
      <c r="M74" s="426">
        <f t="shared" si="24"/>
        <v>12.276349999999999</v>
      </c>
      <c r="N74" s="426">
        <f t="shared" si="25"/>
        <v>0.62471078204534936</v>
      </c>
      <c r="O74" s="425">
        <f t="shared" si="26"/>
        <v>14.373765541447895</v>
      </c>
      <c r="P74" s="427">
        <f t="shared" si="27"/>
        <v>0.49564708763613402</v>
      </c>
      <c r="Q74" s="397"/>
      <c r="R74" s="723">
        <v>4011784</v>
      </c>
      <c r="S74" s="723">
        <v>4665135</v>
      </c>
      <c r="T74" s="724"/>
      <c r="U74" s="724"/>
      <c r="V74" s="724"/>
      <c r="W74" s="724"/>
    </row>
    <row r="75" spans="1:23" x14ac:dyDescent="0.2">
      <c r="A75" s="237">
        <v>68</v>
      </c>
      <c r="B75" s="422" t="s">
        <v>144</v>
      </c>
      <c r="C75" s="423">
        <v>332</v>
      </c>
      <c r="D75" s="424">
        <f t="shared" si="19"/>
        <v>88.521084337299996</v>
      </c>
      <c r="E75" s="244">
        <v>29389</v>
      </c>
      <c r="F75" s="244">
        <f>'COMPARATIVOS VARIABLES'!X77</f>
        <v>2148085.71</v>
      </c>
      <c r="G75" s="244">
        <f>'COMPARATIVOS VARIABLES'!O77</f>
        <v>23471630.70467541</v>
      </c>
      <c r="H75" s="244">
        <v>81</v>
      </c>
      <c r="I75" s="425">
        <f t="shared" si="20"/>
        <v>0.61886614137413598</v>
      </c>
      <c r="J75" s="426">
        <f t="shared" si="21"/>
        <v>0.56661091579342593</v>
      </c>
      <c r="K75" s="426">
        <f t="shared" si="22"/>
        <v>0.7292176514132146</v>
      </c>
      <c r="L75" s="426">
        <f t="shared" si="23"/>
        <v>0.37813911947160994</v>
      </c>
      <c r="M75" s="426">
        <f t="shared" si="24"/>
        <v>16.972974999999998</v>
      </c>
      <c r="N75" s="426">
        <f t="shared" si="25"/>
        <v>0.93706617306802409</v>
      </c>
      <c r="O75" s="425">
        <f t="shared" si="26"/>
        <v>19.584008859746273</v>
      </c>
      <c r="P75" s="427">
        <f t="shared" si="27"/>
        <v>0.67531065033607796</v>
      </c>
      <c r="Q75" s="397"/>
      <c r="R75" s="723">
        <v>6110874</v>
      </c>
      <c r="S75" s="723">
        <v>6940099</v>
      </c>
      <c r="T75" s="724"/>
      <c r="U75" s="724"/>
      <c r="V75" s="724"/>
      <c r="W75" s="724"/>
    </row>
    <row r="76" spans="1:23" x14ac:dyDescent="0.2">
      <c r="A76" s="237">
        <v>69</v>
      </c>
      <c r="B76" s="422" t="s">
        <v>84</v>
      </c>
      <c r="C76" s="423">
        <v>285</v>
      </c>
      <c r="D76" s="424">
        <f t="shared" si="19"/>
        <v>373.64912280700003</v>
      </c>
      <c r="E76" s="244">
        <v>106490</v>
      </c>
      <c r="F76" s="244">
        <f>'COMPARATIVOS VARIABLES'!X78</f>
        <v>17529581.409999996</v>
      </c>
      <c r="G76" s="244">
        <f>'COMPARATIVOS VARIABLES'!O78</f>
        <v>67129405.213884354</v>
      </c>
      <c r="H76" s="244">
        <v>81</v>
      </c>
      <c r="I76" s="425">
        <f t="shared" si="20"/>
        <v>2.2424395316251569</v>
      </c>
      <c r="J76" s="426">
        <f t="shared" si="21"/>
        <v>0.4863979247021879</v>
      </c>
      <c r="K76" s="426">
        <f t="shared" si="22"/>
        <v>3.0780410997644934</v>
      </c>
      <c r="L76" s="426">
        <f t="shared" si="23"/>
        <v>3.0858268123217956</v>
      </c>
      <c r="M76" s="426">
        <f t="shared" si="24"/>
        <v>48.543099999999995</v>
      </c>
      <c r="N76" s="426">
        <f t="shared" si="25"/>
        <v>0.93706617306802409</v>
      </c>
      <c r="O76" s="425">
        <f t="shared" si="26"/>
        <v>56.130432009856499</v>
      </c>
      <c r="P76" s="427">
        <f t="shared" si="27"/>
        <v>1.9355321382709125</v>
      </c>
      <c r="Q76" s="397"/>
      <c r="R76" s="723">
        <v>40729907</v>
      </c>
      <c r="S76" s="723">
        <v>41607091</v>
      </c>
      <c r="T76" s="724"/>
      <c r="U76" s="724"/>
      <c r="V76" s="724"/>
      <c r="W76" s="724"/>
    </row>
    <row r="77" spans="1:23" x14ac:dyDescent="0.2">
      <c r="A77" s="237">
        <v>70</v>
      </c>
      <c r="B77" s="422" t="s">
        <v>53</v>
      </c>
      <c r="C77" s="423">
        <v>193</v>
      </c>
      <c r="D77" s="424">
        <f t="shared" si="19"/>
        <v>80.326424870500006</v>
      </c>
      <c r="E77" s="244">
        <v>15503</v>
      </c>
      <c r="F77" s="244">
        <f>'COMPARATIVOS VARIABLES'!X79</f>
        <v>2813910.15</v>
      </c>
      <c r="G77" s="244">
        <f>'COMPARATIVOS VARIABLES'!O79</f>
        <v>15911930.463501059</v>
      </c>
      <c r="H77" s="244">
        <v>10</v>
      </c>
      <c r="I77" s="425">
        <f t="shared" si="20"/>
        <v>0.32645825954347646</v>
      </c>
      <c r="J77" s="426">
        <f t="shared" si="21"/>
        <v>0.32938526128955181</v>
      </c>
      <c r="K77" s="426">
        <f t="shared" si="22"/>
        <v>0.66171180944068253</v>
      </c>
      <c r="L77" s="426">
        <f t="shared" si="23"/>
        <v>0.4953477887030987</v>
      </c>
      <c r="M77" s="426">
        <f t="shared" si="24"/>
        <v>11.506349999999998</v>
      </c>
      <c r="N77" s="426">
        <f t="shared" si="25"/>
        <v>0.11568718186024989</v>
      </c>
      <c r="O77" s="425">
        <f t="shared" si="26"/>
        <v>13.108482041293582</v>
      </c>
      <c r="P77" s="427">
        <f t="shared" si="27"/>
        <v>0.45201662211357152</v>
      </c>
      <c r="Q77" s="397"/>
      <c r="R77" s="723">
        <v>8021510</v>
      </c>
      <c r="S77" s="723">
        <v>8357796</v>
      </c>
      <c r="T77" s="724"/>
      <c r="U77" s="724"/>
      <c r="V77" s="724"/>
      <c r="W77" s="724"/>
    </row>
    <row r="78" spans="1:23" x14ac:dyDescent="0.2">
      <c r="A78" s="237">
        <v>71</v>
      </c>
      <c r="B78" s="422" t="s">
        <v>143</v>
      </c>
      <c r="C78" s="423">
        <v>719</v>
      </c>
      <c r="D78" s="424">
        <f t="shared" si="19"/>
        <v>96.3282336579</v>
      </c>
      <c r="E78" s="244">
        <v>69260</v>
      </c>
      <c r="F78" s="244">
        <f>'COMPARATIVOS VARIABLES'!X80</f>
        <v>11370084.970000001</v>
      </c>
      <c r="G78" s="244">
        <f>'COMPARATIVOS VARIABLES'!O80</f>
        <v>34967567.795181595</v>
      </c>
      <c r="H78" s="244">
        <v>50</v>
      </c>
      <c r="I78" s="425">
        <f t="shared" si="20"/>
        <v>1.4584595920777386</v>
      </c>
      <c r="J78" s="426">
        <f t="shared" si="21"/>
        <v>1.2270880977574494</v>
      </c>
      <c r="K78" s="426">
        <f t="shared" si="22"/>
        <v>0.79353126815685071</v>
      </c>
      <c r="L78" s="426">
        <f t="shared" si="23"/>
        <v>2.0015374148516574</v>
      </c>
      <c r="M78" s="426">
        <f t="shared" si="24"/>
        <v>25.285999999999998</v>
      </c>
      <c r="N78" s="426">
        <f t="shared" si="25"/>
        <v>0.57843590930124944</v>
      </c>
      <c r="O78" s="425">
        <f t="shared" si="26"/>
        <v>29.886592690067204</v>
      </c>
      <c r="P78" s="427">
        <f t="shared" si="27"/>
        <v>1.0305721617264547</v>
      </c>
      <c r="Q78" s="397"/>
      <c r="R78" s="723">
        <v>7096393</v>
      </c>
      <c r="S78" s="723">
        <v>7185367.0599999996</v>
      </c>
      <c r="T78" s="724"/>
      <c r="U78" s="724"/>
      <c r="V78" s="724"/>
      <c r="W78" s="724"/>
    </row>
    <row r="79" spans="1:23" x14ac:dyDescent="0.2">
      <c r="A79" s="237">
        <v>72</v>
      </c>
      <c r="B79" s="422" t="s">
        <v>132</v>
      </c>
      <c r="C79" s="423">
        <v>235</v>
      </c>
      <c r="D79" s="424">
        <f t="shared" si="19"/>
        <v>59.408510638300001</v>
      </c>
      <c r="E79" s="244">
        <v>13961</v>
      </c>
      <c r="F79" s="244">
        <f>'COMPARATIVOS VARIABLES'!X81</f>
        <v>1741160.3200000003</v>
      </c>
      <c r="G79" s="244">
        <f>'COMPARATIVOS VARIABLES'!O81</f>
        <v>13066615.074440669</v>
      </c>
      <c r="H79" s="244">
        <v>31</v>
      </c>
      <c r="I79" s="425">
        <f t="shared" si="20"/>
        <v>0.29398721289340612</v>
      </c>
      <c r="J79" s="426">
        <f t="shared" si="21"/>
        <v>0.40106495545619003</v>
      </c>
      <c r="K79" s="426">
        <f t="shared" si="22"/>
        <v>0.48939453155075829</v>
      </c>
      <c r="L79" s="426">
        <f t="shared" si="23"/>
        <v>0.30650584713573031</v>
      </c>
      <c r="M79" s="426">
        <f t="shared" si="24"/>
        <v>9.4488249999999994</v>
      </c>
      <c r="N79" s="426">
        <f t="shared" si="25"/>
        <v>0.35863026376677465</v>
      </c>
      <c r="O79" s="425">
        <f t="shared" si="26"/>
        <v>11.004420597909453</v>
      </c>
      <c r="P79" s="427">
        <f t="shared" si="27"/>
        <v>0.37946277923825678</v>
      </c>
      <c r="Q79" s="397"/>
      <c r="R79" s="723">
        <v>1097162</v>
      </c>
      <c r="S79" s="723">
        <v>1103763</v>
      </c>
      <c r="T79" s="724"/>
      <c r="U79" s="724"/>
      <c r="V79" s="724"/>
      <c r="W79" s="724"/>
    </row>
    <row r="80" spans="1:23" x14ac:dyDescent="0.2">
      <c r="A80" s="237">
        <v>73</v>
      </c>
      <c r="B80" s="422" t="s">
        <v>85</v>
      </c>
      <c r="C80" s="423">
        <v>213</v>
      </c>
      <c r="D80" s="424">
        <f t="shared" si="19"/>
        <v>127.5868544601</v>
      </c>
      <c r="E80" s="244">
        <v>27176</v>
      </c>
      <c r="F80" s="244">
        <f>'COMPARATIVOS VARIABLES'!X82</f>
        <v>4207485.91</v>
      </c>
      <c r="G80" s="244">
        <f>'COMPARATIVOS VARIABLES'!O82</f>
        <v>18600254.112707462</v>
      </c>
      <c r="H80" s="244">
        <v>16</v>
      </c>
      <c r="I80" s="425">
        <f t="shared" si="20"/>
        <v>0.5722653461493592</v>
      </c>
      <c r="J80" s="426">
        <f t="shared" si="21"/>
        <v>0.36351844898795094</v>
      </c>
      <c r="K80" s="426">
        <f t="shared" si="22"/>
        <v>1.0510330624292885</v>
      </c>
      <c r="L80" s="426">
        <f t="shared" si="23"/>
        <v>0.74066645003499676</v>
      </c>
      <c r="M80" s="426">
        <f t="shared" si="24"/>
        <v>13.450350000000002</v>
      </c>
      <c r="N80" s="426">
        <f t="shared" si="25"/>
        <v>0.18509949097639983</v>
      </c>
      <c r="O80" s="425">
        <f t="shared" si="26"/>
        <v>15.790667452428638</v>
      </c>
      <c r="P80" s="427">
        <f t="shared" si="27"/>
        <v>0.54450577422167679</v>
      </c>
      <c r="Q80" s="397"/>
      <c r="R80" s="723">
        <v>6779172</v>
      </c>
      <c r="S80" s="723">
        <v>6662254</v>
      </c>
      <c r="T80" s="724"/>
      <c r="U80" s="724"/>
      <c r="V80" s="724"/>
      <c r="W80" s="724"/>
    </row>
    <row r="81" spans="1:23" x14ac:dyDescent="0.2">
      <c r="A81" s="237">
        <v>74</v>
      </c>
      <c r="B81" s="244" t="s">
        <v>133</v>
      </c>
      <c r="C81" s="423">
        <v>131</v>
      </c>
      <c r="D81" s="424">
        <f t="shared" si="19"/>
        <v>80.557251908400005</v>
      </c>
      <c r="E81" s="244">
        <v>10553</v>
      </c>
      <c r="F81" s="244">
        <f>'COMPARATIVOS VARIABLES'!X83</f>
        <v>1407699</v>
      </c>
      <c r="G81" s="244">
        <f>'COMPARATIVOS VARIABLES'!O83</f>
        <v>10378568.001741389</v>
      </c>
      <c r="H81" s="244">
        <v>12</v>
      </c>
      <c r="I81" s="425">
        <f t="shared" si="20"/>
        <v>0.22222240940220003</v>
      </c>
      <c r="J81" s="426">
        <f t="shared" si="21"/>
        <v>0.22357237942451444</v>
      </c>
      <c r="K81" s="426">
        <f t="shared" si="22"/>
        <v>0.6636133129267755</v>
      </c>
      <c r="L81" s="426">
        <f t="shared" si="23"/>
        <v>0.24780485148381989</v>
      </c>
      <c r="M81" s="426">
        <f t="shared" si="24"/>
        <v>7.5050249999999981</v>
      </c>
      <c r="N81" s="426">
        <f t="shared" si="25"/>
        <v>0.13882461823229986</v>
      </c>
      <c r="O81" s="425">
        <f t="shared" si="26"/>
        <v>8.778840162067409</v>
      </c>
      <c r="P81" s="427">
        <f t="shared" si="27"/>
        <v>0.30271862627818635</v>
      </c>
      <c r="Q81" s="397"/>
      <c r="R81" s="723">
        <v>1486810</v>
      </c>
      <c r="S81" s="723">
        <v>1661289</v>
      </c>
      <c r="T81" s="724"/>
      <c r="U81" s="724"/>
      <c r="V81" s="724"/>
      <c r="W81" s="724"/>
    </row>
    <row r="82" spans="1:23" x14ac:dyDescent="0.2">
      <c r="A82" s="237">
        <v>75</v>
      </c>
      <c r="B82" s="422" t="s">
        <v>146</v>
      </c>
      <c r="C82" s="423">
        <v>481</v>
      </c>
      <c r="D82" s="424">
        <f t="shared" si="19"/>
        <v>164.10602910599999</v>
      </c>
      <c r="E82" s="244">
        <v>78935</v>
      </c>
      <c r="F82" s="244">
        <f>'COMPARATIVOS VARIABLES'!X84</f>
        <v>9833400.4499999993</v>
      </c>
      <c r="G82" s="244">
        <f>'COMPARATIVOS VARIABLES'!O84</f>
        <v>34995329.162083767</v>
      </c>
      <c r="H82" s="244">
        <v>48</v>
      </c>
      <c r="I82" s="425">
        <f t="shared" si="20"/>
        <v>1.6621932991720516</v>
      </c>
      <c r="J82" s="426">
        <f t="shared" si="21"/>
        <v>0.82090316414649955</v>
      </c>
      <c r="K82" s="426">
        <f t="shared" si="22"/>
        <v>1.3518701676929323</v>
      </c>
      <c r="L82" s="426">
        <f t="shared" si="23"/>
        <v>1.7310265462241414</v>
      </c>
      <c r="M82" s="426">
        <f t="shared" si="24"/>
        <v>25.306075</v>
      </c>
      <c r="N82" s="426">
        <f t="shared" si="25"/>
        <v>0.55529847292919943</v>
      </c>
      <c r="O82" s="425">
        <f t="shared" si="26"/>
        <v>29.765173350992772</v>
      </c>
      <c r="P82" s="427">
        <f t="shared" si="27"/>
        <v>1.0263852879652673</v>
      </c>
      <c r="Q82" s="397"/>
      <c r="R82" s="723">
        <v>10702878</v>
      </c>
      <c r="S82" s="723">
        <v>11066344</v>
      </c>
      <c r="T82" s="724"/>
      <c r="U82" s="724"/>
      <c r="V82" s="724"/>
      <c r="W82" s="724"/>
    </row>
    <row r="83" spans="1:23" x14ac:dyDescent="0.2">
      <c r="A83" s="237">
        <v>76</v>
      </c>
      <c r="B83" s="422" t="s">
        <v>148</v>
      </c>
      <c r="C83" s="423">
        <v>128</v>
      </c>
      <c r="D83" s="424">
        <f t="shared" si="19"/>
        <v>613.1015625</v>
      </c>
      <c r="E83" s="244">
        <v>78477</v>
      </c>
      <c r="F83" s="244">
        <f>'COMPARATIVOS VARIABLES'!X85</f>
        <v>13436825.489999998</v>
      </c>
      <c r="G83" s="244">
        <f>'COMPARATIVOS VARIABLES'!O85</f>
        <v>63123194.50825116</v>
      </c>
      <c r="H83" s="244">
        <v>33</v>
      </c>
      <c r="I83" s="425">
        <f t="shared" si="20"/>
        <v>1.6525488508155455</v>
      </c>
      <c r="J83" s="426">
        <f t="shared" si="21"/>
        <v>0.21845240126975457</v>
      </c>
      <c r="K83" s="426">
        <f t="shared" si="22"/>
        <v>5.050598790458273</v>
      </c>
      <c r="L83" s="426">
        <f t="shared" si="23"/>
        <v>2.3653569015559825</v>
      </c>
      <c r="M83" s="426">
        <f t="shared" si="24"/>
        <v>45.646100000000004</v>
      </c>
      <c r="N83" s="426">
        <f t="shared" si="25"/>
        <v>0.38176770013882461</v>
      </c>
      <c r="O83" s="425">
        <f t="shared" si="26"/>
        <v>53.662275793422836</v>
      </c>
      <c r="P83" s="427">
        <f t="shared" si="27"/>
        <v>1.8504233032214761</v>
      </c>
      <c r="Q83" s="397"/>
      <c r="R83" s="723">
        <v>24112933</v>
      </c>
      <c r="S83" s="723">
        <v>22573387.460000001</v>
      </c>
      <c r="T83" s="724"/>
      <c r="U83" s="724"/>
      <c r="V83" s="724"/>
      <c r="W83" s="724"/>
    </row>
    <row r="84" spans="1:23" x14ac:dyDescent="0.2">
      <c r="A84" s="237">
        <v>77</v>
      </c>
      <c r="B84" s="422" t="s">
        <v>45</v>
      </c>
      <c r="C84" s="423">
        <v>468</v>
      </c>
      <c r="D84" s="424">
        <f t="shared" si="19"/>
        <v>37.771367521400002</v>
      </c>
      <c r="E84" s="244">
        <v>17677</v>
      </c>
      <c r="F84" s="244">
        <f>'COMPARATIVOS VARIABLES'!X86</f>
        <v>2896397.6799999997</v>
      </c>
      <c r="G84" s="244">
        <f>'COMPARATIVOS VARIABLES'!O86</f>
        <v>21648714.946247492</v>
      </c>
      <c r="H84" s="244">
        <v>78</v>
      </c>
      <c r="I84" s="425">
        <f t="shared" si="20"/>
        <v>0.37223780261562495</v>
      </c>
      <c r="J84" s="426">
        <f t="shared" si="21"/>
        <v>0.79871659214254009</v>
      </c>
      <c r="K84" s="426">
        <f t="shared" si="22"/>
        <v>0.31115240081864537</v>
      </c>
      <c r="L84" s="426">
        <f t="shared" si="23"/>
        <v>0.509868513745112</v>
      </c>
      <c r="M84" s="426">
        <f t="shared" si="24"/>
        <v>15.654775000000001</v>
      </c>
      <c r="N84" s="426">
        <f t="shared" si="25"/>
        <v>0.90236001850994907</v>
      </c>
      <c r="O84" s="425">
        <f t="shared" si="26"/>
        <v>18.176872525216247</v>
      </c>
      <c r="P84" s="427">
        <f t="shared" si="27"/>
        <v>0.62678870776607709</v>
      </c>
      <c r="Q84" s="397"/>
      <c r="R84" s="723">
        <v>737127</v>
      </c>
      <c r="S84" s="723">
        <v>769697</v>
      </c>
      <c r="T84" s="724"/>
      <c r="U84" s="724"/>
      <c r="V84" s="724"/>
      <c r="W84" s="724"/>
    </row>
    <row r="85" spans="1:23" x14ac:dyDescent="0.2">
      <c r="A85" s="237">
        <v>78</v>
      </c>
      <c r="B85" s="422" t="s">
        <v>141</v>
      </c>
      <c r="C85" s="423">
        <v>104</v>
      </c>
      <c r="D85" s="424">
        <f t="shared" si="19"/>
        <v>123.19230769230001</v>
      </c>
      <c r="E85" s="244">
        <v>12812</v>
      </c>
      <c r="F85" s="244">
        <f>'COMPARATIVOS VARIABLES'!X87</f>
        <v>1701822.68</v>
      </c>
      <c r="G85" s="244">
        <f>'COMPARATIVOS VARIABLES'!O87</f>
        <v>14034978.569994569</v>
      </c>
      <c r="H85" s="244">
        <v>21</v>
      </c>
      <c r="I85" s="425">
        <f t="shared" si="20"/>
        <v>0.26979186101212799</v>
      </c>
      <c r="J85" s="426">
        <f t="shared" si="21"/>
        <v>0.17749257603167559</v>
      </c>
      <c r="K85" s="426">
        <f t="shared" si="22"/>
        <v>1.0148317314466049</v>
      </c>
      <c r="L85" s="426">
        <f t="shared" si="23"/>
        <v>0.29958103008469589</v>
      </c>
      <c r="M85" s="426">
        <f t="shared" si="24"/>
        <v>10.149075</v>
      </c>
      <c r="N85" s="426">
        <f t="shared" si="25"/>
        <v>0.24294308190652478</v>
      </c>
      <c r="O85" s="425">
        <f t="shared" si="26"/>
        <v>11.8839234194695</v>
      </c>
      <c r="P85" s="427">
        <f t="shared" si="27"/>
        <v>0.40979046274032732</v>
      </c>
      <c r="Q85" s="397"/>
      <c r="R85" s="723">
        <v>4094883</v>
      </c>
      <c r="S85" s="723">
        <v>5109218</v>
      </c>
      <c r="T85" s="724"/>
      <c r="U85" s="724"/>
      <c r="V85" s="724"/>
      <c r="W85" s="724"/>
    </row>
    <row r="86" spans="1:23" x14ac:dyDescent="0.2">
      <c r="A86" s="237">
        <v>79</v>
      </c>
      <c r="B86" s="422" t="s">
        <v>138</v>
      </c>
      <c r="C86" s="423">
        <v>488</v>
      </c>
      <c r="D86" s="424">
        <f t="shared" si="19"/>
        <v>102.2459016393</v>
      </c>
      <c r="E86" s="244">
        <v>49896</v>
      </c>
      <c r="F86" s="244">
        <f>'COMPARATIVOS VARIABLES'!X88</f>
        <v>5388421.0199999996</v>
      </c>
      <c r="G86" s="244">
        <f>'COMPARATIVOS VARIABLES'!O88</f>
        <v>28889245.898205362</v>
      </c>
      <c r="H86" s="244">
        <v>81</v>
      </c>
      <c r="I86" s="425">
        <f t="shared" si="20"/>
        <v>1.0506973694240664</v>
      </c>
      <c r="J86" s="426">
        <f t="shared" si="21"/>
        <v>0.83284977984093922</v>
      </c>
      <c r="K86" s="426">
        <f t="shared" si="22"/>
        <v>0.84227974406567296</v>
      </c>
      <c r="L86" s="426">
        <f t="shared" si="23"/>
        <v>0.94855283025234316</v>
      </c>
      <c r="M86" s="426">
        <f t="shared" si="24"/>
        <v>20.890599999999999</v>
      </c>
      <c r="N86" s="426">
        <f t="shared" si="25"/>
        <v>0.93706617306802409</v>
      </c>
      <c r="O86" s="425">
        <f t="shared" si="26"/>
        <v>24.45134852722698</v>
      </c>
      <c r="P86" s="427">
        <f t="shared" si="27"/>
        <v>0.84314994921472297</v>
      </c>
      <c r="Q86" s="397"/>
      <c r="R86" s="723">
        <v>6576496</v>
      </c>
      <c r="S86" s="723">
        <v>7223767</v>
      </c>
      <c r="T86" s="724"/>
      <c r="U86" s="724"/>
      <c r="V86" s="724"/>
      <c r="W86" s="724"/>
    </row>
    <row r="87" spans="1:23" x14ac:dyDescent="0.2">
      <c r="A87" s="237">
        <v>80</v>
      </c>
      <c r="B87" s="422" t="s">
        <v>93</v>
      </c>
      <c r="C87" s="423">
        <v>250</v>
      </c>
      <c r="D87" s="424">
        <f t="shared" si="19"/>
        <v>79.331999999999994</v>
      </c>
      <c r="E87" s="244">
        <v>19833</v>
      </c>
      <c r="F87" s="244">
        <f>'COMPARATIVOS VARIABLES'!X89</f>
        <v>1012659.7500000002</v>
      </c>
      <c r="G87" s="244">
        <f>'COMPARATIVOS VARIABLES'!O89</f>
        <v>15857583.179851981</v>
      </c>
      <c r="H87" s="244">
        <v>61</v>
      </c>
      <c r="I87" s="425">
        <f t="shared" si="20"/>
        <v>0.41763830623271425</v>
      </c>
      <c r="J87" s="426">
        <f t="shared" si="21"/>
        <v>0.4266648462299894</v>
      </c>
      <c r="K87" s="426">
        <f t="shared" si="22"/>
        <v>0.65351995126359785</v>
      </c>
      <c r="L87" s="426">
        <f t="shared" si="23"/>
        <v>0.17826396051456472</v>
      </c>
      <c r="M87" s="426">
        <f t="shared" si="24"/>
        <v>11.46705</v>
      </c>
      <c r="N87" s="426">
        <f t="shared" si="25"/>
        <v>0.70569180934752429</v>
      </c>
      <c r="O87" s="425">
        <f t="shared" si="26"/>
        <v>13.431190567355676</v>
      </c>
      <c r="P87" s="427">
        <f t="shared" si="27"/>
        <v>0.46314450232260923</v>
      </c>
      <c r="Q87" s="397"/>
      <c r="R87" s="723">
        <v>1087348</v>
      </c>
      <c r="S87" s="723">
        <v>1316314</v>
      </c>
      <c r="T87" s="724"/>
      <c r="U87" s="724"/>
      <c r="V87" s="724"/>
      <c r="W87" s="724"/>
    </row>
    <row r="88" spans="1:23" x14ac:dyDescent="0.2">
      <c r="A88" s="237">
        <v>81</v>
      </c>
      <c r="B88" s="422" t="s">
        <v>116</v>
      </c>
      <c r="C88" s="423">
        <v>268</v>
      </c>
      <c r="D88" s="424">
        <f t="shared" si="19"/>
        <v>33.865671641799999</v>
      </c>
      <c r="E88" s="244">
        <v>9076</v>
      </c>
      <c r="F88" s="244">
        <f>'COMPARATIVOS VARIABLES'!X90</f>
        <v>963508.09</v>
      </c>
      <c r="G88" s="244">
        <f>'COMPARATIVOS VARIABLES'!O90</f>
        <v>14860040.862796919</v>
      </c>
      <c r="H88" s="244">
        <v>76</v>
      </c>
      <c r="I88" s="425">
        <f t="shared" si="20"/>
        <v>0.19112011633984341</v>
      </c>
      <c r="J88" s="426">
        <f t="shared" si="21"/>
        <v>0.45738471515854862</v>
      </c>
      <c r="K88" s="426">
        <f t="shared" si="22"/>
        <v>0.27897811829851948</v>
      </c>
      <c r="L88" s="426">
        <f t="shared" si="23"/>
        <v>0.16961152856250447</v>
      </c>
      <c r="M88" s="426">
        <f t="shared" si="24"/>
        <v>10.745699999999999</v>
      </c>
      <c r="N88" s="426">
        <f t="shared" si="25"/>
        <v>0.87922258213789917</v>
      </c>
      <c r="O88" s="425">
        <f t="shared" si="26"/>
        <v>12.530896944157471</v>
      </c>
      <c r="P88" s="427">
        <f t="shared" si="27"/>
        <v>0.43209989462611942</v>
      </c>
      <c r="Q88" s="397"/>
      <c r="R88" s="723">
        <v>126625</v>
      </c>
      <c r="S88" s="723">
        <v>139002</v>
      </c>
      <c r="T88" s="724"/>
      <c r="U88" s="724"/>
      <c r="V88" s="724"/>
      <c r="W88" s="724"/>
    </row>
    <row r="89" spans="1:23" x14ac:dyDescent="0.2">
      <c r="A89" s="237">
        <v>82</v>
      </c>
      <c r="B89" s="422" t="s">
        <v>152</v>
      </c>
      <c r="C89" s="423">
        <v>787</v>
      </c>
      <c r="D89" s="424">
        <f t="shared" si="19"/>
        <v>101.06734434560001</v>
      </c>
      <c r="E89" s="244">
        <v>79540</v>
      </c>
      <c r="F89" s="244">
        <f>'COMPARATIVOS VARIABLES'!X91</f>
        <v>6515790.2699999996</v>
      </c>
      <c r="G89" s="244">
        <f>'COMPARATIVOS VARIABLES'!O91</f>
        <v>44997303.677317888</v>
      </c>
      <c r="H89" s="244">
        <v>189</v>
      </c>
      <c r="I89" s="425">
        <f t="shared" si="20"/>
        <v>1.6749332364115408</v>
      </c>
      <c r="J89" s="426">
        <f t="shared" si="21"/>
        <v>1.3431409359320066</v>
      </c>
      <c r="K89" s="426">
        <f t="shared" si="22"/>
        <v>0.83257104259413339</v>
      </c>
      <c r="L89" s="426">
        <f t="shared" si="23"/>
        <v>1.1470097230708189</v>
      </c>
      <c r="M89" s="426">
        <f t="shared" si="24"/>
        <v>32.538775000000001</v>
      </c>
      <c r="N89" s="426">
        <f t="shared" si="25"/>
        <v>2.186487737158723</v>
      </c>
      <c r="O89" s="425">
        <f t="shared" si="26"/>
        <v>38.047984438755684</v>
      </c>
      <c r="P89" s="427">
        <f t="shared" si="27"/>
        <v>1.3119994634053675</v>
      </c>
      <c r="Q89" s="397"/>
      <c r="R89" s="723">
        <v>11017479</v>
      </c>
      <c r="S89" s="723">
        <v>12096161</v>
      </c>
      <c r="T89" s="724"/>
      <c r="U89" s="724"/>
      <c r="V89" s="724"/>
      <c r="W89" s="724"/>
    </row>
    <row r="90" spans="1:23" x14ac:dyDescent="0.2">
      <c r="A90" s="237">
        <v>83</v>
      </c>
      <c r="B90" s="422" t="s">
        <v>153</v>
      </c>
      <c r="C90" s="423">
        <v>714</v>
      </c>
      <c r="D90" s="424">
        <f t="shared" si="19"/>
        <v>46.852941176500003</v>
      </c>
      <c r="E90" s="244">
        <v>33453</v>
      </c>
      <c r="F90" s="244">
        <f>'COMPARATIVOS VARIABLES'!X92</f>
        <v>3720493.2700000005</v>
      </c>
      <c r="G90" s="244">
        <f>'COMPARATIVOS VARIABLES'!O92</f>
        <v>28886099.840436868</v>
      </c>
      <c r="H90" s="244">
        <v>126</v>
      </c>
      <c r="I90" s="425">
        <f t="shared" si="20"/>
        <v>0.70444482722749913</v>
      </c>
      <c r="J90" s="426">
        <f t="shared" si="21"/>
        <v>1.2185548008328497</v>
      </c>
      <c r="K90" s="426">
        <f t="shared" si="22"/>
        <v>0.38596445109441968</v>
      </c>
      <c r="L90" s="426">
        <f t="shared" si="23"/>
        <v>0.65493850760631467</v>
      </c>
      <c r="M90" s="426">
        <f t="shared" si="24"/>
        <v>20.888324999999998</v>
      </c>
      <c r="N90" s="426">
        <f t="shared" si="25"/>
        <v>1.4576584914391486</v>
      </c>
      <c r="O90" s="425">
        <f t="shared" si="26"/>
        <v>24.605441250972731</v>
      </c>
      <c r="P90" s="427">
        <f t="shared" si="27"/>
        <v>0.84846349141285227</v>
      </c>
      <c r="Q90" s="397"/>
      <c r="R90" s="723">
        <v>4646651</v>
      </c>
      <c r="S90" s="723">
        <v>7441321</v>
      </c>
      <c r="T90" s="724"/>
      <c r="U90" s="724"/>
      <c r="V90" s="724"/>
      <c r="W90" s="724"/>
    </row>
    <row r="91" spans="1:23" x14ac:dyDescent="0.2">
      <c r="A91" s="237">
        <v>84</v>
      </c>
      <c r="B91" s="422" t="s">
        <v>107</v>
      </c>
      <c r="C91" s="423">
        <v>316</v>
      </c>
      <c r="D91" s="424">
        <f t="shared" si="19"/>
        <v>100.3670886076</v>
      </c>
      <c r="E91" s="244">
        <v>31716</v>
      </c>
      <c r="F91" s="244">
        <f>'COMPARATIVOS VARIABLES'!X93</f>
        <v>3624020.09</v>
      </c>
      <c r="G91" s="244">
        <f>'COMPARATIVOS VARIABLES'!O93</f>
        <v>17149057.17984882</v>
      </c>
      <c r="H91" s="244">
        <v>25</v>
      </c>
      <c r="I91" s="425">
        <f t="shared" si="20"/>
        <v>0.66786751981428749</v>
      </c>
      <c r="J91" s="426">
        <f t="shared" si="21"/>
        <v>0.53930436563470663</v>
      </c>
      <c r="K91" s="426">
        <f t="shared" si="22"/>
        <v>0.82680248645323406</v>
      </c>
      <c r="L91" s="426">
        <f t="shared" si="23"/>
        <v>0.63795581312257066</v>
      </c>
      <c r="M91" s="426">
        <f t="shared" si="24"/>
        <v>12.40095</v>
      </c>
      <c r="N91" s="426">
        <f t="shared" si="25"/>
        <v>0.28921795465062472</v>
      </c>
      <c r="O91" s="425">
        <f t="shared" si="26"/>
        <v>14.694230619861136</v>
      </c>
      <c r="P91" s="427">
        <f t="shared" si="27"/>
        <v>0.50669760758141813</v>
      </c>
      <c r="Q91" s="397"/>
      <c r="R91" s="723">
        <v>2667258</v>
      </c>
      <c r="S91" s="723">
        <v>2971555</v>
      </c>
      <c r="T91" s="724"/>
      <c r="U91" s="724"/>
      <c r="V91" s="724"/>
      <c r="W91" s="724"/>
    </row>
    <row r="92" spans="1:23" x14ac:dyDescent="0.2">
      <c r="A92" s="237">
        <v>85</v>
      </c>
      <c r="B92" s="422" t="s">
        <v>124</v>
      </c>
      <c r="C92" s="423">
        <v>385</v>
      </c>
      <c r="D92" s="424">
        <f t="shared" si="19"/>
        <v>91.574025973999994</v>
      </c>
      <c r="E92" s="244">
        <v>35256</v>
      </c>
      <c r="F92" s="244">
        <f>'COMPARATIVOS VARIABLES'!X94</f>
        <v>5134457.0399999991</v>
      </c>
      <c r="G92" s="244">
        <f>'COMPARATIVOS VARIABLES'!O94</f>
        <v>22791563.645730719</v>
      </c>
      <c r="H92" s="244">
        <v>41</v>
      </c>
      <c r="I92" s="425">
        <f t="shared" si="20"/>
        <v>0.74241194597592763</v>
      </c>
      <c r="J92" s="426">
        <f t="shared" si="21"/>
        <v>0.65706386319418364</v>
      </c>
      <c r="K92" s="426">
        <f t="shared" si="22"/>
        <v>0.75436712791231697</v>
      </c>
      <c r="L92" s="426">
        <f t="shared" si="23"/>
        <v>0.90384618036047004</v>
      </c>
      <c r="M92" s="426">
        <f t="shared" si="24"/>
        <v>16.481199999999998</v>
      </c>
      <c r="N92" s="426">
        <f t="shared" si="25"/>
        <v>0.47431744562702455</v>
      </c>
      <c r="O92" s="425">
        <f t="shared" si="26"/>
        <v>19.270794617093994</v>
      </c>
      <c r="P92" s="427">
        <f t="shared" si="27"/>
        <v>0.66451015921013734</v>
      </c>
      <c r="Q92" s="397"/>
      <c r="R92" s="723">
        <v>8543047</v>
      </c>
      <c r="S92" s="723">
        <v>6984820.5099999998</v>
      </c>
      <c r="T92" s="724"/>
      <c r="U92" s="724"/>
      <c r="V92" s="724"/>
      <c r="W92" s="724"/>
    </row>
    <row r="93" spans="1:23" x14ac:dyDescent="0.2">
      <c r="A93" s="237">
        <v>86</v>
      </c>
      <c r="B93" s="422" t="s">
        <v>129</v>
      </c>
      <c r="C93" s="423">
        <v>228</v>
      </c>
      <c r="D93" s="424">
        <f t="shared" si="19"/>
        <v>68.131578947400001</v>
      </c>
      <c r="E93" s="244">
        <v>15534</v>
      </c>
      <c r="F93" s="244">
        <f>'COMPARATIVOS VARIABLES'!X95</f>
        <v>2398079.15</v>
      </c>
      <c r="G93" s="244">
        <f>'COMPARATIVOS VARIABLES'!O95</f>
        <v>13541012.928278251</v>
      </c>
      <c r="H93" s="244">
        <v>16</v>
      </c>
      <c r="I93" s="425">
        <f t="shared" si="20"/>
        <v>0.32711104971607841</v>
      </c>
      <c r="J93" s="426">
        <f t="shared" si="21"/>
        <v>0.38911833976175031</v>
      </c>
      <c r="K93" s="426">
        <f t="shared" si="22"/>
        <v>0.56125329190259698</v>
      </c>
      <c r="L93" s="426">
        <f t="shared" si="23"/>
        <v>0.42214681378064134</v>
      </c>
      <c r="M93" s="426">
        <f t="shared" si="24"/>
        <v>9.7918749999999992</v>
      </c>
      <c r="N93" s="426">
        <f t="shared" si="25"/>
        <v>0.18509949097639983</v>
      </c>
      <c r="O93" s="425">
        <f t="shared" si="26"/>
        <v>11.349492936421388</v>
      </c>
      <c r="P93" s="427">
        <f t="shared" si="27"/>
        <v>0.39136182539384073</v>
      </c>
      <c r="Q93" s="397"/>
      <c r="R93" s="723">
        <v>3024749</v>
      </c>
      <c r="S93" s="723">
        <v>3480528</v>
      </c>
      <c r="T93" s="724"/>
      <c r="U93" s="724"/>
      <c r="V93" s="724"/>
      <c r="W93" s="724"/>
    </row>
    <row r="94" spans="1:23" x14ac:dyDescent="0.2">
      <c r="A94" s="237">
        <v>87</v>
      </c>
      <c r="B94" s="422" t="s">
        <v>154</v>
      </c>
      <c r="C94" s="423">
        <v>185</v>
      </c>
      <c r="D94" s="424">
        <f t="shared" si="19"/>
        <v>84.264864864900005</v>
      </c>
      <c r="E94" s="244">
        <v>15589</v>
      </c>
      <c r="F94" s="244">
        <f>'COMPARATIVOS VARIABLES'!X96</f>
        <v>1531010.8100000003</v>
      </c>
      <c r="G94" s="244">
        <f>'COMPARATIVOS VARIABLES'!O96</f>
        <v>12478959.140937451</v>
      </c>
      <c r="H94" s="244">
        <v>21</v>
      </c>
      <c r="I94" s="425">
        <f t="shared" si="20"/>
        <v>0.32826922582875923</v>
      </c>
      <c r="J94" s="426">
        <f t="shared" si="21"/>
        <v>0.31573198621019216</v>
      </c>
      <c r="K94" s="426">
        <f t="shared" si="22"/>
        <v>0.69415583093509703</v>
      </c>
      <c r="L94" s="426">
        <f t="shared" si="23"/>
        <v>0.26951209483857902</v>
      </c>
      <c r="M94" s="426">
        <f t="shared" si="24"/>
        <v>9.0238750000000003</v>
      </c>
      <c r="N94" s="426">
        <f t="shared" si="25"/>
        <v>0.24294308190652478</v>
      </c>
      <c r="O94" s="425">
        <f t="shared" si="26"/>
        <v>10.546217993890393</v>
      </c>
      <c r="P94" s="427">
        <f t="shared" si="27"/>
        <v>0.36366268944449609</v>
      </c>
      <c r="Q94" s="397"/>
      <c r="R94" s="723">
        <v>2162296</v>
      </c>
      <c r="S94" s="723">
        <v>2202782</v>
      </c>
      <c r="T94" s="724"/>
      <c r="U94" s="724"/>
      <c r="V94" s="724"/>
      <c r="W94" s="724"/>
    </row>
    <row r="95" spans="1:23" x14ac:dyDescent="0.2">
      <c r="A95" s="237">
        <v>88</v>
      </c>
      <c r="B95" s="422" t="s">
        <v>99</v>
      </c>
      <c r="C95" s="423">
        <v>256</v>
      </c>
      <c r="D95" s="424">
        <f t="shared" si="19"/>
        <v>447.31640625</v>
      </c>
      <c r="E95" s="244">
        <v>114513</v>
      </c>
      <c r="F95" s="244">
        <f>'COMPARATIVOS VARIABLES'!X97</f>
        <v>6236923.7000000002</v>
      </c>
      <c r="G95" s="244">
        <f>'COMPARATIVOS VARIABLES'!O97</f>
        <v>51530905.077077046</v>
      </c>
      <c r="H95" s="244">
        <v>106</v>
      </c>
      <c r="I95" s="425">
        <f t="shared" si="20"/>
        <v>2.411385839844038</v>
      </c>
      <c r="J95" s="426">
        <f t="shared" si="21"/>
        <v>0.43690480253950914</v>
      </c>
      <c r="K95" s="426">
        <f t="shared" si="22"/>
        <v>3.6848963345422754</v>
      </c>
      <c r="L95" s="426">
        <f t="shared" si="23"/>
        <v>1.0979193358767865</v>
      </c>
      <c r="M95" s="426">
        <f t="shared" si="24"/>
        <v>37.263400000000004</v>
      </c>
      <c r="N95" s="426">
        <f t="shared" si="25"/>
        <v>1.2262841277186487</v>
      </c>
      <c r="O95" s="425">
        <f t="shared" si="26"/>
        <v>43.709404600677225</v>
      </c>
      <c r="P95" s="427">
        <f t="shared" si="27"/>
        <v>1.5072208482992138</v>
      </c>
      <c r="Q95" s="397"/>
      <c r="R95" s="723">
        <v>22571870</v>
      </c>
      <c r="S95" s="723">
        <v>25750560.07</v>
      </c>
      <c r="T95" s="724"/>
      <c r="U95" s="724"/>
      <c r="V95" s="724"/>
      <c r="W95" s="724"/>
    </row>
    <row r="96" spans="1:23" x14ac:dyDescent="0.2">
      <c r="A96" s="237">
        <v>89</v>
      </c>
      <c r="B96" s="422" t="s">
        <v>55</v>
      </c>
      <c r="C96" s="423">
        <v>798</v>
      </c>
      <c r="D96" s="424">
        <f t="shared" si="19"/>
        <v>30.167919799500002</v>
      </c>
      <c r="E96" s="244">
        <v>24074</v>
      </c>
      <c r="F96" s="244">
        <f>'COMPARATIVOS VARIABLES'!X98</f>
        <v>2378788.5099999998</v>
      </c>
      <c r="G96" s="244">
        <f>'COMPARATIVOS VARIABLES'!O98</f>
        <v>29335225.51593636</v>
      </c>
      <c r="H96" s="244">
        <v>66</v>
      </c>
      <c r="I96" s="425">
        <f t="shared" si="20"/>
        <v>0.50694421339415929</v>
      </c>
      <c r="J96" s="426">
        <f t="shared" si="21"/>
        <v>1.3619141891661262</v>
      </c>
      <c r="K96" s="426">
        <f t="shared" si="22"/>
        <v>0.24851683402779928</v>
      </c>
      <c r="L96" s="426">
        <f t="shared" si="23"/>
        <v>0.41875097832133656</v>
      </c>
      <c r="M96" s="426">
        <f t="shared" si="24"/>
        <v>21.213099999999997</v>
      </c>
      <c r="N96" s="426">
        <f t="shared" si="25"/>
        <v>0.76353540027764921</v>
      </c>
      <c r="O96" s="425">
        <f t="shared" si="26"/>
        <v>24.00581740179291</v>
      </c>
      <c r="P96" s="427">
        <f t="shared" si="27"/>
        <v>0.8277868069583757</v>
      </c>
      <c r="Q96" s="397"/>
      <c r="R96" s="723">
        <v>1776639</v>
      </c>
      <c r="S96" s="723">
        <v>2085582.28</v>
      </c>
      <c r="T96" s="724"/>
      <c r="U96" s="724"/>
      <c r="V96" s="724"/>
      <c r="W96" s="724"/>
    </row>
    <row r="97" spans="1:23" x14ac:dyDescent="0.2">
      <c r="A97" s="237">
        <v>90</v>
      </c>
      <c r="B97" s="422" t="s">
        <v>147</v>
      </c>
      <c r="C97" s="423">
        <v>190</v>
      </c>
      <c r="D97" s="424">
        <f t="shared" si="19"/>
        <v>85.921052631600006</v>
      </c>
      <c r="E97" s="244">
        <v>16325</v>
      </c>
      <c r="F97" s="244">
        <f>'COMPARATIVOS VARIABLES'!X99</f>
        <v>2084015.57</v>
      </c>
      <c r="G97" s="244">
        <f>'COMPARATIVOS VARIABLES'!O99</f>
        <v>11906895.20802312</v>
      </c>
      <c r="H97" s="244">
        <v>14</v>
      </c>
      <c r="I97" s="425">
        <f t="shared" si="20"/>
        <v>0.34376772799117933</v>
      </c>
      <c r="J97" s="426">
        <f t="shared" si="21"/>
        <v>0.32426528313479192</v>
      </c>
      <c r="K97" s="426">
        <f t="shared" si="22"/>
        <v>0.70779914950234801</v>
      </c>
      <c r="L97" s="426">
        <f t="shared" si="23"/>
        <v>0.36686050697899075</v>
      </c>
      <c r="M97" s="426">
        <f t="shared" si="24"/>
        <v>8.610199999999999</v>
      </c>
      <c r="N97" s="426">
        <f t="shared" si="25"/>
        <v>0.16196205460434984</v>
      </c>
      <c r="O97" s="425">
        <f t="shared" si="26"/>
        <v>10.171086994220479</v>
      </c>
      <c r="P97" s="427">
        <f t="shared" si="27"/>
        <v>0.35072713773174047</v>
      </c>
      <c r="Q97" s="397"/>
      <c r="R97" s="723">
        <v>1481926</v>
      </c>
      <c r="S97" s="723">
        <v>2021946</v>
      </c>
      <c r="T97" s="724"/>
      <c r="U97" s="724"/>
      <c r="V97" s="724"/>
      <c r="W97" s="724"/>
    </row>
    <row r="98" spans="1:23" x14ac:dyDescent="0.2">
      <c r="A98" s="237">
        <v>91</v>
      </c>
      <c r="B98" s="422" t="s">
        <v>151</v>
      </c>
      <c r="C98" s="423">
        <v>173</v>
      </c>
      <c r="D98" s="424">
        <f t="shared" si="19"/>
        <v>86.323699422000004</v>
      </c>
      <c r="E98" s="244">
        <v>14934</v>
      </c>
      <c r="F98" s="244">
        <f>'COMPARATIVOS VARIABLES'!X100</f>
        <v>2295691.84</v>
      </c>
      <c r="G98" s="244">
        <f>'COMPARATIVOS VARIABLES'!O100</f>
        <v>13377348.780189989</v>
      </c>
      <c r="H98" s="244">
        <v>23</v>
      </c>
      <c r="I98" s="425">
        <f t="shared" si="20"/>
        <v>0.31447640121410547</v>
      </c>
      <c r="J98" s="426">
        <f t="shared" si="21"/>
        <v>0.29525207359115263</v>
      </c>
      <c r="K98" s="426">
        <f t="shared" si="22"/>
        <v>0.7111160671501906</v>
      </c>
      <c r="L98" s="426">
        <f t="shared" si="23"/>
        <v>0.40412302307795717</v>
      </c>
      <c r="M98" s="426">
        <f t="shared" si="24"/>
        <v>9.6735249999999997</v>
      </c>
      <c r="N98" s="426">
        <f t="shared" si="25"/>
        <v>0.26608051827857476</v>
      </c>
      <c r="O98" s="425">
        <f t="shared" si="26"/>
        <v>11.350096682097874</v>
      </c>
      <c r="P98" s="427">
        <f t="shared" si="27"/>
        <v>0.3913826442102713</v>
      </c>
      <c r="Q98" s="397"/>
      <c r="R98" s="723">
        <v>4924506</v>
      </c>
      <c r="S98" s="723">
        <v>5171458</v>
      </c>
      <c r="T98" s="724"/>
      <c r="U98" s="724"/>
      <c r="V98" s="724"/>
      <c r="W98" s="724"/>
    </row>
    <row r="99" spans="1:23" x14ac:dyDescent="0.2">
      <c r="A99" s="237">
        <v>92</v>
      </c>
      <c r="B99" s="422" t="s">
        <v>56</v>
      </c>
      <c r="C99" s="423">
        <v>1493</v>
      </c>
      <c r="D99" s="424">
        <f t="shared" si="19"/>
        <v>8.5974547890000004</v>
      </c>
      <c r="E99" s="244">
        <v>12836</v>
      </c>
      <c r="F99" s="244">
        <f>'COMPARATIVOS VARIABLES'!X101</f>
        <v>2675854.29</v>
      </c>
      <c r="G99" s="244">
        <f>'COMPARATIVOS VARIABLES'!O101</f>
        <v>48580767.19181817</v>
      </c>
      <c r="H99" s="244">
        <v>172</v>
      </c>
      <c r="I99" s="425">
        <f t="shared" si="20"/>
        <v>0.27029724695220692</v>
      </c>
      <c r="J99" s="426">
        <f t="shared" si="21"/>
        <v>2.5480424616854966</v>
      </c>
      <c r="K99" s="426">
        <f t="shared" si="22"/>
        <v>7.082398319339317E-2</v>
      </c>
      <c r="L99" s="426">
        <f t="shared" si="23"/>
        <v>0.47104507066197554</v>
      </c>
      <c r="M99" s="426">
        <f t="shared" si="24"/>
        <v>35.130074999999998</v>
      </c>
      <c r="N99" s="426">
        <f t="shared" si="25"/>
        <v>1.989819527996298</v>
      </c>
      <c r="O99" s="425">
        <f t="shared" si="26"/>
        <v>40.209806043537156</v>
      </c>
      <c r="P99" s="427">
        <f t="shared" si="27"/>
        <v>1.386545035984039</v>
      </c>
      <c r="Q99" s="397"/>
      <c r="R99" s="723">
        <v>841415</v>
      </c>
      <c r="S99" s="723">
        <v>1017249</v>
      </c>
      <c r="T99" s="724"/>
      <c r="U99" s="724"/>
      <c r="V99" s="724"/>
      <c r="W99" s="724"/>
    </row>
    <row r="100" spans="1:23" x14ac:dyDescent="0.2">
      <c r="A100" s="237">
        <v>93</v>
      </c>
      <c r="B100" s="422" t="s">
        <v>155</v>
      </c>
      <c r="C100" s="423">
        <v>197</v>
      </c>
      <c r="D100" s="424">
        <f t="shared" si="19"/>
        <v>144.9543147208</v>
      </c>
      <c r="E100" s="244">
        <v>28556</v>
      </c>
      <c r="F100" s="244">
        <f>'COMPARATIVOS VARIABLES'!X102</f>
        <v>4255861.2699999996</v>
      </c>
      <c r="G100" s="244">
        <f>'COMPARATIVOS VARIABLES'!O102</f>
        <v>22102715.282684971</v>
      </c>
      <c r="H100" s="244">
        <v>65</v>
      </c>
      <c r="I100" s="425">
        <f t="shared" si="20"/>
        <v>0.60132503770389689</v>
      </c>
      <c r="J100" s="426">
        <f t="shared" si="21"/>
        <v>0.33621189882923164</v>
      </c>
      <c r="K100" s="426">
        <f t="shared" si="22"/>
        <v>1.1941024642235851</v>
      </c>
      <c r="L100" s="426">
        <f t="shared" si="23"/>
        <v>0.74918222570882764</v>
      </c>
      <c r="M100" s="426">
        <f t="shared" si="24"/>
        <v>15.983074999999999</v>
      </c>
      <c r="N100" s="426">
        <f t="shared" si="25"/>
        <v>0.75196668209162432</v>
      </c>
      <c r="O100" s="425">
        <f t="shared" si="26"/>
        <v>19.014538270853269</v>
      </c>
      <c r="P100" s="427">
        <f t="shared" si="27"/>
        <v>0.65567373347769853</v>
      </c>
      <c r="Q100" s="397"/>
      <c r="R100" s="723">
        <v>2842108</v>
      </c>
      <c r="S100" s="723">
        <v>3368664</v>
      </c>
      <c r="T100" s="724"/>
      <c r="U100" s="724"/>
      <c r="V100" s="724"/>
      <c r="W100" s="724"/>
    </row>
    <row r="101" spans="1:23" x14ac:dyDescent="0.2">
      <c r="A101" s="237">
        <v>94</v>
      </c>
      <c r="B101" s="422" t="s">
        <v>76</v>
      </c>
      <c r="C101" s="423">
        <v>204</v>
      </c>
      <c r="D101" s="424">
        <f t="shared" si="19"/>
        <v>31.470588235299999</v>
      </c>
      <c r="E101" s="244">
        <v>6420</v>
      </c>
      <c r="F101" s="244">
        <f>'COMPARATIVOS VARIABLES'!X103</f>
        <v>1222263.49</v>
      </c>
      <c r="G101" s="244">
        <f>'COMPARATIVOS VARIABLES'!O103</f>
        <v>9891931.6374637503</v>
      </c>
      <c r="H101" s="244">
        <v>24</v>
      </c>
      <c r="I101" s="425">
        <f t="shared" si="20"/>
        <v>0.13519073897111003</v>
      </c>
      <c r="J101" s="426">
        <f t="shared" si="21"/>
        <v>0.34815851452367136</v>
      </c>
      <c r="K101" s="426">
        <f t="shared" si="22"/>
        <v>0.25924793639098992</v>
      </c>
      <c r="L101" s="426">
        <f t="shared" si="23"/>
        <v>0.21516163797342003</v>
      </c>
      <c r="M101" s="426">
        <f t="shared" si="24"/>
        <v>7.1531250000000002</v>
      </c>
      <c r="N101" s="426">
        <f t="shared" si="25"/>
        <v>0.27764923646459971</v>
      </c>
      <c r="O101" s="425">
        <f t="shared" si="26"/>
        <v>8.2533423253526816</v>
      </c>
      <c r="P101" s="427">
        <f t="shared" si="27"/>
        <v>0.28459801121905781</v>
      </c>
      <c r="Q101" s="397"/>
      <c r="R101" s="723">
        <v>1727832</v>
      </c>
      <c r="S101" s="723">
        <v>2431337</v>
      </c>
      <c r="T101" s="724"/>
      <c r="U101" s="724"/>
      <c r="V101" s="724"/>
      <c r="W101" s="724"/>
    </row>
    <row r="102" spans="1:23" x14ac:dyDescent="0.2">
      <c r="A102" s="237">
        <v>95</v>
      </c>
      <c r="B102" s="422" t="s">
        <v>100</v>
      </c>
      <c r="C102" s="423">
        <v>506</v>
      </c>
      <c r="D102" s="424">
        <f t="shared" si="19"/>
        <v>24.357707509899999</v>
      </c>
      <c r="E102" s="244">
        <v>12325</v>
      </c>
      <c r="F102" s="244">
        <f>'COMPARATIVOS VARIABLES'!X104</f>
        <v>1841384.78</v>
      </c>
      <c r="G102" s="244">
        <f>'COMPARATIVOS VARIABLES'!O104</f>
        <v>17346048.797045037</v>
      </c>
      <c r="H102" s="244">
        <v>53</v>
      </c>
      <c r="I102" s="425">
        <f t="shared" si="20"/>
        <v>0.25953673797802668</v>
      </c>
      <c r="J102" s="426">
        <f t="shared" si="21"/>
        <v>0.86356964876949849</v>
      </c>
      <c r="K102" s="426">
        <f t="shared" si="22"/>
        <v>0.20065355499373294</v>
      </c>
      <c r="L102" s="426">
        <f t="shared" si="23"/>
        <v>0.32414889968130006</v>
      </c>
      <c r="M102" s="426">
        <f t="shared" si="24"/>
        <v>12.543399999999998</v>
      </c>
      <c r="N102" s="426">
        <f t="shared" si="25"/>
        <v>0.61314206385932435</v>
      </c>
      <c r="O102" s="425">
        <f t="shared" si="26"/>
        <v>14.544914167303855</v>
      </c>
      <c r="P102" s="427">
        <f t="shared" si="27"/>
        <v>0.50154876438978779</v>
      </c>
      <c r="Q102" s="397"/>
      <c r="R102" s="723">
        <v>1799154</v>
      </c>
      <c r="S102" s="723">
        <v>2124642</v>
      </c>
      <c r="T102" s="724"/>
      <c r="U102" s="724"/>
      <c r="V102" s="724"/>
      <c r="W102" s="724"/>
    </row>
    <row r="103" spans="1:23" x14ac:dyDescent="0.2">
      <c r="A103" s="237">
        <v>96</v>
      </c>
      <c r="B103" s="422" t="s">
        <v>78</v>
      </c>
      <c r="C103" s="423">
        <v>2063</v>
      </c>
      <c r="D103" s="424">
        <f t="shared" si="19"/>
        <v>2.8943286476000001</v>
      </c>
      <c r="E103" s="244">
        <v>5971</v>
      </c>
      <c r="F103" s="244">
        <f>'COMPARATIVOS VARIABLES'!X105</f>
        <v>592308.84</v>
      </c>
      <c r="G103" s="244">
        <f>'COMPARATIVOS VARIABLES'!O105</f>
        <v>44886603.930343114</v>
      </c>
      <c r="H103" s="244">
        <v>141</v>
      </c>
      <c r="I103" s="425">
        <f t="shared" si="20"/>
        <v>0.12573581034213366</v>
      </c>
      <c r="J103" s="426">
        <f t="shared" si="21"/>
        <v>3.5208383110898724</v>
      </c>
      <c r="K103" s="426">
        <f t="shared" si="22"/>
        <v>2.3842856813396703E-2</v>
      </c>
      <c r="L103" s="426">
        <f t="shared" si="23"/>
        <v>0.10426732144354271</v>
      </c>
      <c r="M103" s="426">
        <f t="shared" si="24"/>
        <v>32.458725000000008</v>
      </c>
      <c r="N103" s="426">
        <f t="shared" si="25"/>
        <v>1.6311892642295234</v>
      </c>
      <c r="O103" s="425">
        <f t="shared" si="26"/>
        <v>37.738862753576349</v>
      </c>
      <c r="P103" s="427">
        <f t="shared" si="27"/>
        <v>1.3013400949509077</v>
      </c>
      <c r="Q103" s="397"/>
      <c r="R103" s="723">
        <v>620839</v>
      </c>
      <c r="S103" s="723">
        <v>729635</v>
      </c>
      <c r="T103" s="724">
        <f>S103/R103</f>
        <v>1.1752402796860377</v>
      </c>
      <c r="U103" s="724">
        <f>MIN(T103,2)</f>
        <v>1.1752402796860377</v>
      </c>
      <c r="V103" s="725">
        <f>U103*E103</f>
        <v>7017.3597100053312</v>
      </c>
      <c r="W103" s="724">
        <f>V103/$V$121</f>
        <v>8.7041164894233289E-2</v>
      </c>
    </row>
    <row r="104" spans="1:23" x14ac:dyDescent="0.2">
      <c r="A104" s="237">
        <v>97</v>
      </c>
      <c r="B104" s="422" t="s">
        <v>130</v>
      </c>
      <c r="C104" s="423">
        <v>1546</v>
      </c>
      <c r="D104" s="424">
        <f t="shared" ref="D104:D120" si="28">ROUND(E104/C104,10)</f>
        <v>18.794307891300001</v>
      </c>
      <c r="E104" s="244">
        <v>29056</v>
      </c>
      <c r="F104" s="244">
        <f>'COMPARATIVOS VARIABLES'!X106</f>
        <v>3914225.3599999994</v>
      </c>
      <c r="G104" s="244">
        <f>'COMPARATIVOS VARIABLES'!O106</f>
        <v>56418046.529950827</v>
      </c>
      <c r="H104" s="244">
        <v>282</v>
      </c>
      <c r="I104" s="425">
        <f t="shared" ref="I104:I120" si="29">E104/$E$7%</f>
        <v>0.61185391145554102</v>
      </c>
      <c r="J104" s="426">
        <f t="shared" ref="J104:J120" si="30">C104/$C$7%</f>
        <v>2.6384954090862545</v>
      </c>
      <c r="K104" s="426">
        <f t="shared" ref="K104:K120" si="31">D104/$D$7%</f>
        <v>0.15482346565264243</v>
      </c>
      <c r="L104" s="426">
        <f t="shared" ref="L104:L120" si="32">F104/$F$7%</f>
        <v>0.68904221286581957</v>
      </c>
      <c r="M104" s="426">
        <f t="shared" ref="M104:M120" si="33">G104/$G$7%*25</f>
        <v>40.797424999999997</v>
      </c>
      <c r="N104" s="426">
        <f t="shared" ref="N104:N120" si="34">H104/$H$7%</f>
        <v>3.2623785284590467</v>
      </c>
      <c r="O104" s="425">
        <f t="shared" ref="O104:O120" si="35">J104+K104+L104+M104+N104</f>
        <v>47.542164616063758</v>
      </c>
      <c r="P104" s="427">
        <f t="shared" ref="P104:P120" si="36">O104/$O$7%</f>
        <v>1.6393849867608183</v>
      </c>
      <c r="Q104" s="397"/>
      <c r="R104" s="723">
        <v>908588</v>
      </c>
      <c r="S104" s="723">
        <v>975156</v>
      </c>
      <c r="T104" s="724"/>
      <c r="U104" s="724"/>
      <c r="V104" s="724"/>
      <c r="W104" s="724"/>
    </row>
    <row r="105" spans="1:23" x14ac:dyDescent="0.2">
      <c r="A105" s="237">
        <v>98</v>
      </c>
      <c r="B105" s="422" t="s">
        <v>128</v>
      </c>
      <c r="C105" s="423">
        <v>243</v>
      </c>
      <c r="D105" s="424">
        <f t="shared" si="28"/>
        <v>105.9958847737</v>
      </c>
      <c r="E105" s="244">
        <v>25757</v>
      </c>
      <c r="F105" s="244">
        <f>'COMPARATIVOS VARIABLES'!X107</f>
        <v>3895086.7600000002</v>
      </c>
      <c r="G105" s="244">
        <f>'COMPARATIVOS VARIABLES'!O107</f>
        <v>22313224.576666679</v>
      </c>
      <c r="H105" s="244">
        <v>81</v>
      </c>
      <c r="I105" s="425">
        <f t="shared" si="29"/>
        <v>0.54238440244219333</v>
      </c>
      <c r="J105" s="426">
        <f t="shared" si="30"/>
        <v>0.41471823053554968</v>
      </c>
      <c r="K105" s="426">
        <f t="shared" si="31"/>
        <v>0.87317129848548336</v>
      </c>
      <c r="L105" s="426">
        <f t="shared" si="32"/>
        <v>0.6856731418281844</v>
      </c>
      <c r="M105" s="426">
        <f t="shared" si="33"/>
        <v>16.135300000000001</v>
      </c>
      <c r="N105" s="426">
        <f t="shared" si="34"/>
        <v>0.93706617306802409</v>
      </c>
      <c r="O105" s="425">
        <f t="shared" si="35"/>
        <v>19.045928843917245</v>
      </c>
      <c r="P105" s="427">
        <f t="shared" si="36"/>
        <v>0.65675616703162876</v>
      </c>
      <c r="Q105" s="397"/>
      <c r="R105" s="723">
        <v>2737466</v>
      </c>
      <c r="S105" s="723">
        <v>3196110</v>
      </c>
      <c r="T105" s="724"/>
      <c r="U105" s="724"/>
      <c r="V105" s="724"/>
      <c r="W105" s="724"/>
    </row>
    <row r="106" spans="1:23" x14ac:dyDescent="0.2">
      <c r="A106" s="237">
        <v>99</v>
      </c>
      <c r="B106" s="422" t="s">
        <v>139</v>
      </c>
      <c r="C106" s="423">
        <v>1018</v>
      </c>
      <c r="D106" s="424">
        <f t="shared" si="28"/>
        <v>14.075638506900001</v>
      </c>
      <c r="E106" s="244">
        <v>14329</v>
      </c>
      <c r="F106" s="244">
        <f>'COMPARATIVOS VARIABLES'!X108</f>
        <v>2420953.7599999998</v>
      </c>
      <c r="G106" s="244">
        <f>'COMPARATIVOS VARIABLES'!O108</f>
        <v>34870973.450069934</v>
      </c>
      <c r="H106" s="244">
        <v>168</v>
      </c>
      <c r="I106" s="425">
        <f t="shared" si="29"/>
        <v>0.30173646397461618</v>
      </c>
      <c r="J106" s="426">
        <f t="shared" si="30"/>
        <v>1.7373792538485167</v>
      </c>
      <c r="K106" s="426">
        <f t="shared" si="31"/>
        <v>0.1159520822749119</v>
      </c>
      <c r="L106" s="426">
        <f t="shared" si="32"/>
        <v>0.42617355481959945</v>
      </c>
      <c r="M106" s="426">
        <f t="shared" si="33"/>
        <v>25.216149999999992</v>
      </c>
      <c r="N106" s="426">
        <f t="shared" si="34"/>
        <v>1.9435446552521982</v>
      </c>
      <c r="O106" s="425">
        <f t="shared" si="35"/>
        <v>29.439199546195216</v>
      </c>
      <c r="P106" s="427">
        <f t="shared" si="36"/>
        <v>1.0151448119377655</v>
      </c>
      <c r="Q106" s="397"/>
      <c r="R106" s="723">
        <v>964156</v>
      </c>
      <c r="S106" s="723">
        <v>1278556</v>
      </c>
      <c r="T106" s="724"/>
      <c r="U106" s="724"/>
      <c r="V106" s="724"/>
      <c r="W106" s="724"/>
    </row>
    <row r="107" spans="1:23" x14ac:dyDescent="0.2">
      <c r="A107" s="237">
        <v>100</v>
      </c>
      <c r="B107" s="422" t="s">
        <v>125</v>
      </c>
      <c r="C107" s="423">
        <v>184</v>
      </c>
      <c r="D107" s="424">
        <f t="shared" si="28"/>
        <v>81.038043478299997</v>
      </c>
      <c r="E107" s="244">
        <v>14911</v>
      </c>
      <c r="F107" s="244">
        <f>'COMPARATIVOS VARIABLES'!X109</f>
        <v>1918767.68</v>
      </c>
      <c r="G107" s="244">
        <f>'COMPARATIVOS VARIABLES'!O109</f>
        <v>14076223.041618841</v>
      </c>
      <c r="H107" s="244">
        <v>34</v>
      </c>
      <c r="I107" s="425">
        <f t="shared" si="29"/>
        <v>0.31399207302152987</v>
      </c>
      <c r="J107" s="426">
        <f t="shared" si="30"/>
        <v>0.31402532682527218</v>
      </c>
      <c r="K107" s="426">
        <f t="shared" si="31"/>
        <v>0.66757397045878009</v>
      </c>
      <c r="L107" s="426">
        <f t="shared" si="32"/>
        <v>0.33777102915776286</v>
      </c>
      <c r="M107" s="426">
        <f t="shared" si="33"/>
        <v>10.178900000000001</v>
      </c>
      <c r="N107" s="426">
        <f t="shared" si="34"/>
        <v>0.39333641832484961</v>
      </c>
      <c r="O107" s="425">
        <f t="shared" si="35"/>
        <v>11.891606744766666</v>
      </c>
      <c r="P107" s="427">
        <f t="shared" si="36"/>
        <v>0.41005540499195375</v>
      </c>
      <c r="Q107" s="397"/>
      <c r="R107" s="723">
        <v>2949284</v>
      </c>
      <c r="S107" s="723">
        <v>2777433</v>
      </c>
      <c r="T107" s="724"/>
      <c r="U107" s="724"/>
      <c r="V107" s="724"/>
      <c r="W107" s="724"/>
    </row>
    <row r="108" spans="1:23" x14ac:dyDescent="0.2">
      <c r="A108" s="237">
        <v>101</v>
      </c>
      <c r="B108" s="422" t="s">
        <v>66</v>
      </c>
      <c r="C108" s="423">
        <v>941</v>
      </c>
      <c r="D108" s="424">
        <f t="shared" si="28"/>
        <v>9.4102019128999999</v>
      </c>
      <c r="E108" s="244">
        <v>8855</v>
      </c>
      <c r="F108" s="244">
        <f>'COMPARATIVOS VARIABLES'!X110</f>
        <v>1150845.42</v>
      </c>
      <c r="G108" s="244">
        <f>'COMPARATIVOS VARIABLES'!O110</f>
        <v>41390504.020029359</v>
      </c>
      <c r="H108" s="244">
        <v>251</v>
      </c>
      <c r="I108" s="425">
        <f t="shared" si="29"/>
        <v>0.18646635414161672</v>
      </c>
      <c r="J108" s="426">
        <f t="shared" si="30"/>
        <v>1.6059664812096801</v>
      </c>
      <c r="K108" s="426">
        <f t="shared" si="31"/>
        <v>7.751921917383936E-2</v>
      </c>
      <c r="L108" s="426">
        <f t="shared" si="32"/>
        <v>0.20258952971049515</v>
      </c>
      <c r="M108" s="426">
        <f t="shared" si="33"/>
        <v>29.930599999999995</v>
      </c>
      <c r="N108" s="426">
        <f t="shared" si="34"/>
        <v>2.9037482646922723</v>
      </c>
      <c r="O108" s="425">
        <f t="shared" si="35"/>
        <v>34.720423494786282</v>
      </c>
      <c r="P108" s="427">
        <f t="shared" si="36"/>
        <v>1.1972559825788365</v>
      </c>
      <c r="Q108" s="397"/>
      <c r="R108" s="723">
        <v>1619455</v>
      </c>
      <c r="S108" s="723">
        <v>1436776</v>
      </c>
      <c r="T108" s="724"/>
      <c r="U108" s="724"/>
      <c r="V108" s="724"/>
      <c r="W108" s="724"/>
    </row>
    <row r="109" spans="1:23" x14ac:dyDescent="0.2">
      <c r="A109" s="237">
        <v>102</v>
      </c>
      <c r="B109" s="422" t="s">
        <v>117</v>
      </c>
      <c r="C109" s="423">
        <v>1013</v>
      </c>
      <c r="D109" s="424">
        <f t="shared" si="28"/>
        <v>352.20730503459998</v>
      </c>
      <c r="E109" s="244">
        <v>356786</v>
      </c>
      <c r="F109" s="244">
        <f>'COMPARATIVOS VARIABLES'!X111</f>
        <v>16958903.030000001</v>
      </c>
      <c r="G109" s="244">
        <f>'COMPARATIVOS VARIABLES'!O111</f>
        <v>114274636.61755955</v>
      </c>
      <c r="H109" s="244">
        <v>232</v>
      </c>
      <c r="I109" s="425">
        <f t="shared" si="29"/>
        <v>7.5131095007081719</v>
      </c>
      <c r="J109" s="426">
        <f t="shared" si="30"/>
        <v>1.728845956923917</v>
      </c>
      <c r="K109" s="426">
        <f t="shared" si="31"/>
        <v>2.9014080172048473</v>
      </c>
      <c r="L109" s="426">
        <f t="shared" si="32"/>
        <v>2.9853672174787746</v>
      </c>
      <c r="M109" s="426">
        <f t="shared" si="33"/>
        <v>82.635099999999994</v>
      </c>
      <c r="N109" s="426">
        <f t="shared" si="34"/>
        <v>2.6839426191577975</v>
      </c>
      <c r="O109" s="425">
        <f t="shared" si="35"/>
        <v>92.934663810765343</v>
      </c>
      <c r="P109" s="427">
        <f t="shared" si="36"/>
        <v>3.2046435796815618</v>
      </c>
      <c r="Q109" s="397"/>
      <c r="R109" s="723">
        <v>84768463</v>
      </c>
      <c r="S109" s="723">
        <v>95289738.650000006</v>
      </c>
      <c r="T109" s="724"/>
      <c r="U109" s="724"/>
      <c r="V109" s="724"/>
      <c r="W109" s="724"/>
    </row>
    <row r="110" spans="1:23" x14ac:dyDescent="0.2">
      <c r="A110" s="237">
        <v>103</v>
      </c>
      <c r="B110" s="422" t="s">
        <v>68</v>
      </c>
      <c r="C110" s="423">
        <v>228</v>
      </c>
      <c r="D110" s="424">
        <f t="shared" si="28"/>
        <v>102.93421052630001</v>
      </c>
      <c r="E110" s="244">
        <v>23469</v>
      </c>
      <c r="F110" s="244">
        <f>'COMPARATIVOS VARIABLES'!X112</f>
        <v>2842347.22</v>
      </c>
      <c r="G110" s="244">
        <f>'COMPARATIVOS VARIABLES'!O112</f>
        <v>19861650.417555001</v>
      </c>
      <c r="H110" s="244">
        <v>23</v>
      </c>
      <c r="I110" s="425">
        <f t="shared" si="29"/>
        <v>0.49420427615467</v>
      </c>
      <c r="J110" s="426">
        <f t="shared" si="30"/>
        <v>0.38911833976175031</v>
      </c>
      <c r="K110" s="426">
        <f t="shared" si="31"/>
        <v>0.84794988461786558</v>
      </c>
      <c r="L110" s="426">
        <f t="shared" si="32"/>
        <v>0.50035371959314345</v>
      </c>
      <c r="M110" s="426">
        <f t="shared" si="33"/>
        <v>14.362500000000001</v>
      </c>
      <c r="N110" s="426">
        <f t="shared" si="34"/>
        <v>0.26608051827857476</v>
      </c>
      <c r="O110" s="425">
        <f t="shared" si="35"/>
        <v>16.366002462251334</v>
      </c>
      <c r="P110" s="427">
        <f t="shared" si="36"/>
        <v>0.56434491249142493</v>
      </c>
      <c r="Q110" s="397"/>
      <c r="R110" s="723">
        <v>4375803</v>
      </c>
      <c r="S110" s="723">
        <v>4706900</v>
      </c>
      <c r="T110" s="724"/>
      <c r="U110" s="724"/>
      <c r="V110" s="724"/>
      <c r="W110" s="724"/>
    </row>
    <row r="111" spans="1:23" x14ac:dyDescent="0.2">
      <c r="A111" s="237">
        <v>104</v>
      </c>
      <c r="B111" s="422" t="s">
        <v>109</v>
      </c>
      <c r="C111" s="423">
        <v>350</v>
      </c>
      <c r="D111" s="424">
        <f t="shared" si="28"/>
        <v>45.325714285700002</v>
      </c>
      <c r="E111" s="244">
        <v>15864</v>
      </c>
      <c r="F111" s="244">
        <f>'COMPARATIVOS VARIABLES'!X113</f>
        <v>3481167.6699999995</v>
      </c>
      <c r="G111" s="244">
        <f>'COMPARATIVOS VARIABLES'!O113</f>
        <v>15980970.874090889</v>
      </c>
      <c r="H111" s="244">
        <v>44</v>
      </c>
      <c r="I111" s="425">
        <f t="shared" si="29"/>
        <v>0.33406010639216349</v>
      </c>
      <c r="J111" s="426">
        <f t="shared" si="30"/>
        <v>0.59733078472198509</v>
      </c>
      <c r="K111" s="426">
        <f t="shared" si="31"/>
        <v>0.37338348448266057</v>
      </c>
      <c r="L111" s="426">
        <f t="shared" si="32"/>
        <v>0.61280873074046738</v>
      </c>
      <c r="M111" s="426">
        <f t="shared" si="33"/>
        <v>11.556274999999999</v>
      </c>
      <c r="N111" s="426">
        <f t="shared" si="34"/>
        <v>0.50902360018509951</v>
      </c>
      <c r="O111" s="425">
        <f t="shared" si="35"/>
        <v>13.648821600130212</v>
      </c>
      <c r="P111" s="427">
        <f t="shared" si="36"/>
        <v>0.47064902069414494</v>
      </c>
      <c r="Q111" s="397"/>
      <c r="R111" s="723">
        <v>2332246</v>
      </c>
      <c r="S111" s="723">
        <v>2204436</v>
      </c>
      <c r="T111" s="724"/>
      <c r="U111" s="724"/>
      <c r="V111" s="724"/>
      <c r="W111" s="724"/>
    </row>
    <row r="112" spans="1:23" x14ac:dyDescent="0.2">
      <c r="A112" s="237">
        <v>105</v>
      </c>
      <c r="B112" s="422" t="s">
        <v>150</v>
      </c>
      <c r="C112" s="423">
        <v>148</v>
      </c>
      <c r="D112" s="424">
        <f t="shared" si="28"/>
        <v>141.77027027029999</v>
      </c>
      <c r="E112" s="244">
        <v>20982</v>
      </c>
      <c r="F112" s="244">
        <f>'COMPARATIVOS VARIABLES'!X114</f>
        <v>2507630.54</v>
      </c>
      <c r="G112" s="244">
        <f>'COMPARATIVOS VARIABLES'!O114</f>
        <v>16697580.604038808</v>
      </c>
      <c r="H112" s="244">
        <v>12</v>
      </c>
      <c r="I112" s="425">
        <f t="shared" si="29"/>
        <v>0.44183365811399233</v>
      </c>
      <c r="J112" s="426">
        <f t="shared" si="30"/>
        <v>0.2525855889681537</v>
      </c>
      <c r="K112" s="426">
        <f t="shared" si="31"/>
        <v>1.1678729909453127</v>
      </c>
      <c r="L112" s="426">
        <f t="shared" si="32"/>
        <v>0.44143173614600217</v>
      </c>
      <c r="M112" s="426">
        <f t="shared" si="33"/>
        <v>12.074474999999998</v>
      </c>
      <c r="N112" s="426">
        <f t="shared" si="34"/>
        <v>0.13882461823229986</v>
      </c>
      <c r="O112" s="425">
        <f t="shared" si="35"/>
        <v>14.075189934291767</v>
      </c>
      <c r="P112" s="427">
        <f t="shared" si="36"/>
        <v>0.4853513770445434</v>
      </c>
      <c r="Q112" s="397"/>
      <c r="R112" s="723">
        <v>2193730</v>
      </c>
      <c r="S112" s="723">
        <v>2829449</v>
      </c>
      <c r="T112" s="724"/>
      <c r="U112" s="724"/>
      <c r="V112" s="724"/>
      <c r="W112" s="724"/>
    </row>
    <row r="113" spans="1:23" x14ac:dyDescent="0.2">
      <c r="A113" s="237">
        <v>106</v>
      </c>
      <c r="B113" s="422" t="s">
        <v>145</v>
      </c>
      <c r="C113" s="423">
        <v>174</v>
      </c>
      <c r="D113" s="424">
        <f t="shared" si="28"/>
        <v>185.64942528739999</v>
      </c>
      <c r="E113" s="244">
        <v>32303</v>
      </c>
      <c r="F113" s="244">
        <f>'COMPARATIVOS VARIABLES'!X115</f>
        <v>3374788.3</v>
      </c>
      <c r="G113" s="244">
        <f>'COMPARATIVOS VARIABLES'!O115</f>
        <v>23033084.080573261</v>
      </c>
      <c r="H113" s="244">
        <v>18</v>
      </c>
      <c r="I113" s="425">
        <f t="shared" si="29"/>
        <v>0.68022841759871766</v>
      </c>
      <c r="J113" s="426">
        <f t="shared" si="30"/>
        <v>0.29695873297607261</v>
      </c>
      <c r="K113" s="426">
        <f t="shared" si="31"/>
        <v>1.529340031335862</v>
      </c>
      <c r="L113" s="426">
        <f t="shared" si="32"/>
        <v>0.59408219617321101</v>
      </c>
      <c r="M113" s="426">
        <f t="shared" si="33"/>
        <v>16.655850000000001</v>
      </c>
      <c r="N113" s="426">
        <f t="shared" si="34"/>
        <v>0.20823692734844979</v>
      </c>
      <c r="O113" s="425">
        <f t="shared" si="35"/>
        <v>19.284467887833596</v>
      </c>
      <c r="P113" s="427">
        <f t="shared" si="36"/>
        <v>0.6649816513046064</v>
      </c>
      <c r="Q113" s="397"/>
      <c r="R113" s="723">
        <v>5740179</v>
      </c>
      <c r="S113" s="723">
        <v>6021892</v>
      </c>
      <c r="T113" s="724"/>
      <c r="U113" s="724"/>
      <c r="V113" s="724"/>
      <c r="W113" s="724"/>
    </row>
    <row r="114" spans="1:23" x14ac:dyDescent="0.2">
      <c r="A114" s="237">
        <v>107</v>
      </c>
      <c r="B114" s="422" t="s">
        <v>106</v>
      </c>
      <c r="C114" s="423">
        <v>455</v>
      </c>
      <c r="D114" s="424">
        <f t="shared" si="28"/>
        <v>168.85494505490001</v>
      </c>
      <c r="E114" s="244">
        <v>76829</v>
      </c>
      <c r="F114" s="244">
        <f>'COMPARATIVOS VARIABLES'!X116</f>
        <v>10212148.480000002</v>
      </c>
      <c r="G114" s="244">
        <f>'COMPARATIVOS VARIABLES'!O116</f>
        <v>36931503.000177331</v>
      </c>
      <c r="H114" s="244">
        <v>50</v>
      </c>
      <c r="I114" s="425">
        <f t="shared" si="29"/>
        <v>1.6178456829301266</v>
      </c>
      <c r="J114" s="426">
        <f t="shared" si="30"/>
        <v>0.77653002013858063</v>
      </c>
      <c r="K114" s="426">
        <f t="shared" si="31"/>
        <v>1.3909907157628165</v>
      </c>
      <c r="L114" s="426">
        <f t="shared" si="32"/>
        <v>1.7976996058227772</v>
      </c>
      <c r="M114" s="426">
        <f t="shared" si="33"/>
        <v>26.706174999999998</v>
      </c>
      <c r="N114" s="426">
        <f t="shared" si="34"/>
        <v>0.57843590930124944</v>
      </c>
      <c r="O114" s="425">
        <f t="shared" si="35"/>
        <v>31.249831251025419</v>
      </c>
      <c r="P114" s="427">
        <f t="shared" si="36"/>
        <v>1.0775803879663932</v>
      </c>
      <c r="Q114" s="397"/>
      <c r="R114" s="723">
        <v>20047045</v>
      </c>
      <c r="S114" s="723">
        <v>22031684</v>
      </c>
      <c r="T114" s="724"/>
      <c r="U114" s="724"/>
      <c r="V114" s="724"/>
      <c r="W114" s="724"/>
    </row>
    <row r="115" spans="1:23" x14ac:dyDescent="0.2">
      <c r="A115" s="237">
        <v>108</v>
      </c>
      <c r="B115" s="422" t="s">
        <v>149</v>
      </c>
      <c r="C115" s="423">
        <v>335</v>
      </c>
      <c r="D115" s="424">
        <f t="shared" si="28"/>
        <v>611.52238805970001</v>
      </c>
      <c r="E115" s="244">
        <v>204860</v>
      </c>
      <c r="F115" s="244">
        <f>'COMPARATIVOS VARIABLES'!X117</f>
        <v>26682502.740000002</v>
      </c>
      <c r="G115" s="244">
        <f>'COMPARATIVOS VARIABLES'!O117</f>
        <v>92660908.599462748</v>
      </c>
      <c r="H115" s="244">
        <v>78</v>
      </c>
      <c r="I115" s="425">
        <f t="shared" si="29"/>
        <v>4.313890153523614</v>
      </c>
      <c r="J115" s="426">
        <f t="shared" si="30"/>
        <v>0.57173089394818577</v>
      </c>
      <c r="K115" s="426">
        <f t="shared" si="31"/>
        <v>5.0375898911079284</v>
      </c>
      <c r="L115" s="426">
        <f t="shared" si="32"/>
        <v>4.6970649469114623</v>
      </c>
      <c r="M115" s="426">
        <f t="shared" si="33"/>
        <v>67.005625000000009</v>
      </c>
      <c r="N115" s="426">
        <f t="shared" si="34"/>
        <v>0.90236001850994907</v>
      </c>
      <c r="O115" s="425">
        <f t="shared" si="35"/>
        <v>78.214370750477542</v>
      </c>
      <c r="P115" s="427">
        <f t="shared" si="36"/>
        <v>2.6970472672578447</v>
      </c>
      <c r="Q115" s="397"/>
      <c r="R115" s="723">
        <v>52093903</v>
      </c>
      <c r="S115" s="723">
        <v>64160322</v>
      </c>
      <c r="T115" s="724"/>
      <c r="U115" s="724"/>
      <c r="V115" s="724"/>
      <c r="W115" s="724"/>
    </row>
    <row r="116" spans="1:23" x14ac:dyDescent="0.2">
      <c r="A116" s="237">
        <v>109</v>
      </c>
      <c r="B116" s="422" t="s">
        <v>50</v>
      </c>
      <c r="C116" s="423">
        <v>113</v>
      </c>
      <c r="D116" s="424">
        <f t="shared" si="28"/>
        <v>28.6017699115</v>
      </c>
      <c r="E116" s="244">
        <v>3232</v>
      </c>
      <c r="F116" s="244">
        <f>'COMPARATIVOS VARIABLES'!X118</f>
        <v>893543.34000000008</v>
      </c>
      <c r="G116" s="244">
        <f>'COMPARATIVOS VARIABLES'!O118</f>
        <v>7835516.1628997708</v>
      </c>
      <c r="H116" s="244">
        <v>14</v>
      </c>
      <c r="I116" s="425">
        <f t="shared" si="29"/>
        <v>6.8058639930627357E-2</v>
      </c>
      <c r="J116" s="426">
        <f t="shared" si="30"/>
        <v>0.1928525104959552</v>
      </c>
      <c r="K116" s="426">
        <f t="shared" si="31"/>
        <v>0.2356152281376509</v>
      </c>
      <c r="L116" s="426">
        <f t="shared" si="32"/>
        <v>0.15729525606188283</v>
      </c>
      <c r="M116" s="426">
        <f t="shared" si="33"/>
        <v>5.6660750000000002</v>
      </c>
      <c r="N116" s="426">
        <f t="shared" si="34"/>
        <v>0.16196205460434984</v>
      </c>
      <c r="O116" s="425">
        <f t="shared" si="35"/>
        <v>6.4138000492998382</v>
      </c>
      <c r="P116" s="427">
        <f t="shared" si="36"/>
        <v>0.2211655189413736</v>
      </c>
      <c r="Q116" s="397"/>
      <c r="R116" s="723">
        <v>1689742</v>
      </c>
      <c r="S116" s="723">
        <v>2073729</v>
      </c>
      <c r="T116" s="724"/>
      <c r="U116" s="724"/>
      <c r="V116" s="724"/>
      <c r="W116" s="724"/>
    </row>
    <row r="117" spans="1:23" x14ac:dyDescent="0.2">
      <c r="A117" s="237">
        <v>110</v>
      </c>
      <c r="B117" s="422" t="s">
        <v>111</v>
      </c>
      <c r="C117" s="423">
        <v>596</v>
      </c>
      <c r="D117" s="424">
        <f t="shared" si="28"/>
        <v>82.223154362399995</v>
      </c>
      <c r="E117" s="244">
        <v>49005</v>
      </c>
      <c r="F117" s="244">
        <f>'COMPARATIVOS VARIABLES'!X119</f>
        <v>6888991.9500000011</v>
      </c>
      <c r="G117" s="244">
        <f>'COMPARATIVOS VARIABLES'!O119</f>
        <v>32151742.376192879</v>
      </c>
      <c r="H117" s="244">
        <v>88</v>
      </c>
      <c r="I117" s="425">
        <f t="shared" si="29"/>
        <v>1.0319349163986367</v>
      </c>
      <c r="J117" s="426">
        <f t="shared" si="30"/>
        <v>1.0171689934122947</v>
      </c>
      <c r="K117" s="426">
        <f t="shared" si="31"/>
        <v>0.67733665899832263</v>
      </c>
      <c r="L117" s="426">
        <f t="shared" si="32"/>
        <v>1.212706428748604</v>
      </c>
      <c r="M117" s="426">
        <f t="shared" si="33"/>
        <v>23.249799999999997</v>
      </c>
      <c r="N117" s="426">
        <f t="shared" si="34"/>
        <v>1.018047200370199</v>
      </c>
      <c r="O117" s="425">
        <f t="shared" si="35"/>
        <v>27.175059281529418</v>
      </c>
      <c r="P117" s="427">
        <f t="shared" si="36"/>
        <v>0.93707100970791035</v>
      </c>
      <c r="Q117" s="397"/>
      <c r="R117" s="723">
        <v>12150963</v>
      </c>
      <c r="S117" s="723">
        <v>13439881</v>
      </c>
      <c r="T117" s="724"/>
      <c r="U117" s="724"/>
      <c r="V117" s="724"/>
      <c r="W117" s="724"/>
    </row>
    <row r="118" spans="1:23" x14ac:dyDescent="0.2">
      <c r="A118" s="237">
        <v>111</v>
      </c>
      <c r="B118" s="422" t="s">
        <v>140</v>
      </c>
      <c r="C118" s="423">
        <v>160</v>
      </c>
      <c r="D118" s="424">
        <f t="shared" si="28"/>
        <v>115.0125</v>
      </c>
      <c r="E118" s="244">
        <v>18402</v>
      </c>
      <c r="F118" s="244">
        <f>'COMPARATIVOS VARIABLES'!X120</f>
        <v>1735999.53</v>
      </c>
      <c r="G118" s="244">
        <f>'COMPARATIVOS VARIABLES'!O120</f>
        <v>15491430.45648849</v>
      </c>
      <c r="H118" s="244">
        <v>37</v>
      </c>
      <c r="I118" s="425">
        <f t="shared" si="29"/>
        <v>0.38750466955550888</v>
      </c>
      <c r="J118" s="426">
        <f t="shared" si="30"/>
        <v>0.27306550158719323</v>
      </c>
      <c r="K118" s="426">
        <f t="shared" si="31"/>
        <v>0.94744823519770782</v>
      </c>
      <c r="L118" s="426">
        <f t="shared" si="32"/>
        <v>0.30559736542231764</v>
      </c>
      <c r="M118" s="426">
        <f t="shared" si="33"/>
        <v>11.202275</v>
      </c>
      <c r="N118" s="426">
        <f t="shared" si="34"/>
        <v>0.42804257288292458</v>
      </c>
      <c r="O118" s="425">
        <f t="shared" si="35"/>
        <v>13.156428675090144</v>
      </c>
      <c r="P118" s="427">
        <f t="shared" si="36"/>
        <v>0.45366995431345297</v>
      </c>
      <c r="Q118" s="397"/>
      <c r="R118" s="723">
        <v>1113369</v>
      </c>
      <c r="S118" s="723">
        <v>950274</v>
      </c>
      <c r="T118" s="724"/>
      <c r="U118" s="724"/>
      <c r="V118" s="724"/>
      <c r="W118" s="724"/>
    </row>
    <row r="119" spans="1:23" x14ac:dyDescent="0.2">
      <c r="A119" s="237">
        <v>112</v>
      </c>
      <c r="B119" s="422" t="s">
        <v>142</v>
      </c>
      <c r="C119" s="423">
        <v>513</v>
      </c>
      <c r="D119" s="424">
        <f t="shared" si="28"/>
        <v>306.15204678359999</v>
      </c>
      <c r="E119" s="244">
        <v>157056</v>
      </c>
      <c r="F119" s="244">
        <f>'COMPARATIVOS VARIABLES'!X121</f>
        <v>9759184.8599999994</v>
      </c>
      <c r="G119" s="244">
        <f>'COMPARATIVOS VARIABLES'!O121</f>
        <v>63704731.186534345</v>
      </c>
      <c r="H119" s="244">
        <v>160</v>
      </c>
      <c r="I119" s="425">
        <f t="shared" si="29"/>
        <v>3.3072455918764265</v>
      </c>
      <c r="J119" s="426">
        <f t="shared" si="30"/>
        <v>0.87551626446393815</v>
      </c>
      <c r="K119" s="426">
        <f t="shared" si="31"/>
        <v>2.5220147064648444</v>
      </c>
      <c r="L119" s="426">
        <f t="shared" si="32"/>
        <v>1.7179619754190658</v>
      </c>
      <c r="M119" s="426">
        <f t="shared" si="33"/>
        <v>46.066624999999995</v>
      </c>
      <c r="N119" s="426">
        <f t="shared" si="34"/>
        <v>1.8509949097639982</v>
      </c>
      <c r="O119" s="425">
        <f t="shared" si="35"/>
        <v>53.033112856111842</v>
      </c>
      <c r="P119" s="427">
        <f t="shared" si="36"/>
        <v>1.8287280295210968</v>
      </c>
      <c r="Q119" s="397"/>
      <c r="R119" s="723">
        <v>32342737</v>
      </c>
      <c r="S119" s="723">
        <v>36633650.399999999</v>
      </c>
      <c r="T119" s="724"/>
      <c r="U119" s="724"/>
      <c r="V119" s="724"/>
      <c r="W119" s="724"/>
    </row>
    <row r="120" spans="1:23" s="404" customFormat="1" ht="10.5" x14ac:dyDescent="0.15">
      <c r="A120" s="237">
        <v>113</v>
      </c>
      <c r="B120" s="422" t="s">
        <v>101</v>
      </c>
      <c r="C120" s="423">
        <v>220</v>
      </c>
      <c r="D120" s="424">
        <f t="shared" si="28"/>
        <v>119.15</v>
      </c>
      <c r="E120" s="244">
        <v>26213</v>
      </c>
      <c r="F120" s="244">
        <f>'COMPARATIVOS VARIABLES'!X122</f>
        <v>4035441.0500000003</v>
      </c>
      <c r="G120" s="244">
        <f>'COMPARATIVOS VARIABLES'!O122</f>
        <v>20186178.376596931</v>
      </c>
      <c r="H120" s="244">
        <v>38</v>
      </c>
      <c r="I120" s="425">
        <f t="shared" si="29"/>
        <v>0.55198673530369269</v>
      </c>
      <c r="J120" s="426">
        <f t="shared" si="30"/>
        <v>0.37546506468239066</v>
      </c>
      <c r="K120" s="426">
        <f t="shared" si="31"/>
        <v>0.98153207019938604</v>
      </c>
      <c r="L120" s="426">
        <f t="shared" si="32"/>
        <v>0.71038046490546647</v>
      </c>
      <c r="M120" s="426">
        <f t="shared" si="33"/>
        <v>14.597175000000002</v>
      </c>
      <c r="N120" s="426">
        <f t="shared" si="34"/>
        <v>0.43961129106894958</v>
      </c>
      <c r="O120" s="425">
        <f t="shared" si="35"/>
        <v>17.104163890856196</v>
      </c>
      <c r="P120" s="427">
        <f t="shared" si="36"/>
        <v>0.58979875485710986</v>
      </c>
      <c r="Q120" s="397"/>
      <c r="R120" s="723">
        <v>437276</v>
      </c>
      <c r="S120" s="723">
        <v>466379</v>
      </c>
      <c r="T120" s="724"/>
      <c r="U120" s="724"/>
      <c r="V120" s="724"/>
      <c r="W120" s="724"/>
    </row>
    <row r="121" spans="1:23" x14ac:dyDescent="0.2">
      <c r="R121" s="723">
        <f>SUM(R7:R120)</f>
        <v>1273921997.5699999</v>
      </c>
      <c r="S121" s="723">
        <f t="shared" ref="S121:W121" si="37">SUM(S7:S120)</f>
        <v>1421726440.6200001</v>
      </c>
      <c r="T121" s="726">
        <f t="shared" si="37"/>
        <v>4.424219861698365</v>
      </c>
      <c r="U121" s="726">
        <f t="shared" si="37"/>
        <v>4.424219861698365</v>
      </c>
      <c r="V121" s="725">
        <f>SUM(V7:V120)</f>
        <v>80621.160327212609</v>
      </c>
      <c r="W121" s="727">
        <f t="shared" si="37"/>
        <v>1</v>
      </c>
    </row>
    <row r="122" spans="1:23" x14ac:dyDescent="0.2">
      <c r="A122" s="414"/>
      <c r="B122" s="404"/>
      <c r="C122" s="404"/>
      <c r="D122" s="404"/>
      <c r="E122" s="404"/>
      <c r="F122" s="415"/>
      <c r="G122" s="415"/>
      <c r="H122" s="401" t="s">
        <v>7</v>
      </c>
      <c r="I122" s="404"/>
    </row>
    <row r="123" spans="1:23" x14ac:dyDescent="0.2">
      <c r="A123" s="414"/>
      <c r="B123" s="399"/>
      <c r="C123" s="404"/>
      <c r="D123" s="404"/>
      <c r="E123" s="404"/>
      <c r="F123" s="415"/>
      <c r="G123" s="415"/>
      <c r="I123" s="404"/>
    </row>
    <row r="124" spans="1:23" x14ac:dyDescent="0.2">
      <c r="A124" s="414" t="s">
        <v>161</v>
      </c>
      <c r="B124" s="404" t="s">
        <v>162</v>
      </c>
      <c r="C124" s="404"/>
      <c r="D124" s="404"/>
      <c r="E124" s="404"/>
      <c r="F124" s="415"/>
      <c r="G124" s="415"/>
      <c r="I124" s="404"/>
    </row>
  </sheetData>
  <mergeCells count="11">
    <mergeCell ref="C4:H4"/>
    <mergeCell ref="I4:P4"/>
    <mergeCell ref="A4:A6"/>
    <mergeCell ref="B4:B6"/>
    <mergeCell ref="R4:W4"/>
    <mergeCell ref="R5:R7"/>
    <mergeCell ref="S5:S7"/>
    <mergeCell ref="T5:T7"/>
    <mergeCell ref="U5:U7"/>
    <mergeCell ref="V5:V7"/>
    <mergeCell ref="W5:W7"/>
  </mergeCells>
  <printOptions horizontalCentered="1"/>
  <pageMargins left="0.74803149606299213" right="0.74803149606299213" top="1.3775590551181103" bottom="1.3775590551181103" header="0.98385826771653528" footer="0.98385826771653528"/>
  <pageSetup paperSize="9" scale="80" fitToWidth="0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26"/>
  <sheetViews>
    <sheetView workbookViewId="0"/>
  </sheetViews>
  <sheetFormatPr baseColWidth="10" defaultRowHeight="14.25" x14ac:dyDescent="0.2"/>
  <cols>
    <col min="1" max="1" width="5.375" style="1" customWidth="1"/>
    <col min="2" max="2" width="11.5" style="1" customWidth="1"/>
    <col min="3" max="3" width="7" style="1" customWidth="1"/>
    <col min="4" max="4" width="9.25" style="1" customWidth="1"/>
    <col min="5" max="5" width="7.875" style="1" customWidth="1"/>
    <col min="6" max="6" width="8.5" style="1" customWidth="1"/>
    <col min="7" max="7" width="8.125" style="3" customWidth="1"/>
    <col min="8" max="8" width="9.125" style="3" customWidth="1"/>
    <col min="9" max="11" width="6.375" style="1" customWidth="1"/>
    <col min="12" max="13" width="9.25" style="1" customWidth="1"/>
    <col min="14" max="14" width="9.625" style="1" customWidth="1"/>
    <col min="15" max="15" width="10.25" style="1" customWidth="1"/>
    <col min="16" max="16" width="9.25" style="1" customWidth="1"/>
    <col min="17" max="17" width="9.375" style="1" customWidth="1"/>
    <col min="18" max="18" width="7.625" style="1" customWidth="1"/>
    <col min="19" max="20" width="9.875" style="1" customWidth="1"/>
    <col min="21" max="21" width="3.5" style="1" customWidth="1"/>
    <col min="22" max="22" width="14.25" style="1" customWidth="1"/>
    <col min="23" max="23" width="12.875" style="1" customWidth="1"/>
    <col min="24" max="24" width="8.625" style="1" customWidth="1"/>
    <col min="25" max="1024" width="12.875" style="1" customWidth="1"/>
  </cols>
  <sheetData>
    <row r="1" spans="1:24" x14ac:dyDescent="0.2">
      <c r="B1" s="2"/>
      <c r="C1" s="2" t="s">
        <v>0</v>
      </c>
      <c r="D1" s="6"/>
      <c r="E1" s="4"/>
      <c r="F1" s="6"/>
      <c r="G1" s="7"/>
      <c r="H1" s="7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4" x14ac:dyDescent="0.2">
      <c r="B2" s="2"/>
      <c r="C2" s="2" t="s">
        <v>1</v>
      </c>
      <c r="D2" s="2"/>
      <c r="E2" s="4"/>
      <c r="F2" s="2"/>
      <c r="G2" s="8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x14ac:dyDescent="0.2">
      <c r="B3" s="2"/>
      <c r="C3" s="2" t="s">
        <v>192</v>
      </c>
      <c r="D3" s="6"/>
      <c r="E3" s="5"/>
      <c r="F3" s="6"/>
      <c r="G3" s="96"/>
      <c r="H3" s="7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4" x14ac:dyDescent="0.2">
      <c r="B4" s="2"/>
      <c r="C4" s="2"/>
      <c r="D4" s="6"/>
      <c r="E4" s="4"/>
      <c r="F4" s="6"/>
      <c r="G4" s="96"/>
      <c r="H4" s="7"/>
      <c r="I4" s="6"/>
      <c r="J4" s="6"/>
      <c r="K4" s="6"/>
      <c r="L4" s="6"/>
      <c r="M4" s="6"/>
      <c r="N4" s="6"/>
      <c r="O4" s="6"/>
      <c r="P4" s="6"/>
      <c r="Q4" s="6"/>
      <c r="R4" s="9"/>
      <c r="S4" s="9"/>
      <c r="T4" s="9"/>
      <c r="U4" s="9"/>
      <c r="V4" s="9"/>
    </row>
    <row r="5" spans="1:24" ht="16.5" customHeight="1" x14ac:dyDescent="0.2">
      <c r="A5" s="6"/>
      <c r="B5" s="6"/>
      <c r="L5" s="741" t="s">
        <v>193</v>
      </c>
      <c r="M5" s="741"/>
      <c r="N5" s="741"/>
      <c r="O5" s="741"/>
      <c r="P5" s="741"/>
      <c r="Q5" s="741"/>
      <c r="R5" s="10"/>
      <c r="S5" s="2"/>
      <c r="T5" s="2"/>
      <c r="U5" s="6"/>
      <c r="V5" s="6"/>
    </row>
    <row r="6" spans="1:24" x14ac:dyDescent="0.2">
      <c r="A6" s="11" t="s">
        <v>7</v>
      </c>
      <c r="B6" s="11" t="s">
        <v>7</v>
      </c>
      <c r="C6" s="11" t="s">
        <v>185</v>
      </c>
      <c r="D6" s="11" t="s">
        <v>194</v>
      </c>
      <c r="E6" s="11" t="s">
        <v>10</v>
      </c>
      <c r="F6" s="11" t="s">
        <v>187</v>
      </c>
      <c r="G6" s="14" t="s">
        <v>195</v>
      </c>
      <c r="H6" s="14" t="s">
        <v>196</v>
      </c>
      <c r="I6" s="11" t="s">
        <v>14</v>
      </c>
      <c r="J6" s="11" t="s">
        <v>7</v>
      </c>
      <c r="K6" s="11" t="s">
        <v>7</v>
      </c>
      <c r="L6" s="11" t="s">
        <v>185</v>
      </c>
      <c r="M6" s="11" t="s">
        <v>194</v>
      </c>
      <c r="N6" s="14" t="s">
        <v>195</v>
      </c>
      <c r="O6" s="14" t="s">
        <v>196</v>
      </c>
      <c r="P6" s="11" t="s">
        <v>197</v>
      </c>
      <c r="Q6" s="11" t="s">
        <v>198</v>
      </c>
      <c r="R6" s="11" t="s">
        <v>17</v>
      </c>
      <c r="S6" s="2"/>
      <c r="T6" s="2"/>
      <c r="U6" s="71" t="s">
        <v>7</v>
      </c>
      <c r="V6" s="71" t="s">
        <v>7</v>
      </c>
      <c r="W6" s="71" t="s">
        <v>199</v>
      </c>
      <c r="X6" s="71" t="s">
        <v>18</v>
      </c>
    </row>
    <row r="7" spans="1:24" x14ac:dyDescent="0.2">
      <c r="A7" s="19" t="s">
        <v>170</v>
      </c>
      <c r="B7" s="19" t="s">
        <v>34</v>
      </c>
      <c r="C7" s="19" t="s">
        <v>200</v>
      </c>
      <c r="D7" s="19" t="s">
        <v>201</v>
      </c>
      <c r="E7" s="19">
        <v>2020</v>
      </c>
      <c r="F7" s="19" t="s">
        <v>202</v>
      </c>
      <c r="G7" s="23">
        <v>2020</v>
      </c>
      <c r="H7" s="23" t="s">
        <v>203</v>
      </c>
      <c r="I7" s="19" t="s">
        <v>26</v>
      </c>
      <c r="J7" s="19" t="s">
        <v>170</v>
      </c>
      <c r="K7" s="19" t="s">
        <v>34</v>
      </c>
      <c r="L7" s="19" t="s">
        <v>200</v>
      </c>
      <c r="M7" s="19" t="s">
        <v>201</v>
      </c>
      <c r="N7" s="19">
        <v>2020</v>
      </c>
      <c r="O7" s="19" t="s">
        <v>203</v>
      </c>
      <c r="P7" s="19" t="s">
        <v>204</v>
      </c>
      <c r="Q7" s="19" t="s">
        <v>17</v>
      </c>
      <c r="R7" s="19" t="s">
        <v>30</v>
      </c>
      <c r="S7" s="2"/>
      <c r="T7" s="2"/>
      <c r="U7" s="73" t="s">
        <v>170</v>
      </c>
      <c r="V7" s="73" t="s">
        <v>29</v>
      </c>
      <c r="W7" s="73" t="s">
        <v>205</v>
      </c>
      <c r="X7" s="73" t="s">
        <v>32</v>
      </c>
    </row>
    <row r="8" spans="1:24" x14ac:dyDescent="0.2">
      <c r="A8" s="6"/>
      <c r="B8" s="6"/>
      <c r="C8" s="6">
        <v>1</v>
      </c>
      <c r="D8" s="6" t="s">
        <v>189</v>
      </c>
      <c r="E8" s="6">
        <v>3</v>
      </c>
      <c r="F8" s="6" t="s">
        <v>35</v>
      </c>
      <c r="G8" s="7">
        <v>5</v>
      </c>
      <c r="H8" s="7">
        <v>6</v>
      </c>
      <c r="I8" s="6">
        <v>7</v>
      </c>
      <c r="J8" s="6"/>
      <c r="K8" s="6"/>
      <c r="L8" s="97" t="s">
        <v>36</v>
      </c>
      <c r="M8" s="97" t="s">
        <v>37</v>
      </c>
      <c r="N8" s="97" t="s">
        <v>38</v>
      </c>
      <c r="O8" s="97" t="s">
        <v>190</v>
      </c>
      <c r="P8" s="97" t="s">
        <v>40</v>
      </c>
      <c r="Q8" s="97" t="s">
        <v>41</v>
      </c>
      <c r="R8" s="6" t="s">
        <v>42</v>
      </c>
      <c r="S8" s="2"/>
      <c r="T8" s="2"/>
      <c r="U8" s="63"/>
      <c r="V8" s="63"/>
      <c r="W8" s="63">
        <v>1</v>
      </c>
      <c r="X8" s="63" t="s">
        <v>206</v>
      </c>
    </row>
    <row r="9" spans="1:24" x14ac:dyDescent="0.2">
      <c r="C9" s="25">
        <f t="shared" ref="C9:I9" si="0">SUM(C10:C122)</f>
        <v>58594</v>
      </c>
      <c r="D9" s="3">
        <f t="shared" si="0"/>
        <v>12139.185628014799</v>
      </c>
      <c r="E9" s="26">
        <f t="shared" si="0"/>
        <v>4748846</v>
      </c>
      <c r="F9" s="98">
        <f t="shared" si="0"/>
        <v>100.00000000000001</v>
      </c>
      <c r="G9" s="26">
        <f t="shared" si="0"/>
        <v>591099371.06000018</v>
      </c>
      <c r="H9" s="26">
        <f t="shared" si="0"/>
        <v>2762830939.0499992</v>
      </c>
      <c r="I9" s="26">
        <f t="shared" si="0"/>
        <v>8644</v>
      </c>
      <c r="L9" s="99">
        <f t="shared" ref="L9:R9" si="1">SUM(L10:L122)</f>
        <v>99.999999999999957</v>
      </c>
      <c r="M9" s="100">
        <f t="shared" si="1"/>
        <v>99.999999999999972</v>
      </c>
      <c r="N9" s="100">
        <f t="shared" si="1"/>
        <v>100.00000000000003</v>
      </c>
      <c r="O9" s="101">
        <f t="shared" si="1"/>
        <v>2500</v>
      </c>
      <c r="P9" s="100">
        <f t="shared" si="1"/>
        <v>99.999999999999957</v>
      </c>
      <c r="Q9" s="101">
        <f t="shared" si="1"/>
        <v>2900</v>
      </c>
      <c r="R9" s="99">
        <f t="shared" si="1"/>
        <v>100.00000000000004</v>
      </c>
      <c r="S9" s="2"/>
      <c r="T9" s="2"/>
      <c r="U9" s="70"/>
      <c r="V9" s="70"/>
      <c r="W9" s="69">
        <f>SUM(W10:W122)</f>
        <v>4748846</v>
      </c>
      <c r="X9" s="102">
        <f>SUM(X10:X122)</f>
        <v>100.00000000000001</v>
      </c>
    </row>
    <row r="10" spans="1:24" x14ac:dyDescent="0.2">
      <c r="A10" s="34">
        <v>1</v>
      </c>
      <c r="B10" s="35" t="s">
        <v>43</v>
      </c>
      <c r="C10" s="36">
        <v>176</v>
      </c>
      <c r="D10" s="37">
        <f t="shared" ref="D10:D41" si="2">ROUND(E10/C10,10)</f>
        <v>64.210227272699996</v>
      </c>
      <c r="E10" s="38">
        <v>11301</v>
      </c>
      <c r="F10" s="39">
        <f t="shared" ref="F10:F41" si="3">ROUND(E10/$E$9%,6)</f>
        <v>0.23797399999999999</v>
      </c>
      <c r="G10" s="38">
        <v>1191566.8600000001</v>
      </c>
      <c r="H10" s="38">
        <v>10741291.4494801</v>
      </c>
      <c r="I10" s="38">
        <v>40</v>
      </c>
      <c r="J10" s="34">
        <v>1</v>
      </c>
      <c r="K10" s="35" t="s">
        <v>43</v>
      </c>
      <c r="L10" s="51">
        <f t="shared" ref="L10:L15" si="4">ROUND(C10/$C$9%,6)</f>
        <v>0.30037199999999997</v>
      </c>
      <c r="M10" s="51">
        <f t="shared" ref="M10:M15" si="5">ROUND(D10/$D$9%,6)</f>
        <v>0.52895000000000003</v>
      </c>
      <c r="N10" s="51">
        <f t="shared" ref="N10:N15" si="6">ROUND(G10/$G$9%,6)</f>
        <v>0.20158499999999999</v>
      </c>
      <c r="O10" s="51">
        <f t="shared" ref="O10:O41" si="7">ROUND(H10/$H$9%,6)*25</f>
        <v>9.7194500000000001</v>
      </c>
      <c r="P10" s="51">
        <f t="shared" ref="P10:P15" si="8">ROUND(I10/$I$9%,6)</f>
        <v>0.46274900000000002</v>
      </c>
      <c r="Q10" s="39">
        <f t="shared" ref="Q10:Q41" si="9">L10+M10+N10+O10+P10</f>
        <v>11.213106000000002</v>
      </c>
      <c r="R10" s="41">
        <f t="shared" ref="R10:R41" si="10">ROUND(Q10/$Q$9%,6)</f>
        <v>0.38665899999999997</v>
      </c>
      <c r="S10" s="2"/>
      <c r="T10" s="2"/>
      <c r="U10" s="79">
        <v>1</v>
      </c>
      <c r="V10" s="80" t="s">
        <v>43</v>
      </c>
      <c r="W10" s="81">
        <v>11301</v>
      </c>
      <c r="X10" s="103">
        <f t="shared" ref="X10:X41" si="11">ROUND(W10/$E$9%,6)</f>
        <v>0.23797399999999999</v>
      </c>
    </row>
    <row r="11" spans="1:24" x14ac:dyDescent="0.2">
      <c r="A11" s="34">
        <v>2</v>
      </c>
      <c r="B11" s="35" t="s">
        <v>46</v>
      </c>
      <c r="C11" s="36">
        <v>1397</v>
      </c>
      <c r="D11" s="37">
        <f t="shared" si="2"/>
        <v>10.561202577</v>
      </c>
      <c r="E11" s="38">
        <v>14754</v>
      </c>
      <c r="F11" s="39">
        <f t="shared" si="3"/>
        <v>0.31068600000000002</v>
      </c>
      <c r="G11" s="38">
        <v>1377812.9</v>
      </c>
      <c r="H11" s="38">
        <v>38107410.285552703</v>
      </c>
      <c r="I11" s="38">
        <v>133</v>
      </c>
      <c r="J11" s="34">
        <v>2</v>
      </c>
      <c r="K11" s="35" t="s">
        <v>46</v>
      </c>
      <c r="L11" s="51">
        <f t="shared" si="4"/>
        <v>2.3842029999999999</v>
      </c>
      <c r="M11" s="51">
        <f t="shared" si="5"/>
        <v>8.7000999999999995E-2</v>
      </c>
      <c r="N11" s="51">
        <f t="shared" si="6"/>
        <v>0.23309299999999999</v>
      </c>
      <c r="O11" s="51">
        <f t="shared" si="7"/>
        <v>34.482225</v>
      </c>
      <c r="P11" s="51">
        <f t="shared" si="8"/>
        <v>1.53864</v>
      </c>
      <c r="Q11" s="39">
        <f t="shared" si="9"/>
        <v>38.725161999999997</v>
      </c>
      <c r="R11" s="41">
        <f t="shared" si="10"/>
        <v>1.33535</v>
      </c>
      <c r="S11" s="2"/>
      <c r="T11" s="2"/>
      <c r="U11" s="79">
        <v>2</v>
      </c>
      <c r="V11" s="80" t="s">
        <v>46</v>
      </c>
      <c r="W11" s="81">
        <v>14754</v>
      </c>
      <c r="X11" s="103">
        <f t="shared" si="11"/>
        <v>0.31068600000000002</v>
      </c>
    </row>
    <row r="12" spans="1:24" x14ac:dyDescent="0.2">
      <c r="A12" s="34">
        <v>3</v>
      </c>
      <c r="B12" s="35" t="s">
        <v>49</v>
      </c>
      <c r="C12" s="36">
        <v>160</v>
      </c>
      <c r="D12" s="37">
        <f t="shared" si="2"/>
        <v>143.75</v>
      </c>
      <c r="E12" s="38">
        <v>23000</v>
      </c>
      <c r="F12" s="39">
        <f t="shared" si="3"/>
        <v>0.48432799999999998</v>
      </c>
      <c r="G12" s="38">
        <v>2265429.0699999998</v>
      </c>
      <c r="H12" s="38">
        <v>16919117.520366699</v>
      </c>
      <c r="I12" s="38">
        <v>47</v>
      </c>
      <c r="J12" s="34">
        <v>3</v>
      </c>
      <c r="K12" s="35" t="s">
        <v>49</v>
      </c>
      <c r="L12" s="51">
        <f t="shared" si="4"/>
        <v>0.27306599999999998</v>
      </c>
      <c r="M12" s="51">
        <f t="shared" si="5"/>
        <v>1.1841820000000001</v>
      </c>
      <c r="N12" s="51">
        <f t="shared" si="6"/>
        <v>0.38325700000000001</v>
      </c>
      <c r="O12" s="51">
        <f t="shared" si="7"/>
        <v>15.309575000000001</v>
      </c>
      <c r="P12" s="51">
        <f t="shared" si="8"/>
        <v>0.54373000000000005</v>
      </c>
      <c r="Q12" s="39">
        <f t="shared" si="9"/>
        <v>17.693809999999999</v>
      </c>
      <c r="R12" s="41">
        <f t="shared" si="10"/>
        <v>0.61013099999999998</v>
      </c>
      <c r="S12" s="2"/>
      <c r="T12" s="2"/>
      <c r="U12" s="79">
        <v>3</v>
      </c>
      <c r="V12" s="80" t="s">
        <v>49</v>
      </c>
      <c r="W12" s="81">
        <v>23000</v>
      </c>
      <c r="X12" s="103">
        <f t="shared" si="11"/>
        <v>0.48432799999999998</v>
      </c>
    </row>
    <row r="13" spans="1:24" x14ac:dyDescent="0.2">
      <c r="A13" s="34">
        <v>4</v>
      </c>
      <c r="B13" s="35" t="s">
        <v>52</v>
      </c>
      <c r="C13" s="36">
        <v>240</v>
      </c>
      <c r="D13" s="37">
        <f t="shared" si="2"/>
        <v>62.262500000000003</v>
      </c>
      <c r="E13" s="38">
        <v>14943</v>
      </c>
      <c r="F13" s="39">
        <f t="shared" si="3"/>
        <v>0.314666</v>
      </c>
      <c r="G13" s="38">
        <v>1707884.22</v>
      </c>
      <c r="H13" s="38">
        <v>10554563.026108701</v>
      </c>
      <c r="I13" s="38">
        <v>29</v>
      </c>
      <c r="J13" s="34">
        <v>4</v>
      </c>
      <c r="K13" s="35" t="s">
        <v>52</v>
      </c>
      <c r="L13" s="51">
        <f t="shared" si="4"/>
        <v>0.40959800000000002</v>
      </c>
      <c r="M13" s="51">
        <f t="shared" si="5"/>
        <v>0.51290500000000006</v>
      </c>
      <c r="N13" s="51">
        <f t="shared" si="6"/>
        <v>0.28893400000000002</v>
      </c>
      <c r="O13" s="51">
        <f t="shared" si="7"/>
        <v>9.5505000000000013</v>
      </c>
      <c r="P13" s="51">
        <f t="shared" si="8"/>
        <v>0.33549299999999999</v>
      </c>
      <c r="Q13" s="39">
        <f t="shared" si="9"/>
        <v>11.097430000000001</v>
      </c>
      <c r="R13" s="41">
        <f t="shared" si="10"/>
        <v>0.38267000000000001</v>
      </c>
      <c r="S13" s="2"/>
      <c r="T13" s="2"/>
      <c r="U13" s="79">
        <v>4</v>
      </c>
      <c r="V13" s="80" t="s">
        <v>52</v>
      </c>
      <c r="W13" s="81">
        <v>14943</v>
      </c>
      <c r="X13" s="103">
        <f t="shared" si="11"/>
        <v>0.314666</v>
      </c>
    </row>
    <row r="14" spans="1:24" x14ac:dyDescent="0.2">
      <c r="A14" s="34">
        <v>5</v>
      </c>
      <c r="B14" s="35" t="s">
        <v>54</v>
      </c>
      <c r="C14" s="36">
        <v>77</v>
      </c>
      <c r="D14" s="37">
        <f t="shared" si="2"/>
        <v>141.45454545449999</v>
      </c>
      <c r="E14" s="38">
        <v>10892</v>
      </c>
      <c r="F14" s="39">
        <f t="shared" si="3"/>
        <v>0.22936100000000001</v>
      </c>
      <c r="G14" s="38">
        <v>676497.74</v>
      </c>
      <c r="H14" s="38">
        <v>11146679.119785801</v>
      </c>
      <c r="I14" s="38">
        <v>22</v>
      </c>
      <c r="J14" s="34">
        <v>5</v>
      </c>
      <c r="K14" s="35" t="s">
        <v>54</v>
      </c>
      <c r="L14" s="51">
        <f t="shared" si="4"/>
        <v>0.131413</v>
      </c>
      <c r="M14" s="51">
        <f t="shared" si="5"/>
        <v>1.1652720000000001</v>
      </c>
      <c r="N14" s="51">
        <f t="shared" si="6"/>
        <v>0.11444699999999999</v>
      </c>
      <c r="O14" s="51">
        <f t="shared" si="7"/>
        <v>10.086275000000001</v>
      </c>
      <c r="P14" s="51">
        <f t="shared" si="8"/>
        <v>0.25451200000000002</v>
      </c>
      <c r="Q14" s="39">
        <f t="shared" si="9"/>
        <v>11.751919000000001</v>
      </c>
      <c r="R14" s="41">
        <f t="shared" si="10"/>
        <v>0.40523900000000002</v>
      </c>
      <c r="S14" s="2"/>
      <c r="T14" s="2"/>
      <c r="U14" s="79">
        <v>5</v>
      </c>
      <c r="V14" s="80" t="s">
        <v>54</v>
      </c>
      <c r="W14" s="81">
        <v>10892</v>
      </c>
      <c r="X14" s="103">
        <f t="shared" si="11"/>
        <v>0.22936100000000001</v>
      </c>
    </row>
    <row r="15" spans="1:24" x14ac:dyDescent="0.2">
      <c r="A15" s="34">
        <v>6</v>
      </c>
      <c r="B15" s="35" t="s">
        <v>57</v>
      </c>
      <c r="C15" s="36">
        <v>1640</v>
      </c>
      <c r="D15" s="37">
        <f t="shared" si="2"/>
        <v>76.945731707299998</v>
      </c>
      <c r="E15" s="38">
        <v>126191</v>
      </c>
      <c r="F15" s="39">
        <f t="shared" si="3"/>
        <v>2.6572979999999999</v>
      </c>
      <c r="G15" s="38">
        <v>24679906.879999999</v>
      </c>
      <c r="H15" s="38">
        <v>66361406.320134699</v>
      </c>
      <c r="I15" s="38">
        <v>168</v>
      </c>
      <c r="J15" s="34">
        <v>6</v>
      </c>
      <c r="K15" s="35" t="s">
        <v>57</v>
      </c>
      <c r="L15" s="51">
        <f t="shared" si="4"/>
        <v>2.798921</v>
      </c>
      <c r="M15" s="51">
        <f t="shared" si="5"/>
        <v>0.63386200000000004</v>
      </c>
      <c r="N15" s="51">
        <f t="shared" si="6"/>
        <v>4.1752549999999999</v>
      </c>
      <c r="O15" s="51">
        <f t="shared" si="7"/>
        <v>60.048375</v>
      </c>
      <c r="P15" s="51">
        <f t="shared" si="8"/>
        <v>1.9435450000000001</v>
      </c>
      <c r="Q15" s="39">
        <f t="shared" si="9"/>
        <v>69.599958000000001</v>
      </c>
      <c r="R15" s="41">
        <f t="shared" si="10"/>
        <v>2.3999990000000002</v>
      </c>
      <c r="S15" s="2"/>
      <c r="T15" s="2"/>
      <c r="U15" s="79">
        <v>6</v>
      </c>
      <c r="V15" s="80" t="s">
        <v>57</v>
      </c>
      <c r="W15" s="81">
        <v>126191</v>
      </c>
      <c r="X15" s="103">
        <f t="shared" si="11"/>
        <v>2.6572979999999999</v>
      </c>
    </row>
    <row r="16" spans="1:24" x14ac:dyDescent="0.2">
      <c r="A16" s="34">
        <v>7</v>
      </c>
      <c r="B16" s="35" t="s">
        <v>44</v>
      </c>
      <c r="C16" s="36">
        <v>58</v>
      </c>
      <c r="D16" s="37">
        <f t="shared" si="2"/>
        <v>60.844827586199997</v>
      </c>
      <c r="E16" s="38">
        <v>3529</v>
      </c>
      <c r="F16" s="39">
        <f t="shared" si="3"/>
        <v>7.4313000000000004E-2</v>
      </c>
      <c r="G16" s="38">
        <v>369065.7</v>
      </c>
      <c r="H16" s="38">
        <v>12948163.1794705</v>
      </c>
      <c r="I16" s="38">
        <v>13</v>
      </c>
      <c r="J16" s="34">
        <v>7</v>
      </c>
      <c r="K16" s="35" t="s">
        <v>44</v>
      </c>
      <c r="L16" s="51">
        <f>ROUND(C16/$C$9%,6)+0.000002</f>
        <v>9.8988000000000007E-2</v>
      </c>
      <c r="M16" s="51">
        <f>ROUND(D16/$D$9%,6)+0.000001</f>
        <v>0.50122800000000001</v>
      </c>
      <c r="N16" s="51">
        <f>ROUND(G16/$G$9%,6)+0.000001</f>
        <v>6.2438E-2</v>
      </c>
      <c r="O16" s="51">
        <f t="shared" si="7"/>
        <v>11.7164</v>
      </c>
      <c r="P16" s="51">
        <f>ROUND(I16/$I$9%,6)+0.000001</f>
        <v>0.150394</v>
      </c>
      <c r="Q16" s="39">
        <f t="shared" si="9"/>
        <v>12.529448</v>
      </c>
      <c r="R16" s="41">
        <f t="shared" si="10"/>
        <v>0.43204999999999999</v>
      </c>
      <c r="S16" s="2"/>
      <c r="T16" s="2"/>
      <c r="U16" s="79">
        <v>7</v>
      </c>
      <c r="V16" s="80" t="s">
        <v>44</v>
      </c>
      <c r="W16" s="81">
        <v>3529</v>
      </c>
      <c r="X16" s="103">
        <f t="shared" si="11"/>
        <v>7.4313000000000004E-2</v>
      </c>
    </row>
    <row r="17" spans="1:24" x14ac:dyDescent="0.2">
      <c r="A17" s="34">
        <v>8</v>
      </c>
      <c r="B17" s="35" t="s">
        <v>59</v>
      </c>
      <c r="C17" s="36">
        <v>2264</v>
      </c>
      <c r="D17" s="37">
        <f t="shared" si="2"/>
        <v>10.899293286200001</v>
      </c>
      <c r="E17" s="38">
        <v>24676</v>
      </c>
      <c r="F17" s="39">
        <f t="shared" si="3"/>
        <v>0.519621</v>
      </c>
      <c r="G17" s="38">
        <v>1925083.01</v>
      </c>
      <c r="H17" s="38">
        <v>66604198.670240298</v>
      </c>
      <c r="I17" s="38">
        <v>418</v>
      </c>
      <c r="J17" s="34">
        <v>8</v>
      </c>
      <c r="K17" s="35" t="s">
        <v>59</v>
      </c>
      <c r="L17" s="51">
        <f t="shared" ref="L17:L48" si="12">ROUND(C17/$C$9%,6)</f>
        <v>3.863877</v>
      </c>
      <c r="M17" s="51">
        <f t="shared" ref="M17:M48" si="13">ROUND(D17/$D$9%,6)</f>
        <v>8.9786000000000005E-2</v>
      </c>
      <c r="N17" s="51">
        <f t="shared" ref="N17:N48" si="14">ROUND(G17/$G$9%,6)</f>
        <v>0.32567800000000002</v>
      </c>
      <c r="O17" s="51">
        <f t="shared" si="7"/>
        <v>60.268074999999996</v>
      </c>
      <c r="P17" s="51">
        <f t="shared" ref="P17:P48" si="15">ROUND(I17/$I$9%,6)</f>
        <v>4.8357239999999999</v>
      </c>
      <c r="Q17" s="39">
        <f t="shared" si="9"/>
        <v>69.383139999999997</v>
      </c>
      <c r="R17" s="41">
        <f t="shared" si="10"/>
        <v>2.392522</v>
      </c>
      <c r="S17" s="2"/>
      <c r="T17" s="2"/>
      <c r="U17" s="79">
        <v>8</v>
      </c>
      <c r="V17" s="80" t="s">
        <v>59</v>
      </c>
      <c r="W17" s="81">
        <v>24676</v>
      </c>
      <c r="X17" s="103">
        <f t="shared" si="11"/>
        <v>0.519621</v>
      </c>
    </row>
    <row r="18" spans="1:24" x14ac:dyDescent="0.2">
      <c r="A18" s="34">
        <v>9</v>
      </c>
      <c r="B18" s="35" t="s">
        <v>62</v>
      </c>
      <c r="C18" s="36">
        <v>695</v>
      </c>
      <c r="D18" s="37">
        <f t="shared" si="2"/>
        <v>52.1841726619</v>
      </c>
      <c r="E18" s="38">
        <v>36268</v>
      </c>
      <c r="F18" s="39">
        <f t="shared" si="3"/>
        <v>0.76372200000000001</v>
      </c>
      <c r="G18" s="38">
        <v>4580118.9800000004</v>
      </c>
      <c r="H18" s="38">
        <v>24934887.888539799</v>
      </c>
      <c r="I18" s="38">
        <v>113</v>
      </c>
      <c r="J18" s="34">
        <v>9</v>
      </c>
      <c r="K18" s="35" t="s">
        <v>62</v>
      </c>
      <c r="L18" s="51">
        <f t="shared" si="12"/>
        <v>1.1861280000000001</v>
      </c>
      <c r="M18" s="51">
        <f t="shared" si="13"/>
        <v>0.42988199999999999</v>
      </c>
      <c r="N18" s="51">
        <f t="shared" si="14"/>
        <v>0.77484799999999998</v>
      </c>
      <c r="O18" s="51">
        <f t="shared" si="7"/>
        <v>22.562799999999999</v>
      </c>
      <c r="P18" s="51">
        <f t="shared" si="15"/>
        <v>1.3072649999999999</v>
      </c>
      <c r="Q18" s="39">
        <f t="shared" si="9"/>
        <v>26.260923000000002</v>
      </c>
      <c r="R18" s="41">
        <f t="shared" si="10"/>
        <v>0.90554900000000005</v>
      </c>
      <c r="S18" s="2"/>
      <c r="T18" s="2"/>
      <c r="U18" s="79">
        <v>9</v>
      </c>
      <c r="V18" s="80" t="s">
        <v>62</v>
      </c>
      <c r="W18" s="81">
        <v>36268</v>
      </c>
      <c r="X18" s="103">
        <f t="shared" si="11"/>
        <v>0.76372200000000001</v>
      </c>
    </row>
    <row r="19" spans="1:24" x14ac:dyDescent="0.2">
      <c r="A19" s="34">
        <v>10</v>
      </c>
      <c r="B19" s="35" t="s">
        <v>64</v>
      </c>
      <c r="C19" s="36">
        <v>3434</v>
      </c>
      <c r="D19" s="37">
        <f t="shared" si="2"/>
        <v>5.9207920791999999</v>
      </c>
      <c r="E19" s="38">
        <v>20332</v>
      </c>
      <c r="F19" s="39">
        <f t="shared" si="3"/>
        <v>0.42814600000000003</v>
      </c>
      <c r="G19" s="38">
        <v>2403730.9</v>
      </c>
      <c r="H19" s="38">
        <v>71115697.987146497</v>
      </c>
      <c r="I19" s="38">
        <v>333</v>
      </c>
      <c r="J19" s="34">
        <v>10</v>
      </c>
      <c r="K19" s="35" t="s">
        <v>64</v>
      </c>
      <c r="L19" s="51">
        <f t="shared" si="12"/>
        <v>5.8606680000000004</v>
      </c>
      <c r="M19" s="51">
        <f t="shared" si="13"/>
        <v>4.8773999999999998E-2</v>
      </c>
      <c r="N19" s="51">
        <f t="shared" si="14"/>
        <v>0.40665400000000002</v>
      </c>
      <c r="O19" s="51">
        <f t="shared" si="7"/>
        <v>64.350399999999993</v>
      </c>
      <c r="P19" s="51">
        <f t="shared" si="15"/>
        <v>3.8523830000000001</v>
      </c>
      <c r="Q19" s="39">
        <f t="shared" si="9"/>
        <v>74.518878999999998</v>
      </c>
      <c r="R19" s="41">
        <f t="shared" si="10"/>
        <v>2.569617</v>
      </c>
      <c r="S19" s="2"/>
      <c r="T19" s="2"/>
      <c r="U19" s="79">
        <v>10</v>
      </c>
      <c r="V19" s="80" t="s">
        <v>64</v>
      </c>
      <c r="W19" s="81">
        <v>20332</v>
      </c>
      <c r="X19" s="103">
        <f t="shared" si="11"/>
        <v>0.42814600000000003</v>
      </c>
    </row>
    <row r="20" spans="1:24" x14ac:dyDescent="0.2">
      <c r="A20" s="34">
        <v>11</v>
      </c>
      <c r="B20" s="35" t="s">
        <v>67</v>
      </c>
      <c r="C20" s="36">
        <v>68</v>
      </c>
      <c r="D20" s="37">
        <f t="shared" si="2"/>
        <v>171.7794117647</v>
      </c>
      <c r="E20" s="38">
        <v>11681</v>
      </c>
      <c r="F20" s="39">
        <f t="shared" si="3"/>
        <v>0.245976</v>
      </c>
      <c r="G20" s="38">
        <v>1114997.0900000001</v>
      </c>
      <c r="H20" s="38">
        <v>13583171.933170401</v>
      </c>
      <c r="I20" s="38">
        <v>7</v>
      </c>
      <c r="J20" s="34">
        <v>11</v>
      </c>
      <c r="K20" s="35" t="s">
        <v>67</v>
      </c>
      <c r="L20" s="51">
        <f t="shared" si="12"/>
        <v>0.116053</v>
      </c>
      <c r="M20" s="51">
        <f t="shared" si="13"/>
        <v>1.415082</v>
      </c>
      <c r="N20" s="51">
        <f t="shared" si="14"/>
        <v>0.18863099999999999</v>
      </c>
      <c r="O20" s="51">
        <f t="shared" si="7"/>
        <v>12.291</v>
      </c>
      <c r="P20" s="51">
        <f t="shared" si="15"/>
        <v>8.0980999999999997E-2</v>
      </c>
      <c r="Q20" s="39">
        <f t="shared" si="9"/>
        <v>14.091747</v>
      </c>
      <c r="R20" s="41">
        <f t="shared" si="10"/>
        <v>0.48592200000000002</v>
      </c>
      <c r="S20" s="2"/>
      <c r="T20" s="2"/>
      <c r="U20" s="79">
        <v>11</v>
      </c>
      <c r="V20" s="80" t="s">
        <v>67</v>
      </c>
      <c r="W20" s="81">
        <v>11681</v>
      </c>
      <c r="X20" s="103">
        <f t="shared" si="11"/>
        <v>0.245976</v>
      </c>
    </row>
    <row r="21" spans="1:24" x14ac:dyDescent="0.2">
      <c r="A21" s="34">
        <v>12</v>
      </c>
      <c r="B21" s="35" t="s">
        <v>70</v>
      </c>
      <c r="C21" s="36">
        <v>922</v>
      </c>
      <c r="D21" s="37">
        <f t="shared" si="2"/>
        <v>49.390455531500002</v>
      </c>
      <c r="E21" s="38">
        <v>45538</v>
      </c>
      <c r="F21" s="39">
        <f t="shared" si="3"/>
        <v>0.958928</v>
      </c>
      <c r="G21" s="38">
        <v>6513648.8200000003</v>
      </c>
      <c r="H21" s="38">
        <v>28296529.723433498</v>
      </c>
      <c r="I21" s="38">
        <v>92</v>
      </c>
      <c r="J21" s="34">
        <v>12</v>
      </c>
      <c r="K21" s="35" t="s">
        <v>70</v>
      </c>
      <c r="L21" s="51">
        <f t="shared" si="12"/>
        <v>1.5735399999999999</v>
      </c>
      <c r="M21" s="51">
        <f t="shared" si="13"/>
        <v>0.40686800000000001</v>
      </c>
      <c r="N21" s="51">
        <f t="shared" si="14"/>
        <v>1.101955</v>
      </c>
      <c r="O21" s="51">
        <f t="shared" si="7"/>
        <v>25.604649999999999</v>
      </c>
      <c r="P21" s="51">
        <f t="shared" si="15"/>
        <v>1.064322</v>
      </c>
      <c r="Q21" s="39">
        <f t="shared" si="9"/>
        <v>29.751335000000001</v>
      </c>
      <c r="R21" s="41">
        <f t="shared" si="10"/>
        <v>1.025908</v>
      </c>
      <c r="S21" s="2"/>
      <c r="T21" s="2"/>
      <c r="U21" s="79">
        <v>12</v>
      </c>
      <c r="V21" s="80" t="s">
        <v>70</v>
      </c>
      <c r="W21" s="81">
        <v>45538</v>
      </c>
      <c r="X21" s="103">
        <f t="shared" si="11"/>
        <v>0.958928</v>
      </c>
    </row>
    <row r="22" spans="1:24" x14ac:dyDescent="0.2">
      <c r="A22" s="34">
        <v>13</v>
      </c>
      <c r="B22" s="35" t="s">
        <v>73</v>
      </c>
      <c r="C22" s="36">
        <v>918</v>
      </c>
      <c r="D22" s="37">
        <f t="shared" si="2"/>
        <v>9.9956427014999996</v>
      </c>
      <c r="E22" s="38">
        <v>9176</v>
      </c>
      <c r="F22" s="39">
        <f t="shared" si="3"/>
        <v>0.19322600000000001</v>
      </c>
      <c r="G22" s="38">
        <v>1032448.83</v>
      </c>
      <c r="H22" s="38">
        <v>27876559.0968327</v>
      </c>
      <c r="I22" s="38">
        <v>149</v>
      </c>
      <c r="J22" s="34">
        <v>13</v>
      </c>
      <c r="K22" s="35" t="s">
        <v>73</v>
      </c>
      <c r="L22" s="51">
        <f t="shared" si="12"/>
        <v>1.566713</v>
      </c>
      <c r="M22" s="51">
        <f t="shared" si="13"/>
        <v>8.2341999999999999E-2</v>
      </c>
      <c r="N22" s="51">
        <f t="shared" si="14"/>
        <v>0.17466599999999999</v>
      </c>
      <c r="O22" s="51">
        <f t="shared" si="7"/>
        <v>25.224625</v>
      </c>
      <c r="P22" s="51">
        <f t="shared" si="15"/>
        <v>1.7237389999999999</v>
      </c>
      <c r="Q22" s="39">
        <f t="shared" si="9"/>
        <v>28.772084999999997</v>
      </c>
      <c r="R22" s="41">
        <f t="shared" si="10"/>
        <v>0.99214100000000005</v>
      </c>
      <c r="S22" s="2"/>
      <c r="T22" s="2"/>
      <c r="U22" s="79">
        <v>13</v>
      </c>
      <c r="V22" s="80" t="s">
        <v>73</v>
      </c>
      <c r="W22" s="81">
        <v>9176</v>
      </c>
      <c r="X22" s="103">
        <f t="shared" si="11"/>
        <v>0.19322600000000001</v>
      </c>
    </row>
    <row r="23" spans="1:24" x14ac:dyDescent="0.2">
      <c r="A23" s="34">
        <v>14</v>
      </c>
      <c r="B23" s="35" t="s">
        <v>75</v>
      </c>
      <c r="C23" s="36">
        <v>366</v>
      </c>
      <c r="D23" s="37">
        <f t="shared" si="2"/>
        <v>46.508196721300003</v>
      </c>
      <c r="E23" s="38">
        <v>17022</v>
      </c>
      <c r="F23" s="39">
        <f t="shared" si="3"/>
        <v>0.35844500000000001</v>
      </c>
      <c r="G23" s="38">
        <v>3321769.55</v>
      </c>
      <c r="H23" s="38">
        <v>15870334.933137501</v>
      </c>
      <c r="I23" s="38">
        <v>69</v>
      </c>
      <c r="J23" s="34">
        <v>14</v>
      </c>
      <c r="K23" s="35" t="s">
        <v>75</v>
      </c>
      <c r="L23" s="51">
        <f t="shared" si="12"/>
        <v>0.624637</v>
      </c>
      <c r="M23" s="51">
        <f t="shared" si="13"/>
        <v>0.38312499999999999</v>
      </c>
      <c r="N23" s="51">
        <f t="shared" si="14"/>
        <v>0.56196500000000005</v>
      </c>
      <c r="O23" s="51">
        <f t="shared" si="7"/>
        <v>14.360575000000001</v>
      </c>
      <c r="P23" s="51">
        <f t="shared" si="15"/>
        <v>0.79824200000000001</v>
      </c>
      <c r="Q23" s="39">
        <f t="shared" si="9"/>
        <v>16.728543999999999</v>
      </c>
      <c r="R23" s="41">
        <f t="shared" si="10"/>
        <v>0.57684599999999997</v>
      </c>
      <c r="S23" s="2"/>
      <c r="T23" s="2"/>
      <c r="U23" s="79">
        <v>14</v>
      </c>
      <c r="V23" s="80" t="s">
        <v>75</v>
      </c>
      <c r="W23" s="81">
        <v>17022</v>
      </c>
      <c r="X23" s="103">
        <f t="shared" si="11"/>
        <v>0.35844500000000001</v>
      </c>
    </row>
    <row r="24" spans="1:24" x14ac:dyDescent="0.2">
      <c r="A24" s="34">
        <v>15</v>
      </c>
      <c r="B24" s="38" t="s">
        <v>77</v>
      </c>
      <c r="C24" s="36">
        <v>2826</v>
      </c>
      <c r="D24" s="37">
        <f t="shared" si="2"/>
        <v>6.9472753008000003</v>
      </c>
      <c r="E24" s="38">
        <v>19633</v>
      </c>
      <c r="F24" s="39">
        <f t="shared" si="3"/>
        <v>0.41342699999999999</v>
      </c>
      <c r="G24" s="38">
        <v>2316694.7400000002</v>
      </c>
      <c r="H24" s="38">
        <v>69804005.035709098</v>
      </c>
      <c r="I24" s="38">
        <v>345</v>
      </c>
      <c r="J24" s="34">
        <v>15</v>
      </c>
      <c r="K24" s="38" t="s">
        <v>77</v>
      </c>
      <c r="L24" s="51">
        <f t="shared" si="12"/>
        <v>4.8230190000000004</v>
      </c>
      <c r="M24" s="51">
        <f t="shared" si="13"/>
        <v>5.7230000000000003E-2</v>
      </c>
      <c r="N24" s="51">
        <f t="shared" si="14"/>
        <v>0.39193</v>
      </c>
      <c r="O24" s="51">
        <f t="shared" si="7"/>
        <v>63.163475000000005</v>
      </c>
      <c r="P24" s="51">
        <f t="shared" si="15"/>
        <v>3.9912079999999999</v>
      </c>
      <c r="Q24" s="39">
        <f t="shared" si="9"/>
        <v>72.426862</v>
      </c>
      <c r="R24" s="41">
        <f t="shared" si="10"/>
        <v>2.4974780000000001</v>
      </c>
      <c r="S24" s="2"/>
      <c r="T24" s="2"/>
      <c r="U24" s="79">
        <v>15</v>
      </c>
      <c r="V24" s="81" t="s">
        <v>77</v>
      </c>
      <c r="W24" s="81">
        <v>19633</v>
      </c>
      <c r="X24" s="103">
        <f t="shared" si="11"/>
        <v>0.41342699999999999</v>
      </c>
    </row>
    <row r="25" spans="1:24" x14ac:dyDescent="0.2">
      <c r="A25" s="34">
        <v>16</v>
      </c>
      <c r="B25" s="35" t="s">
        <v>79</v>
      </c>
      <c r="C25" s="36">
        <v>394</v>
      </c>
      <c r="D25" s="37">
        <f t="shared" si="2"/>
        <v>53.210659898499998</v>
      </c>
      <c r="E25" s="38">
        <v>20965</v>
      </c>
      <c r="F25" s="39">
        <f t="shared" si="3"/>
        <v>0.44147599999999998</v>
      </c>
      <c r="G25" s="38">
        <v>2461346.2999999998</v>
      </c>
      <c r="H25" s="38">
        <v>13717838.0048529</v>
      </c>
      <c r="I25" s="38">
        <v>41</v>
      </c>
      <c r="J25" s="34">
        <v>16</v>
      </c>
      <c r="K25" s="35" t="s">
        <v>79</v>
      </c>
      <c r="L25" s="51">
        <f t="shared" si="12"/>
        <v>0.67242400000000002</v>
      </c>
      <c r="M25" s="51">
        <f t="shared" si="13"/>
        <v>0.43833800000000001</v>
      </c>
      <c r="N25" s="51">
        <f t="shared" si="14"/>
        <v>0.41640100000000002</v>
      </c>
      <c r="O25" s="51">
        <f t="shared" si="7"/>
        <v>12.412850000000001</v>
      </c>
      <c r="P25" s="51">
        <f t="shared" si="15"/>
        <v>0.47431699999999999</v>
      </c>
      <c r="Q25" s="39">
        <f t="shared" si="9"/>
        <v>14.41433</v>
      </c>
      <c r="R25" s="41">
        <f t="shared" si="10"/>
        <v>0.49704599999999999</v>
      </c>
      <c r="S25" s="2"/>
      <c r="T25" s="2"/>
      <c r="U25" s="79">
        <v>16</v>
      </c>
      <c r="V25" s="80" t="s">
        <v>79</v>
      </c>
      <c r="W25" s="81">
        <v>20965</v>
      </c>
      <c r="X25" s="103">
        <f t="shared" si="11"/>
        <v>0.44147599999999998</v>
      </c>
    </row>
    <row r="26" spans="1:24" x14ac:dyDescent="0.2">
      <c r="A26" s="34">
        <v>17</v>
      </c>
      <c r="B26" s="35" t="s">
        <v>81</v>
      </c>
      <c r="C26" s="36">
        <v>379</v>
      </c>
      <c r="D26" s="37">
        <f t="shared" si="2"/>
        <v>92.532981530300006</v>
      </c>
      <c r="E26" s="38">
        <v>35070</v>
      </c>
      <c r="F26" s="39">
        <f t="shared" si="3"/>
        <v>0.73849500000000001</v>
      </c>
      <c r="G26" s="38">
        <v>2730198.08</v>
      </c>
      <c r="H26" s="38">
        <v>16892307.551676799</v>
      </c>
      <c r="I26" s="38">
        <v>78</v>
      </c>
      <c r="J26" s="34">
        <v>17</v>
      </c>
      <c r="K26" s="35" t="s">
        <v>81</v>
      </c>
      <c r="L26" s="51">
        <f t="shared" si="12"/>
        <v>0.64682399999999995</v>
      </c>
      <c r="M26" s="51">
        <f t="shared" si="13"/>
        <v>0.76226700000000003</v>
      </c>
      <c r="N26" s="51">
        <f t="shared" si="14"/>
        <v>0.46188499999999999</v>
      </c>
      <c r="O26" s="51">
        <f t="shared" si="7"/>
        <v>15.285325</v>
      </c>
      <c r="P26" s="51">
        <f t="shared" si="15"/>
        <v>0.90236000000000005</v>
      </c>
      <c r="Q26" s="39">
        <f t="shared" si="9"/>
        <v>18.058661000000001</v>
      </c>
      <c r="R26" s="41">
        <f t="shared" si="10"/>
        <v>0.62271200000000004</v>
      </c>
      <c r="S26" s="2"/>
      <c r="T26" s="2"/>
      <c r="U26" s="79">
        <v>17</v>
      </c>
      <c r="V26" s="80" t="s">
        <v>81</v>
      </c>
      <c r="W26" s="81">
        <v>35070</v>
      </c>
      <c r="X26" s="103">
        <f t="shared" si="11"/>
        <v>0.73849500000000001</v>
      </c>
    </row>
    <row r="27" spans="1:24" x14ac:dyDescent="0.2">
      <c r="A27" s="34">
        <v>18</v>
      </c>
      <c r="B27" s="35" t="s">
        <v>82</v>
      </c>
      <c r="C27" s="36">
        <v>173</v>
      </c>
      <c r="D27" s="37">
        <f t="shared" si="2"/>
        <v>54.8208092486</v>
      </c>
      <c r="E27" s="38">
        <v>9484</v>
      </c>
      <c r="F27" s="39">
        <f t="shared" si="3"/>
        <v>0.199712</v>
      </c>
      <c r="G27" s="38">
        <v>834473.29</v>
      </c>
      <c r="H27" s="38">
        <v>7814750.0193566</v>
      </c>
      <c r="I27" s="38">
        <v>14</v>
      </c>
      <c r="J27" s="34">
        <v>18</v>
      </c>
      <c r="K27" s="35" t="s">
        <v>82</v>
      </c>
      <c r="L27" s="51">
        <f t="shared" si="12"/>
        <v>0.29525200000000001</v>
      </c>
      <c r="M27" s="51">
        <f t="shared" si="13"/>
        <v>0.451602</v>
      </c>
      <c r="N27" s="51">
        <f t="shared" si="14"/>
        <v>0.14117299999999999</v>
      </c>
      <c r="O27" s="51">
        <f t="shared" si="7"/>
        <v>7.0713250000000007</v>
      </c>
      <c r="P27" s="51">
        <f t="shared" si="15"/>
        <v>0.16196199999999999</v>
      </c>
      <c r="Q27" s="39">
        <f t="shared" si="9"/>
        <v>8.1213140000000017</v>
      </c>
      <c r="R27" s="41">
        <f t="shared" si="10"/>
        <v>0.28004499999999999</v>
      </c>
      <c r="S27" s="2"/>
      <c r="T27" s="2"/>
      <c r="U27" s="79">
        <v>18</v>
      </c>
      <c r="V27" s="80" t="s">
        <v>82</v>
      </c>
      <c r="W27" s="81">
        <v>9484</v>
      </c>
      <c r="X27" s="103">
        <f t="shared" si="11"/>
        <v>0.199712</v>
      </c>
    </row>
    <row r="28" spans="1:24" x14ac:dyDescent="0.2">
      <c r="A28" s="34">
        <v>19</v>
      </c>
      <c r="B28" s="35" t="s">
        <v>86</v>
      </c>
      <c r="C28" s="36">
        <v>505</v>
      </c>
      <c r="D28" s="37">
        <f t="shared" si="2"/>
        <v>39.996039604000003</v>
      </c>
      <c r="E28" s="38">
        <v>20198</v>
      </c>
      <c r="F28" s="39">
        <f t="shared" si="3"/>
        <v>0.42532399999999998</v>
      </c>
      <c r="G28" s="38">
        <v>2738891.83</v>
      </c>
      <c r="H28" s="38">
        <v>17168426.057990599</v>
      </c>
      <c r="I28" s="38">
        <v>72</v>
      </c>
      <c r="J28" s="34">
        <v>19</v>
      </c>
      <c r="K28" s="35" t="s">
        <v>86</v>
      </c>
      <c r="L28" s="51">
        <f t="shared" si="12"/>
        <v>0.86186300000000005</v>
      </c>
      <c r="M28" s="51">
        <f t="shared" si="13"/>
        <v>0.32947900000000002</v>
      </c>
      <c r="N28" s="51">
        <f t="shared" si="14"/>
        <v>0.46335599999999999</v>
      </c>
      <c r="O28" s="51">
        <f t="shared" si="7"/>
        <v>15.535175000000001</v>
      </c>
      <c r="P28" s="51">
        <f t="shared" si="15"/>
        <v>0.83294800000000002</v>
      </c>
      <c r="Q28" s="39">
        <f t="shared" si="9"/>
        <v>18.022821</v>
      </c>
      <c r="R28" s="41">
        <f t="shared" si="10"/>
        <v>0.62147699999999995</v>
      </c>
      <c r="S28" s="2"/>
      <c r="T28" s="2"/>
      <c r="U28" s="79">
        <v>19</v>
      </c>
      <c r="V28" s="80" t="s">
        <v>86</v>
      </c>
      <c r="W28" s="81">
        <v>20198</v>
      </c>
      <c r="X28" s="103">
        <f t="shared" si="11"/>
        <v>0.42532399999999998</v>
      </c>
    </row>
    <row r="29" spans="1:24" x14ac:dyDescent="0.2">
      <c r="A29" s="34">
        <v>20</v>
      </c>
      <c r="B29" s="35" t="s">
        <v>87</v>
      </c>
      <c r="C29" s="36">
        <v>254</v>
      </c>
      <c r="D29" s="37">
        <f t="shared" si="2"/>
        <v>117.75590551179999</v>
      </c>
      <c r="E29" s="38">
        <v>29910</v>
      </c>
      <c r="F29" s="39">
        <f t="shared" si="3"/>
        <v>0.62983699999999998</v>
      </c>
      <c r="G29" s="38">
        <v>3001702.99</v>
      </c>
      <c r="H29" s="38">
        <v>14738962.740735101</v>
      </c>
      <c r="I29" s="38">
        <v>20</v>
      </c>
      <c r="J29" s="34">
        <v>20</v>
      </c>
      <c r="K29" s="35" t="s">
        <v>87</v>
      </c>
      <c r="L29" s="51">
        <f t="shared" si="12"/>
        <v>0.43349100000000002</v>
      </c>
      <c r="M29" s="51">
        <f t="shared" si="13"/>
        <v>0.97004800000000002</v>
      </c>
      <c r="N29" s="51">
        <f t="shared" si="14"/>
        <v>0.50781699999999996</v>
      </c>
      <c r="O29" s="51">
        <f t="shared" si="7"/>
        <v>13.336824999999999</v>
      </c>
      <c r="P29" s="51">
        <f t="shared" si="15"/>
        <v>0.231374</v>
      </c>
      <c r="Q29" s="39">
        <f t="shared" si="9"/>
        <v>15.479555</v>
      </c>
      <c r="R29" s="41">
        <f t="shared" si="10"/>
        <v>0.53377799999999997</v>
      </c>
      <c r="S29" s="2"/>
      <c r="T29" s="2"/>
      <c r="U29" s="79">
        <v>20</v>
      </c>
      <c r="V29" s="80" t="s">
        <v>87</v>
      </c>
      <c r="W29" s="81">
        <v>29910</v>
      </c>
      <c r="X29" s="103">
        <f t="shared" si="11"/>
        <v>0.62983699999999998</v>
      </c>
    </row>
    <row r="30" spans="1:24" x14ac:dyDescent="0.2">
      <c r="A30" s="34">
        <v>21</v>
      </c>
      <c r="B30" s="35" t="s">
        <v>88</v>
      </c>
      <c r="C30" s="36">
        <v>234</v>
      </c>
      <c r="D30" s="37">
        <f t="shared" si="2"/>
        <v>57.858974359000001</v>
      </c>
      <c r="E30" s="38">
        <v>13539</v>
      </c>
      <c r="F30" s="39">
        <f t="shared" si="3"/>
        <v>0.28510099999999999</v>
      </c>
      <c r="G30" s="38">
        <v>963150.68</v>
      </c>
      <c r="H30" s="38">
        <v>8057435.7497355696</v>
      </c>
      <c r="I30" s="38">
        <v>9</v>
      </c>
      <c r="J30" s="34">
        <v>21</v>
      </c>
      <c r="K30" s="35" t="s">
        <v>88</v>
      </c>
      <c r="L30" s="51">
        <f t="shared" si="12"/>
        <v>0.39935799999999999</v>
      </c>
      <c r="M30" s="51">
        <f t="shared" si="13"/>
        <v>0.47663</v>
      </c>
      <c r="N30" s="51">
        <f t="shared" si="14"/>
        <v>0.162942</v>
      </c>
      <c r="O30" s="51">
        <f t="shared" si="7"/>
        <v>7.2909249999999997</v>
      </c>
      <c r="P30" s="51">
        <f t="shared" si="15"/>
        <v>0.104118</v>
      </c>
      <c r="Q30" s="39">
        <f t="shared" si="9"/>
        <v>8.4339729999999999</v>
      </c>
      <c r="R30" s="41">
        <f t="shared" si="10"/>
        <v>0.290827</v>
      </c>
      <c r="S30" s="2"/>
      <c r="T30" s="2"/>
      <c r="U30" s="79">
        <v>21</v>
      </c>
      <c r="V30" s="80" t="s">
        <v>88</v>
      </c>
      <c r="W30" s="81">
        <v>13539</v>
      </c>
      <c r="X30" s="103">
        <f t="shared" si="11"/>
        <v>0.28510099999999999</v>
      </c>
    </row>
    <row r="31" spans="1:24" x14ac:dyDescent="0.2">
      <c r="A31" s="34">
        <v>22</v>
      </c>
      <c r="B31" s="35" t="s">
        <v>91</v>
      </c>
      <c r="C31" s="36">
        <v>323</v>
      </c>
      <c r="D31" s="37">
        <f t="shared" si="2"/>
        <v>77.826625387000007</v>
      </c>
      <c r="E31" s="38">
        <v>25138</v>
      </c>
      <c r="F31" s="39">
        <f t="shared" si="3"/>
        <v>0.52934999999999999</v>
      </c>
      <c r="G31" s="38">
        <v>2273712.77</v>
      </c>
      <c r="H31" s="38">
        <v>15661342.5517687</v>
      </c>
      <c r="I31" s="38">
        <v>77</v>
      </c>
      <c r="J31" s="34">
        <v>22</v>
      </c>
      <c r="K31" s="35" t="s">
        <v>91</v>
      </c>
      <c r="L31" s="51">
        <f t="shared" si="12"/>
        <v>0.55125100000000005</v>
      </c>
      <c r="M31" s="51">
        <f t="shared" si="13"/>
        <v>0.64111899999999999</v>
      </c>
      <c r="N31" s="51">
        <f t="shared" si="14"/>
        <v>0.384658</v>
      </c>
      <c r="O31" s="51">
        <f t="shared" si="7"/>
        <v>14.171475000000001</v>
      </c>
      <c r="P31" s="51">
        <f t="shared" si="15"/>
        <v>0.890791</v>
      </c>
      <c r="Q31" s="39">
        <f t="shared" si="9"/>
        <v>16.639294</v>
      </c>
      <c r="R31" s="41">
        <f t="shared" si="10"/>
        <v>0.57376899999999997</v>
      </c>
      <c r="S31" s="2"/>
      <c r="T31" s="2"/>
      <c r="U31" s="79">
        <v>22</v>
      </c>
      <c r="V31" s="80" t="s">
        <v>91</v>
      </c>
      <c r="W31" s="81">
        <v>25138</v>
      </c>
      <c r="X31" s="103">
        <f t="shared" si="11"/>
        <v>0.52934999999999999</v>
      </c>
    </row>
    <row r="32" spans="1:24" x14ac:dyDescent="0.2">
      <c r="A32" s="34">
        <v>23</v>
      </c>
      <c r="B32" s="35" t="s">
        <v>60</v>
      </c>
      <c r="C32" s="36">
        <v>152</v>
      </c>
      <c r="D32" s="37">
        <f t="shared" si="2"/>
        <v>68.532894736800003</v>
      </c>
      <c r="E32" s="38">
        <v>10417</v>
      </c>
      <c r="F32" s="39">
        <f t="shared" si="3"/>
        <v>0.219359</v>
      </c>
      <c r="G32" s="38">
        <v>1342531.9</v>
      </c>
      <c r="H32" s="38">
        <v>9505023.7946259808</v>
      </c>
      <c r="I32" s="38">
        <v>8</v>
      </c>
      <c r="J32" s="34">
        <v>23</v>
      </c>
      <c r="K32" s="35" t="s">
        <v>60</v>
      </c>
      <c r="L32" s="51">
        <f t="shared" si="12"/>
        <v>0.25941199999999998</v>
      </c>
      <c r="M32" s="51">
        <f t="shared" si="13"/>
        <v>0.56455900000000003</v>
      </c>
      <c r="N32" s="51">
        <f t="shared" si="14"/>
        <v>0.22712499999999999</v>
      </c>
      <c r="O32" s="51">
        <f t="shared" si="7"/>
        <v>8.6007999999999996</v>
      </c>
      <c r="P32" s="51">
        <f t="shared" si="15"/>
        <v>9.2549999999999993E-2</v>
      </c>
      <c r="Q32" s="39">
        <f t="shared" si="9"/>
        <v>9.7444459999999982</v>
      </c>
      <c r="R32" s="41">
        <f t="shared" si="10"/>
        <v>0.33601500000000001</v>
      </c>
      <c r="S32" s="2"/>
      <c r="T32" s="2"/>
      <c r="U32" s="79">
        <v>23</v>
      </c>
      <c r="V32" s="80" t="s">
        <v>60</v>
      </c>
      <c r="W32" s="81">
        <v>10417</v>
      </c>
      <c r="X32" s="103">
        <f t="shared" si="11"/>
        <v>0.219359</v>
      </c>
    </row>
    <row r="33" spans="1:24" x14ac:dyDescent="0.2">
      <c r="A33" s="34">
        <v>24</v>
      </c>
      <c r="B33" s="35" t="s">
        <v>95</v>
      </c>
      <c r="C33" s="36">
        <v>222</v>
      </c>
      <c r="D33" s="37">
        <f t="shared" si="2"/>
        <v>92.729729729699997</v>
      </c>
      <c r="E33" s="38">
        <v>20586</v>
      </c>
      <c r="F33" s="39">
        <f t="shared" si="3"/>
        <v>0.43349500000000002</v>
      </c>
      <c r="G33" s="38">
        <v>1438898.43</v>
      </c>
      <c r="H33" s="38">
        <v>10135258.422279101</v>
      </c>
      <c r="I33" s="38">
        <v>8</v>
      </c>
      <c r="J33" s="34">
        <v>24</v>
      </c>
      <c r="K33" s="35" t="s">
        <v>95</v>
      </c>
      <c r="L33" s="51">
        <f t="shared" si="12"/>
        <v>0.37887799999999999</v>
      </c>
      <c r="M33" s="51">
        <f t="shared" si="13"/>
        <v>0.76388800000000001</v>
      </c>
      <c r="N33" s="51">
        <f t="shared" si="14"/>
        <v>0.24342800000000001</v>
      </c>
      <c r="O33" s="51">
        <f t="shared" si="7"/>
        <v>9.1710750000000001</v>
      </c>
      <c r="P33" s="51">
        <f t="shared" si="15"/>
        <v>9.2549999999999993E-2</v>
      </c>
      <c r="Q33" s="39">
        <f t="shared" si="9"/>
        <v>10.649818999999999</v>
      </c>
      <c r="R33" s="41">
        <f t="shared" si="10"/>
        <v>0.36723499999999998</v>
      </c>
      <c r="S33" s="2"/>
      <c r="T33" s="2"/>
      <c r="U33" s="79">
        <v>24</v>
      </c>
      <c r="V33" s="80" t="s">
        <v>95</v>
      </c>
      <c r="W33" s="81">
        <v>20586</v>
      </c>
      <c r="X33" s="103">
        <f t="shared" si="11"/>
        <v>0.43349500000000002</v>
      </c>
    </row>
    <row r="34" spans="1:24" x14ac:dyDescent="0.2">
      <c r="A34" s="34">
        <v>25</v>
      </c>
      <c r="B34" s="35" t="s">
        <v>97</v>
      </c>
      <c r="C34" s="36">
        <v>305</v>
      </c>
      <c r="D34" s="37">
        <f t="shared" si="2"/>
        <v>132.98360655740001</v>
      </c>
      <c r="E34" s="38">
        <v>40560</v>
      </c>
      <c r="F34" s="39">
        <f t="shared" si="3"/>
        <v>0.85410200000000003</v>
      </c>
      <c r="G34" s="38">
        <v>2830371.8</v>
      </c>
      <c r="H34" s="38">
        <v>15376880.8315547</v>
      </c>
      <c r="I34" s="38">
        <v>19</v>
      </c>
      <c r="J34" s="34">
        <v>25</v>
      </c>
      <c r="K34" s="35" t="s">
        <v>97</v>
      </c>
      <c r="L34" s="51">
        <f t="shared" si="12"/>
        <v>0.52053099999999997</v>
      </c>
      <c r="M34" s="51">
        <f t="shared" si="13"/>
        <v>1.0954900000000001</v>
      </c>
      <c r="N34" s="51">
        <f t="shared" si="14"/>
        <v>0.47883199999999998</v>
      </c>
      <c r="O34" s="51">
        <f t="shared" si="7"/>
        <v>13.91405</v>
      </c>
      <c r="P34" s="51">
        <f t="shared" si="15"/>
        <v>0.219806</v>
      </c>
      <c r="Q34" s="39">
        <f t="shared" si="9"/>
        <v>16.228708999999998</v>
      </c>
      <c r="R34" s="41">
        <f t="shared" si="10"/>
        <v>0.55961099999999997</v>
      </c>
      <c r="S34" s="2"/>
      <c r="T34" s="2"/>
      <c r="U34" s="79">
        <v>25</v>
      </c>
      <c r="V34" s="80" t="s">
        <v>97</v>
      </c>
      <c r="W34" s="81">
        <v>40560</v>
      </c>
      <c r="X34" s="103">
        <f t="shared" si="11"/>
        <v>0.85410200000000003</v>
      </c>
    </row>
    <row r="35" spans="1:24" x14ac:dyDescent="0.2">
      <c r="A35" s="34">
        <v>26</v>
      </c>
      <c r="B35" s="35" t="s">
        <v>90</v>
      </c>
      <c r="C35" s="36">
        <v>1022</v>
      </c>
      <c r="D35" s="37">
        <f t="shared" si="2"/>
        <v>4.6702544031000004</v>
      </c>
      <c r="E35" s="38">
        <v>4773</v>
      </c>
      <c r="F35" s="39">
        <f t="shared" si="3"/>
        <v>0.100509</v>
      </c>
      <c r="G35" s="38">
        <v>385684.87</v>
      </c>
      <c r="H35" s="38">
        <v>27129495.484487001</v>
      </c>
      <c r="I35" s="38">
        <v>144</v>
      </c>
      <c r="J35" s="34">
        <v>26</v>
      </c>
      <c r="K35" s="35" t="s">
        <v>90</v>
      </c>
      <c r="L35" s="51">
        <f t="shared" si="12"/>
        <v>1.7442059999999999</v>
      </c>
      <c r="M35" s="51">
        <f t="shared" si="13"/>
        <v>3.8473E-2</v>
      </c>
      <c r="N35" s="51">
        <f t="shared" si="14"/>
        <v>6.5249000000000001E-2</v>
      </c>
      <c r="O35" s="51">
        <f t="shared" si="7"/>
        <v>24.548649999999999</v>
      </c>
      <c r="P35" s="51">
        <f t="shared" si="15"/>
        <v>1.6658949999999999</v>
      </c>
      <c r="Q35" s="39">
        <f t="shared" si="9"/>
        <v>28.062472999999997</v>
      </c>
      <c r="R35" s="41">
        <f t="shared" si="10"/>
        <v>0.96767099999999995</v>
      </c>
      <c r="S35" s="2"/>
      <c r="T35" s="2"/>
      <c r="U35" s="79">
        <v>26</v>
      </c>
      <c r="V35" s="80" t="s">
        <v>90</v>
      </c>
      <c r="W35" s="81">
        <v>4773</v>
      </c>
      <c r="X35" s="103">
        <f t="shared" si="11"/>
        <v>0.100509</v>
      </c>
    </row>
    <row r="36" spans="1:24" x14ac:dyDescent="0.2">
      <c r="A36" s="34">
        <v>27</v>
      </c>
      <c r="B36" s="35" t="s">
        <v>71</v>
      </c>
      <c r="C36" s="36">
        <v>192</v>
      </c>
      <c r="D36" s="37">
        <f t="shared" si="2"/>
        <v>25.75</v>
      </c>
      <c r="E36" s="38">
        <v>4944</v>
      </c>
      <c r="F36" s="39">
        <f t="shared" si="3"/>
        <v>0.10410999999999999</v>
      </c>
      <c r="G36" s="38">
        <v>560745.89</v>
      </c>
      <c r="H36" s="38">
        <v>6560766.6036776602</v>
      </c>
      <c r="I36" s="38">
        <v>21</v>
      </c>
      <c r="J36" s="34">
        <v>27</v>
      </c>
      <c r="K36" s="35" t="s">
        <v>71</v>
      </c>
      <c r="L36" s="51">
        <f t="shared" si="12"/>
        <v>0.327679</v>
      </c>
      <c r="M36" s="51">
        <f t="shared" si="13"/>
        <v>0.21212300000000001</v>
      </c>
      <c r="N36" s="51">
        <f t="shared" si="14"/>
        <v>9.4865000000000005E-2</v>
      </c>
      <c r="O36" s="51">
        <f t="shared" si="7"/>
        <v>5.9366250000000003</v>
      </c>
      <c r="P36" s="51">
        <f t="shared" si="15"/>
        <v>0.24294299999999999</v>
      </c>
      <c r="Q36" s="39">
        <f t="shared" si="9"/>
        <v>6.8142350000000009</v>
      </c>
      <c r="R36" s="41">
        <f t="shared" si="10"/>
        <v>0.23497399999999999</v>
      </c>
      <c r="S36" s="2"/>
      <c r="T36" s="2"/>
      <c r="U36" s="79">
        <v>27</v>
      </c>
      <c r="V36" s="80" t="s">
        <v>71</v>
      </c>
      <c r="W36" s="81">
        <v>4944</v>
      </c>
      <c r="X36" s="103">
        <f t="shared" si="11"/>
        <v>0.10410999999999999</v>
      </c>
    </row>
    <row r="37" spans="1:24" x14ac:dyDescent="0.2">
      <c r="A37" s="34">
        <v>28</v>
      </c>
      <c r="B37" s="35" t="s">
        <v>72</v>
      </c>
      <c r="C37" s="36">
        <v>229</v>
      </c>
      <c r="D37" s="37">
        <f t="shared" si="2"/>
        <v>22.8515283843</v>
      </c>
      <c r="E37" s="38">
        <v>5233</v>
      </c>
      <c r="F37" s="39">
        <f t="shared" si="3"/>
        <v>0.110195</v>
      </c>
      <c r="G37" s="38">
        <v>903441.85</v>
      </c>
      <c r="H37" s="38">
        <v>7125207.77861501</v>
      </c>
      <c r="I37" s="38">
        <v>20</v>
      </c>
      <c r="J37" s="34">
        <v>28</v>
      </c>
      <c r="K37" s="35" t="s">
        <v>72</v>
      </c>
      <c r="L37" s="51">
        <f t="shared" si="12"/>
        <v>0.39082499999999998</v>
      </c>
      <c r="M37" s="51">
        <f t="shared" si="13"/>
        <v>0.188246</v>
      </c>
      <c r="N37" s="51">
        <f t="shared" si="14"/>
        <v>0.152841</v>
      </c>
      <c r="O37" s="51">
        <f t="shared" si="7"/>
        <v>6.4473749999999992</v>
      </c>
      <c r="P37" s="51">
        <f t="shared" si="15"/>
        <v>0.231374</v>
      </c>
      <c r="Q37" s="39">
        <f t="shared" si="9"/>
        <v>7.4106609999999993</v>
      </c>
      <c r="R37" s="41">
        <f t="shared" si="10"/>
        <v>0.25553999999999999</v>
      </c>
      <c r="S37" s="2"/>
      <c r="T37" s="2"/>
      <c r="U37" s="79">
        <v>28</v>
      </c>
      <c r="V37" s="80" t="s">
        <v>72</v>
      </c>
      <c r="W37" s="81">
        <v>5233</v>
      </c>
      <c r="X37" s="103">
        <f t="shared" si="11"/>
        <v>0.110195</v>
      </c>
    </row>
    <row r="38" spans="1:24" x14ac:dyDescent="0.2">
      <c r="A38" s="34">
        <v>29</v>
      </c>
      <c r="B38" s="35" t="s">
        <v>61</v>
      </c>
      <c r="C38" s="36">
        <v>1109</v>
      </c>
      <c r="D38" s="37">
        <f t="shared" si="2"/>
        <v>11.128944995499999</v>
      </c>
      <c r="E38" s="38">
        <v>12342</v>
      </c>
      <c r="F38" s="39">
        <f t="shared" si="3"/>
        <v>0.25989499999999999</v>
      </c>
      <c r="G38" s="38">
        <v>1414364.29</v>
      </c>
      <c r="H38" s="38">
        <v>22660908.196972799</v>
      </c>
      <c r="I38" s="38">
        <v>75</v>
      </c>
      <c r="J38" s="34">
        <v>29</v>
      </c>
      <c r="K38" s="35" t="s">
        <v>61</v>
      </c>
      <c r="L38" s="51">
        <f t="shared" si="12"/>
        <v>1.892685</v>
      </c>
      <c r="M38" s="51">
        <f t="shared" si="13"/>
        <v>9.1677999999999996E-2</v>
      </c>
      <c r="N38" s="51">
        <f t="shared" si="14"/>
        <v>0.23927699999999999</v>
      </c>
      <c r="O38" s="51">
        <f t="shared" si="7"/>
        <v>20.50515</v>
      </c>
      <c r="P38" s="51">
        <f t="shared" si="15"/>
        <v>0.86765400000000004</v>
      </c>
      <c r="Q38" s="39">
        <f t="shared" si="9"/>
        <v>23.596444000000002</v>
      </c>
      <c r="R38" s="41">
        <f t="shared" si="10"/>
        <v>0.81367</v>
      </c>
      <c r="S38" s="2"/>
      <c r="T38" s="2"/>
      <c r="U38" s="79">
        <v>29</v>
      </c>
      <c r="V38" s="80" t="s">
        <v>61</v>
      </c>
      <c r="W38" s="81">
        <v>12342</v>
      </c>
      <c r="X38" s="103">
        <f t="shared" si="11"/>
        <v>0.25989499999999999</v>
      </c>
    </row>
    <row r="39" spans="1:24" x14ac:dyDescent="0.2">
      <c r="A39" s="34">
        <v>30</v>
      </c>
      <c r="B39" s="35" t="s">
        <v>104</v>
      </c>
      <c r="C39" s="36">
        <v>304</v>
      </c>
      <c r="D39" s="37">
        <f t="shared" si="2"/>
        <v>38.980263157899998</v>
      </c>
      <c r="E39" s="38">
        <v>11850</v>
      </c>
      <c r="F39" s="39">
        <f t="shared" si="3"/>
        <v>0.24953400000000001</v>
      </c>
      <c r="G39" s="38">
        <v>1765552.78</v>
      </c>
      <c r="H39" s="38">
        <v>10296618.6935567</v>
      </c>
      <c r="I39" s="38">
        <v>20</v>
      </c>
      <c r="J39" s="34">
        <v>30</v>
      </c>
      <c r="K39" s="35" t="s">
        <v>104</v>
      </c>
      <c r="L39" s="51">
        <f t="shared" si="12"/>
        <v>0.51882399999999995</v>
      </c>
      <c r="M39" s="51">
        <f t="shared" si="13"/>
        <v>0.32111099999999998</v>
      </c>
      <c r="N39" s="51">
        <f t="shared" si="14"/>
        <v>0.29869000000000001</v>
      </c>
      <c r="O39" s="51">
        <f t="shared" si="7"/>
        <v>9.3170999999999999</v>
      </c>
      <c r="P39" s="51">
        <f t="shared" si="15"/>
        <v>0.231374</v>
      </c>
      <c r="Q39" s="39">
        <f t="shared" si="9"/>
        <v>10.687099</v>
      </c>
      <c r="R39" s="41">
        <f t="shared" si="10"/>
        <v>0.36852099999999999</v>
      </c>
      <c r="S39" s="2"/>
      <c r="T39" s="2"/>
      <c r="U39" s="79">
        <v>30</v>
      </c>
      <c r="V39" s="80" t="s">
        <v>104</v>
      </c>
      <c r="W39" s="81">
        <v>11850</v>
      </c>
      <c r="X39" s="103">
        <f t="shared" si="11"/>
        <v>0.24953400000000001</v>
      </c>
    </row>
    <row r="40" spans="1:24" x14ac:dyDescent="0.2">
      <c r="A40" s="34">
        <v>31</v>
      </c>
      <c r="B40" s="35" t="s">
        <v>48</v>
      </c>
      <c r="C40" s="36">
        <v>424</v>
      </c>
      <c r="D40" s="37">
        <f t="shared" si="2"/>
        <v>38</v>
      </c>
      <c r="E40" s="38">
        <v>16112</v>
      </c>
      <c r="F40" s="39">
        <f t="shared" si="3"/>
        <v>0.33928199999999997</v>
      </c>
      <c r="G40" s="38">
        <v>1048868.76</v>
      </c>
      <c r="H40" s="38">
        <v>15213715.7778468</v>
      </c>
      <c r="I40" s="38">
        <v>78</v>
      </c>
      <c r="J40" s="34">
        <v>31</v>
      </c>
      <c r="K40" s="35" t="s">
        <v>48</v>
      </c>
      <c r="L40" s="51">
        <f t="shared" si="12"/>
        <v>0.72362400000000004</v>
      </c>
      <c r="M40" s="51">
        <f t="shared" si="13"/>
        <v>0.31303599999999998</v>
      </c>
      <c r="N40" s="51">
        <f t="shared" si="14"/>
        <v>0.17744399999999999</v>
      </c>
      <c r="O40" s="51">
        <f t="shared" si="7"/>
        <v>13.766424999999998</v>
      </c>
      <c r="P40" s="51">
        <f t="shared" si="15"/>
        <v>0.90236000000000005</v>
      </c>
      <c r="Q40" s="39">
        <f t="shared" si="9"/>
        <v>15.882888999999997</v>
      </c>
      <c r="R40" s="41">
        <f t="shared" si="10"/>
        <v>0.54768600000000001</v>
      </c>
      <c r="S40" s="2"/>
      <c r="T40" s="2"/>
      <c r="U40" s="79">
        <v>31</v>
      </c>
      <c r="V40" s="80" t="s">
        <v>48</v>
      </c>
      <c r="W40" s="81">
        <v>16112</v>
      </c>
      <c r="X40" s="103">
        <f t="shared" si="11"/>
        <v>0.33928199999999997</v>
      </c>
    </row>
    <row r="41" spans="1:24" x14ac:dyDescent="0.2">
      <c r="A41" s="34">
        <v>32</v>
      </c>
      <c r="B41" s="35" t="s">
        <v>83</v>
      </c>
      <c r="C41" s="36">
        <v>244</v>
      </c>
      <c r="D41" s="37">
        <f t="shared" si="2"/>
        <v>64.405737704900005</v>
      </c>
      <c r="E41" s="38">
        <v>15715</v>
      </c>
      <c r="F41" s="39">
        <f t="shared" si="3"/>
        <v>0.33092300000000002</v>
      </c>
      <c r="G41" s="38">
        <v>1339834.01</v>
      </c>
      <c r="H41" s="38">
        <v>9416794.6903694104</v>
      </c>
      <c r="I41" s="38">
        <v>21</v>
      </c>
      <c r="J41" s="34">
        <v>32</v>
      </c>
      <c r="K41" s="35" t="s">
        <v>83</v>
      </c>
      <c r="L41" s="51">
        <f t="shared" si="12"/>
        <v>0.41642499999999999</v>
      </c>
      <c r="M41" s="51">
        <f t="shared" si="13"/>
        <v>0.53056099999999995</v>
      </c>
      <c r="N41" s="51">
        <f t="shared" si="14"/>
        <v>0.22666800000000001</v>
      </c>
      <c r="O41" s="51">
        <f t="shared" si="7"/>
        <v>8.520975</v>
      </c>
      <c r="P41" s="51">
        <f t="shared" si="15"/>
        <v>0.24294299999999999</v>
      </c>
      <c r="Q41" s="39">
        <f t="shared" si="9"/>
        <v>9.9375719999999994</v>
      </c>
      <c r="R41" s="41">
        <f t="shared" si="10"/>
        <v>0.34267500000000001</v>
      </c>
      <c r="S41" s="2"/>
      <c r="T41" s="2"/>
      <c r="U41" s="79">
        <v>32</v>
      </c>
      <c r="V41" s="80" t="s">
        <v>83</v>
      </c>
      <c r="W41" s="81">
        <v>15715</v>
      </c>
      <c r="X41" s="103">
        <f t="shared" si="11"/>
        <v>0.33092300000000002</v>
      </c>
    </row>
    <row r="42" spans="1:24" x14ac:dyDescent="0.2">
      <c r="A42" s="34">
        <v>33</v>
      </c>
      <c r="B42" s="35" t="s">
        <v>108</v>
      </c>
      <c r="C42" s="36">
        <v>367</v>
      </c>
      <c r="D42" s="37">
        <f t="shared" ref="D42:D73" si="16">ROUND(E42/C42,10)</f>
        <v>58.490463215299997</v>
      </c>
      <c r="E42" s="38">
        <v>21466</v>
      </c>
      <c r="F42" s="39">
        <f t="shared" ref="F42:F61" si="17">ROUND(E42/$E$9%,6)</f>
        <v>0.45202599999999998</v>
      </c>
      <c r="G42" s="38">
        <v>2541409.16</v>
      </c>
      <c r="H42" s="38">
        <v>13616467.724886199</v>
      </c>
      <c r="I42" s="38">
        <v>38</v>
      </c>
      <c r="J42" s="34">
        <v>33</v>
      </c>
      <c r="K42" s="35" t="s">
        <v>108</v>
      </c>
      <c r="L42" s="51">
        <f t="shared" si="12"/>
        <v>0.62634400000000001</v>
      </c>
      <c r="M42" s="51">
        <f t="shared" si="13"/>
        <v>0.48183199999999998</v>
      </c>
      <c r="N42" s="51">
        <f t="shared" si="14"/>
        <v>0.42994599999999999</v>
      </c>
      <c r="O42" s="51">
        <f t="shared" ref="O42:O61" si="18">ROUND(H42/$H$9%,6)*25</f>
        <v>12.321124999999999</v>
      </c>
      <c r="P42" s="51">
        <f t="shared" si="15"/>
        <v>0.43961099999999997</v>
      </c>
      <c r="Q42" s="39">
        <f t="shared" ref="Q42:Q73" si="19">L42+M42+N42+O42+P42</f>
        <v>14.298857999999997</v>
      </c>
      <c r="R42" s="41">
        <f t="shared" ref="R42:R61" si="20">ROUND(Q42/$Q$9%,6)</f>
        <v>0.493064</v>
      </c>
      <c r="S42" s="2"/>
      <c r="T42" s="2"/>
      <c r="U42" s="79">
        <v>33</v>
      </c>
      <c r="V42" s="80" t="s">
        <v>108</v>
      </c>
      <c r="W42" s="81">
        <v>21466</v>
      </c>
      <c r="X42" s="103">
        <f t="shared" ref="X42:X61" si="21">ROUND(W42/$E$9%,6)</f>
        <v>0.45202599999999998</v>
      </c>
    </row>
    <row r="43" spans="1:24" x14ac:dyDescent="0.2">
      <c r="A43" s="34">
        <v>34</v>
      </c>
      <c r="B43" s="35" t="s">
        <v>110</v>
      </c>
      <c r="C43" s="36">
        <v>1143</v>
      </c>
      <c r="D43" s="37">
        <f t="shared" si="16"/>
        <v>109.9842519685</v>
      </c>
      <c r="E43" s="38">
        <v>125712</v>
      </c>
      <c r="F43" s="39">
        <f t="shared" si="17"/>
        <v>2.6472120000000001</v>
      </c>
      <c r="G43" s="38">
        <v>12596697.27</v>
      </c>
      <c r="H43" s="38">
        <v>53517830.987405099</v>
      </c>
      <c r="I43" s="38">
        <v>247</v>
      </c>
      <c r="J43" s="34">
        <v>34</v>
      </c>
      <c r="K43" s="35" t="s">
        <v>110</v>
      </c>
      <c r="L43" s="51">
        <f t="shared" si="12"/>
        <v>1.950712</v>
      </c>
      <c r="M43" s="51">
        <f t="shared" si="13"/>
        <v>0.90602700000000003</v>
      </c>
      <c r="N43" s="51">
        <f t="shared" si="14"/>
        <v>2.1310630000000002</v>
      </c>
      <c r="O43" s="51">
        <f t="shared" si="18"/>
        <v>48.426625000000001</v>
      </c>
      <c r="P43" s="51">
        <f t="shared" si="15"/>
        <v>2.8574730000000002</v>
      </c>
      <c r="Q43" s="39">
        <f t="shared" si="19"/>
        <v>56.271900000000002</v>
      </c>
      <c r="R43" s="41">
        <f t="shared" si="20"/>
        <v>1.94041</v>
      </c>
      <c r="S43" s="2"/>
      <c r="T43" s="2"/>
      <c r="U43" s="79">
        <v>34</v>
      </c>
      <c r="V43" s="80" t="s">
        <v>110</v>
      </c>
      <c r="W43" s="81">
        <v>125712</v>
      </c>
      <c r="X43" s="103">
        <f t="shared" si="21"/>
        <v>2.6472120000000001</v>
      </c>
    </row>
    <row r="44" spans="1:24" x14ac:dyDescent="0.2">
      <c r="A44" s="34">
        <v>35</v>
      </c>
      <c r="B44" s="35" t="s">
        <v>112</v>
      </c>
      <c r="C44" s="36">
        <v>1952</v>
      </c>
      <c r="D44" s="37">
        <f t="shared" si="16"/>
        <v>15.6900614754</v>
      </c>
      <c r="E44" s="38">
        <v>30627</v>
      </c>
      <c r="F44" s="39">
        <f t="shared" si="17"/>
        <v>0.64493599999999995</v>
      </c>
      <c r="G44" s="38">
        <v>3849902.41</v>
      </c>
      <c r="H44" s="38">
        <v>38200749.367305703</v>
      </c>
      <c r="I44" s="38">
        <v>133</v>
      </c>
      <c r="J44" s="34">
        <v>35</v>
      </c>
      <c r="K44" s="35" t="s">
        <v>112</v>
      </c>
      <c r="L44" s="51">
        <f t="shared" si="12"/>
        <v>3.3313990000000002</v>
      </c>
      <c r="M44" s="51">
        <f t="shared" si="13"/>
        <v>0.129251</v>
      </c>
      <c r="N44" s="51">
        <f t="shared" si="14"/>
        <v>0.651312</v>
      </c>
      <c r="O44" s="51">
        <f t="shared" si="18"/>
        <v>34.566675000000004</v>
      </c>
      <c r="P44" s="51">
        <f t="shared" si="15"/>
        <v>1.53864</v>
      </c>
      <c r="Q44" s="39">
        <f t="shared" si="19"/>
        <v>40.217277000000003</v>
      </c>
      <c r="R44" s="41">
        <f t="shared" si="20"/>
        <v>1.386803</v>
      </c>
      <c r="S44" s="2"/>
      <c r="T44" s="2"/>
      <c r="U44" s="79">
        <v>35</v>
      </c>
      <c r="V44" s="80" t="s">
        <v>112</v>
      </c>
      <c r="W44" s="81">
        <v>30627</v>
      </c>
      <c r="X44" s="103">
        <f t="shared" si="21"/>
        <v>0.64493599999999995</v>
      </c>
    </row>
    <row r="45" spans="1:24" x14ac:dyDescent="0.2">
      <c r="A45" s="34">
        <v>36</v>
      </c>
      <c r="B45" s="35" t="s">
        <v>114</v>
      </c>
      <c r="C45" s="36">
        <v>96</v>
      </c>
      <c r="D45" s="37">
        <f t="shared" si="16"/>
        <v>121.2916666667</v>
      </c>
      <c r="E45" s="38">
        <v>11644</v>
      </c>
      <c r="F45" s="39">
        <f t="shared" si="17"/>
        <v>0.245196</v>
      </c>
      <c r="G45" s="38">
        <v>1502977.48</v>
      </c>
      <c r="H45" s="38">
        <v>10520531.181418501</v>
      </c>
      <c r="I45" s="38">
        <v>10</v>
      </c>
      <c r="J45" s="34">
        <v>36</v>
      </c>
      <c r="K45" s="35" t="s">
        <v>114</v>
      </c>
      <c r="L45" s="51">
        <f t="shared" si="12"/>
        <v>0.16383900000000001</v>
      </c>
      <c r="M45" s="51">
        <f t="shared" si="13"/>
        <v>0.99917500000000004</v>
      </c>
      <c r="N45" s="51">
        <f t="shared" si="14"/>
        <v>0.25426799999999999</v>
      </c>
      <c r="O45" s="51">
        <f t="shared" si="18"/>
        <v>9.5197000000000003</v>
      </c>
      <c r="P45" s="51">
        <f t="shared" si="15"/>
        <v>0.115687</v>
      </c>
      <c r="Q45" s="39">
        <f t="shared" si="19"/>
        <v>11.052669</v>
      </c>
      <c r="R45" s="41">
        <f t="shared" si="20"/>
        <v>0.38112699999999999</v>
      </c>
      <c r="S45" s="2"/>
      <c r="T45" s="2"/>
      <c r="U45" s="79">
        <v>36</v>
      </c>
      <c r="V45" s="80" t="s">
        <v>114</v>
      </c>
      <c r="W45" s="81">
        <v>11644</v>
      </c>
      <c r="X45" s="103">
        <f t="shared" si="21"/>
        <v>0.245196</v>
      </c>
    </row>
    <row r="46" spans="1:24" x14ac:dyDescent="0.2">
      <c r="A46" s="34">
        <v>37</v>
      </c>
      <c r="B46" s="35" t="s">
        <v>92</v>
      </c>
      <c r="C46" s="36">
        <v>201</v>
      </c>
      <c r="D46" s="37">
        <f t="shared" si="16"/>
        <v>39.527363184099997</v>
      </c>
      <c r="E46" s="38">
        <v>7945</v>
      </c>
      <c r="F46" s="39">
        <f t="shared" si="17"/>
        <v>0.16730400000000001</v>
      </c>
      <c r="G46" s="38">
        <v>992240.44</v>
      </c>
      <c r="H46" s="38">
        <v>8237473.9768948797</v>
      </c>
      <c r="I46" s="38">
        <v>26</v>
      </c>
      <c r="J46" s="34">
        <v>37</v>
      </c>
      <c r="K46" s="35" t="s">
        <v>92</v>
      </c>
      <c r="L46" s="51">
        <f t="shared" si="12"/>
        <v>0.34303899999999998</v>
      </c>
      <c r="M46" s="51">
        <f t="shared" si="13"/>
        <v>0.32561800000000002</v>
      </c>
      <c r="N46" s="51">
        <f t="shared" si="14"/>
        <v>0.16786400000000001</v>
      </c>
      <c r="O46" s="51">
        <f t="shared" si="18"/>
        <v>7.4538250000000001</v>
      </c>
      <c r="P46" s="51">
        <f t="shared" si="15"/>
        <v>0.30078700000000003</v>
      </c>
      <c r="Q46" s="39">
        <f t="shared" si="19"/>
        <v>8.5911329999999992</v>
      </c>
      <c r="R46" s="41">
        <f t="shared" si="20"/>
        <v>0.29624600000000001</v>
      </c>
      <c r="S46" s="2"/>
      <c r="T46" s="2"/>
      <c r="U46" s="79">
        <v>37</v>
      </c>
      <c r="V46" s="80" t="s">
        <v>92</v>
      </c>
      <c r="W46" s="81">
        <v>7945</v>
      </c>
      <c r="X46" s="103">
        <f t="shared" si="21"/>
        <v>0.16730400000000001</v>
      </c>
    </row>
    <row r="47" spans="1:24" x14ac:dyDescent="0.2">
      <c r="A47" s="34">
        <v>38</v>
      </c>
      <c r="B47" s="35" t="s">
        <v>51</v>
      </c>
      <c r="C47" s="36">
        <v>2057</v>
      </c>
      <c r="D47" s="37">
        <f t="shared" si="16"/>
        <v>20.404958677700002</v>
      </c>
      <c r="E47" s="38">
        <v>41973</v>
      </c>
      <c r="F47" s="39">
        <f t="shared" si="17"/>
        <v>0.883857</v>
      </c>
      <c r="G47" s="38">
        <v>10170215.84</v>
      </c>
      <c r="H47" s="38">
        <v>51618423.775509298</v>
      </c>
      <c r="I47" s="38">
        <v>246</v>
      </c>
      <c r="J47" s="34">
        <v>38</v>
      </c>
      <c r="K47" s="35" t="s">
        <v>51</v>
      </c>
      <c r="L47" s="51">
        <f t="shared" si="12"/>
        <v>3.5105979999999999</v>
      </c>
      <c r="M47" s="51">
        <f t="shared" si="13"/>
        <v>0.16809199999999999</v>
      </c>
      <c r="N47" s="51">
        <f t="shared" si="14"/>
        <v>1.7205589999999999</v>
      </c>
      <c r="O47" s="51">
        <f t="shared" si="18"/>
        <v>46.707900000000002</v>
      </c>
      <c r="P47" s="51">
        <f t="shared" si="15"/>
        <v>2.8459050000000001</v>
      </c>
      <c r="Q47" s="39">
        <f t="shared" si="19"/>
        <v>54.953054000000002</v>
      </c>
      <c r="R47" s="41">
        <f t="shared" si="20"/>
        <v>1.894933</v>
      </c>
      <c r="S47" s="2"/>
      <c r="T47" s="2"/>
      <c r="U47" s="79">
        <v>38</v>
      </c>
      <c r="V47" s="80" t="s">
        <v>51</v>
      </c>
      <c r="W47" s="81">
        <v>41973</v>
      </c>
      <c r="X47" s="103">
        <f t="shared" si="21"/>
        <v>0.883857</v>
      </c>
    </row>
    <row r="48" spans="1:24" x14ac:dyDescent="0.2">
      <c r="A48" s="34">
        <v>39</v>
      </c>
      <c r="B48" s="35" t="s">
        <v>105</v>
      </c>
      <c r="C48" s="36">
        <v>79</v>
      </c>
      <c r="D48" s="37">
        <f t="shared" si="16"/>
        <v>114.1139240506</v>
      </c>
      <c r="E48" s="38">
        <v>9015</v>
      </c>
      <c r="F48" s="39">
        <f t="shared" si="17"/>
        <v>0.189836</v>
      </c>
      <c r="G48" s="38">
        <v>796283.15</v>
      </c>
      <c r="H48" s="38">
        <v>8252816.7767642997</v>
      </c>
      <c r="I48" s="38">
        <v>19</v>
      </c>
      <c r="J48" s="34">
        <v>39</v>
      </c>
      <c r="K48" s="35" t="s">
        <v>105</v>
      </c>
      <c r="L48" s="51">
        <f t="shared" si="12"/>
        <v>0.134826</v>
      </c>
      <c r="M48" s="51">
        <f t="shared" si="13"/>
        <v>0.94004600000000005</v>
      </c>
      <c r="N48" s="51">
        <f t="shared" si="14"/>
        <v>0.134712</v>
      </c>
      <c r="O48" s="51">
        <f t="shared" si="18"/>
        <v>7.4677249999999997</v>
      </c>
      <c r="P48" s="51">
        <f t="shared" si="15"/>
        <v>0.219806</v>
      </c>
      <c r="Q48" s="39">
        <f t="shared" si="19"/>
        <v>8.8971149999999994</v>
      </c>
      <c r="R48" s="41">
        <f t="shared" si="20"/>
        <v>0.30679699999999999</v>
      </c>
      <c r="S48" s="2"/>
      <c r="T48" s="2"/>
      <c r="U48" s="79">
        <v>39</v>
      </c>
      <c r="V48" s="80" t="s">
        <v>105</v>
      </c>
      <c r="W48" s="81">
        <v>9015</v>
      </c>
      <c r="X48" s="103">
        <f t="shared" si="21"/>
        <v>0.189836</v>
      </c>
    </row>
    <row r="49" spans="1:24" x14ac:dyDescent="0.2">
      <c r="A49" s="34">
        <v>40</v>
      </c>
      <c r="B49" s="35" t="s">
        <v>96</v>
      </c>
      <c r="C49" s="36">
        <v>176</v>
      </c>
      <c r="D49" s="37">
        <f t="shared" si="16"/>
        <v>104.4602272727</v>
      </c>
      <c r="E49" s="38">
        <v>18385</v>
      </c>
      <c r="F49" s="39">
        <f t="shared" si="17"/>
        <v>0.38714700000000002</v>
      </c>
      <c r="G49" s="38">
        <v>1547164.51</v>
      </c>
      <c r="H49" s="38">
        <v>12591908.818241401</v>
      </c>
      <c r="I49" s="38">
        <v>39</v>
      </c>
      <c r="J49" s="34">
        <v>40</v>
      </c>
      <c r="K49" s="35" t="s">
        <v>96</v>
      </c>
      <c r="L49" s="51">
        <f t="shared" ref="L49:L80" si="22">ROUND(C49/$C$9%,6)</f>
        <v>0.30037199999999997</v>
      </c>
      <c r="M49" s="51">
        <f t="shared" ref="M49:M80" si="23">ROUND(D49/$D$9%,6)</f>
        <v>0.86052099999999998</v>
      </c>
      <c r="N49" s="51">
        <f t="shared" ref="N49:N80" si="24">ROUND(G49/$G$9%,6)</f>
        <v>0.26174399999999998</v>
      </c>
      <c r="O49" s="51">
        <f t="shared" si="18"/>
        <v>11.394025000000001</v>
      </c>
      <c r="P49" s="51">
        <f t="shared" ref="P49:P80" si="25">ROUND(I49/$I$9%,6)</f>
        <v>0.45118000000000003</v>
      </c>
      <c r="Q49" s="39">
        <f t="shared" si="19"/>
        <v>13.267842000000002</v>
      </c>
      <c r="R49" s="41">
        <f t="shared" si="20"/>
        <v>0.45751199999999997</v>
      </c>
      <c r="S49" s="2"/>
      <c r="T49" s="2"/>
      <c r="U49" s="79">
        <v>40</v>
      </c>
      <c r="V49" s="80" t="s">
        <v>96</v>
      </c>
      <c r="W49" s="81">
        <v>18385</v>
      </c>
      <c r="X49" s="103">
        <f t="shared" si="21"/>
        <v>0.38714700000000002</v>
      </c>
    </row>
    <row r="50" spans="1:24" x14ac:dyDescent="0.2">
      <c r="A50" s="34">
        <v>41</v>
      </c>
      <c r="B50" s="35" t="s">
        <v>98</v>
      </c>
      <c r="C50" s="36">
        <v>127</v>
      </c>
      <c r="D50" s="37">
        <f t="shared" si="16"/>
        <v>126.3228346457</v>
      </c>
      <c r="E50" s="38">
        <v>16043</v>
      </c>
      <c r="F50" s="39">
        <f t="shared" si="17"/>
        <v>0.33782899999999999</v>
      </c>
      <c r="G50" s="38">
        <v>1660723.76</v>
      </c>
      <c r="H50" s="38">
        <v>14142314.459813699</v>
      </c>
      <c r="I50" s="38">
        <v>37</v>
      </c>
      <c r="J50" s="34">
        <v>41</v>
      </c>
      <c r="K50" s="35" t="s">
        <v>98</v>
      </c>
      <c r="L50" s="51">
        <f t="shared" si="22"/>
        <v>0.21674599999999999</v>
      </c>
      <c r="M50" s="51">
        <f t="shared" si="23"/>
        <v>1.0406200000000001</v>
      </c>
      <c r="N50" s="51">
        <f t="shared" si="24"/>
        <v>0.28095500000000001</v>
      </c>
      <c r="O50" s="51">
        <f t="shared" si="18"/>
        <v>12.796950000000001</v>
      </c>
      <c r="P50" s="51">
        <f t="shared" si="25"/>
        <v>0.42804300000000001</v>
      </c>
      <c r="Q50" s="39">
        <f t="shared" si="19"/>
        <v>14.763314000000001</v>
      </c>
      <c r="R50" s="41">
        <f t="shared" si="20"/>
        <v>0.50907999999999998</v>
      </c>
      <c r="S50" s="2"/>
      <c r="T50" s="2"/>
      <c r="U50" s="79">
        <v>41</v>
      </c>
      <c r="V50" s="80" t="s">
        <v>98</v>
      </c>
      <c r="W50" s="81">
        <v>16043</v>
      </c>
      <c r="X50" s="103">
        <f t="shared" si="21"/>
        <v>0.33782899999999999</v>
      </c>
    </row>
    <row r="51" spans="1:24" x14ac:dyDescent="0.2">
      <c r="A51" s="34">
        <v>42</v>
      </c>
      <c r="B51" s="35" t="s">
        <v>122</v>
      </c>
      <c r="C51" s="36">
        <v>124</v>
      </c>
      <c r="D51" s="37">
        <f t="shared" si="16"/>
        <v>115.3387096774</v>
      </c>
      <c r="E51" s="38">
        <v>14302</v>
      </c>
      <c r="F51" s="39">
        <f t="shared" si="17"/>
        <v>0.30116799999999999</v>
      </c>
      <c r="G51" s="38">
        <v>1516396.5</v>
      </c>
      <c r="H51" s="38">
        <v>10507772.822664101</v>
      </c>
      <c r="I51" s="38">
        <v>17</v>
      </c>
      <c r="J51" s="34">
        <v>42</v>
      </c>
      <c r="K51" s="35" t="s">
        <v>122</v>
      </c>
      <c r="L51" s="51">
        <f t="shared" si="22"/>
        <v>0.21162600000000001</v>
      </c>
      <c r="M51" s="51">
        <f t="shared" si="23"/>
        <v>0.95013499999999995</v>
      </c>
      <c r="N51" s="51">
        <f t="shared" si="24"/>
        <v>0.25653799999999999</v>
      </c>
      <c r="O51" s="51">
        <f t="shared" si="18"/>
        <v>9.5081500000000005</v>
      </c>
      <c r="P51" s="51">
        <f t="shared" si="25"/>
        <v>0.19666800000000001</v>
      </c>
      <c r="Q51" s="39">
        <f t="shared" si="19"/>
        <v>11.123117000000001</v>
      </c>
      <c r="R51" s="41">
        <f t="shared" si="20"/>
        <v>0.38355600000000001</v>
      </c>
      <c r="S51" s="2"/>
      <c r="T51" s="2"/>
      <c r="U51" s="79">
        <v>42</v>
      </c>
      <c r="V51" s="80" t="s">
        <v>122</v>
      </c>
      <c r="W51" s="81">
        <v>14302</v>
      </c>
      <c r="X51" s="103">
        <f t="shared" si="21"/>
        <v>0.30116799999999999</v>
      </c>
    </row>
    <row r="52" spans="1:24" x14ac:dyDescent="0.2">
      <c r="A52" s="34">
        <v>43</v>
      </c>
      <c r="B52" s="35" t="s">
        <v>63</v>
      </c>
      <c r="C52" s="36">
        <v>119</v>
      </c>
      <c r="D52" s="37">
        <f t="shared" si="16"/>
        <v>577.9915966387</v>
      </c>
      <c r="E52" s="38">
        <v>68781</v>
      </c>
      <c r="F52" s="39">
        <f t="shared" si="17"/>
        <v>1.4483729999999999</v>
      </c>
      <c r="G52" s="38">
        <v>7756205.8399999999</v>
      </c>
      <c r="H52" s="38">
        <v>56411577.442426801</v>
      </c>
      <c r="I52" s="38">
        <v>31</v>
      </c>
      <c r="J52" s="34">
        <v>43</v>
      </c>
      <c r="K52" s="35" t="s">
        <v>63</v>
      </c>
      <c r="L52" s="51">
        <f t="shared" si="22"/>
        <v>0.20309199999999999</v>
      </c>
      <c r="M52" s="51">
        <f t="shared" si="23"/>
        <v>4.7613700000000003</v>
      </c>
      <c r="N52" s="51">
        <f t="shared" si="24"/>
        <v>1.3121659999999999</v>
      </c>
      <c r="O52" s="51">
        <f t="shared" si="18"/>
        <v>51.045074999999997</v>
      </c>
      <c r="P52" s="51">
        <f t="shared" si="25"/>
        <v>0.35863</v>
      </c>
      <c r="Q52" s="39">
        <f t="shared" si="19"/>
        <v>57.680332999999997</v>
      </c>
      <c r="R52" s="41">
        <f t="shared" si="20"/>
        <v>1.988977</v>
      </c>
      <c r="S52" s="2"/>
      <c r="T52" s="2"/>
      <c r="U52" s="79">
        <v>43</v>
      </c>
      <c r="V52" s="80" t="s">
        <v>63</v>
      </c>
      <c r="W52" s="81">
        <v>68781</v>
      </c>
      <c r="X52" s="103">
        <f t="shared" si="21"/>
        <v>1.4483729999999999</v>
      </c>
    </row>
    <row r="53" spans="1:24" x14ac:dyDescent="0.2">
      <c r="A53" s="34">
        <v>44</v>
      </c>
      <c r="B53" s="35" t="s">
        <v>102</v>
      </c>
      <c r="C53" s="36">
        <v>194</v>
      </c>
      <c r="D53" s="37">
        <f t="shared" si="16"/>
        <v>66.731958762900007</v>
      </c>
      <c r="E53" s="38">
        <v>12946</v>
      </c>
      <c r="F53" s="39">
        <f t="shared" si="17"/>
        <v>0.27261400000000002</v>
      </c>
      <c r="G53" s="38">
        <v>1664874.96</v>
      </c>
      <c r="H53" s="38">
        <v>10265255.649958801</v>
      </c>
      <c r="I53" s="38">
        <v>29</v>
      </c>
      <c r="J53" s="34">
        <v>44</v>
      </c>
      <c r="K53" s="35" t="s">
        <v>102</v>
      </c>
      <c r="L53" s="51">
        <f t="shared" si="22"/>
        <v>0.331092</v>
      </c>
      <c r="M53" s="51">
        <f t="shared" si="23"/>
        <v>0.54972399999999999</v>
      </c>
      <c r="N53" s="51">
        <f t="shared" si="24"/>
        <v>0.28165699999999999</v>
      </c>
      <c r="O53" s="51">
        <f t="shared" si="18"/>
        <v>9.2887000000000004</v>
      </c>
      <c r="P53" s="51">
        <f t="shared" si="25"/>
        <v>0.33549299999999999</v>
      </c>
      <c r="Q53" s="39">
        <f t="shared" si="19"/>
        <v>10.786666</v>
      </c>
      <c r="R53" s="41">
        <f t="shared" si="20"/>
        <v>0.37195400000000001</v>
      </c>
      <c r="S53" s="2"/>
      <c r="T53" s="2"/>
      <c r="U53" s="79">
        <v>44</v>
      </c>
      <c r="V53" s="80" t="s">
        <v>102</v>
      </c>
      <c r="W53" s="81">
        <v>12946</v>
      </c>
      <c r="X53" s="103">
        <f t="shared" si="21"/>
        <v>0.27261400000000002</v>
      </c>
    </row>
    <row r="54" spans="1:24" x14ac:dyDescent="0.2">
      <c r="A54" s="34">
        <v>45</v>
      </c>
      <c r="B54" s="35" t="s">
        <v>127</v>
      </c>
      <c r="C54" s="36">
        <v>243</v>
      </c>
      <c r="D54" s="37">
        <f t="shared" si="16"/>
        <v>148.79835390950001</v>
      </c>
      <c r="E54" s="38">
        <v>36158</v>
      </c>
      <c r="F54" s="39">
        <f t="shared" si="17"/>
        <v>0.76140600000000003</v>
      </c>
      <c r="G54" s="38">
        <v>5626417.6100000003</v>
      </c>
      <c r="H54" s="38">
        <v>20096859.456874099</v>
      </c>
      <c r="I54" s="38">
        <v>34</v>
      </c>
      <c r="J54" s="34">
        <v>45</v>
      </c>
      <c r="K54" s="35" t="s">
        <v>127</v>
      </c>
      <c r="L54" s="51">
        <f t="shared" si="22"/>
        <v>0.41471799999999998</v>
      </c>
      <c r="M54" s="51">
        <f t="shared" si="23"/>
        <v>1.2257690000000001</v>
      </c>
      <c r="N54" s="51">
        <f t="shared" si="24"/>
        <v>0.95185600000000004</v>
      </c>
      <c r="O54" s="51">
        <f t="shared" si="18"/>
        <v>18.185025</v>
      </c>
      <c r="P54" s="51">
        <f t="shared" si="25"/>
        <v>0.39333600000000002</v>
      </c>
      <c r="Q54" s="39">
        <f t="shared" si="19"/>
        <v>21.170704000000001</v>
      </c>
      <c r="R54" s="41">
        <f t="shared" si="20"/>
        <v>0.73002400000000001</v>
      </c>
      <c r="S54" s="2"/>
      <c r="T54" s="2"/>
      <c r="U54" s="79">
        <v>45</v>
      </c>
      <c r="V54" s="80" t="s">
        <v>127</v>
      </c>
      <c r="W54" s="81">
        <v>36158</v>
      </c>
      <c r="X54" s="103">
        <f t="shared" si="21"/>
        <v>0.76140600000000003</v>
      </c>
    </row>
    <row r="55" spans="1:24" x14ac:dyDescent="0.2">
      <c r="A55" s="34">
        <v>46</v>
      </c>
      <c r="B55" s="35" t="s">
        <v>119</v>
      </c>
      <c r="C55" s="36">
        <v>141</v>
      </c>
      <c r="D55" s="37">
        <f t="shared" si="16"/>
        <v>105.9290780142</v>
      </c>
      <c r="E55" s="38">
        <v>14936</v>
      </c>
      <c r="F55" s="39">
        <f t="shared" si="17"/>
        <v>0.31451899999999999</v>
      </c>
      <c r="G55" s="38">
        <v>1510825.68</v>
      </c>
      <c r="H55" s="38">
        <v>11727191.474068001</v>
      </c>
      <c r="I55" s="38">
        <v>45</v>
      </c>
      <c r="J55" s="34">
        <v>46</v>
      </c>
      <c r="K55" s="35" t="s">
        <v>119</v>
      </c>
      <c r="L55" s="51">
        <f t="shared" si="22"/>
        <v>0.24063899999999999</v>
      </c>
      <c r="M55" s="51">
        <f t="shared" si="23"/>
        <v>0.87262099999999998</v>
      </c>
      <c r="N55" s="51">
        <f t="shared" si="24"/>
        <v>0.25559599999999999</v>
      </c>
      <c r="O55" s="51">
        <f t="shared" si="18"/>
        <v>10.611575</v>
      </c>
      <c r="P55" s="51">
        <f t="shared" si="25"/>
        <v>0.52059200000000005</v>
      </c>
      <c r="Q55" s="39">
        <f t="shared" si="19"/>
        <v>12.501023</v>
      </c>
      <c r="R55" s="41">
        <f t="shared" si="20"/>
        <v>0.43107000000000001</v>
      </c>
      <c r="S55" s="2"/>
      <c r="T55" s="2"/>
      <c r="U55" s="79">
        <v>46</v>
      </c>
      <c r="V55" s="80" t="s">
        <v>119</v>
      </c>
      <c r="W55" s="81">
        <v>14936</v>
      </c>
      <c r="X55" s="103">
        <f t="shared" si="21"/>
        <v>0.31451899999999999</v>
      </c>
    </row>
    <row r="56" spans="1:24" x14ac:dyDescent="0.2">
      <c r="A56" s="34">
        <v>47</v>
      </c>
      <c r="B56" s="35" t="s">
        <v>121</v>
      </c>
      <c r="C56" s="36">
        <v>265</v>
      </c>
      <c r="D56" s="37">
        <f t="shared" si="16"/>
        <v>74.845283018900005</v>
      </c>
      <c r="E56" s="38">
        <v>19834</v>
      </c>
      <c r="F56" s="39">
        <f t="shared" si="17"/>
        <v>0.417659</v>
      </c>
      <c r="G56" s="38">
        <v>1673400.06</v>
      </c>
      <c r="H56" s="38">
        <v>15524942.693748601</v>
      </c>
      <c r="I56" s="38">
        <v>69</v>
      </c>
      <c r="J56" s="34">
        <v>47</v>
      </c>
      <c r="K56" s="35" t="s">
        <v>121</v>
      </c>
      <c r="L56" s="51">
        <f t="shared" si="22"/>
        <v>0.45226499999999997</v>
      </c>
      <c r="M56" s="51">
        <f t="shared" si="23"/>
        <v>0.61655899999999997</v>
      </c>
      <c r="N56" s="51">
        <f t="shared" si="24"/>
        <v>0.28310000000000002</v>
      </c>
      <c r="O56" s="51">
        <f t="shared" si="18"/>
        <v>14.04805</v>
      </c>
      <c r="P56" s="51">
        <f t="shared" si="25"/>
        <v>0.79824200000000001</v>
      </c>
      <c r="Q56" s="39">
        <f t="shared" si="19"/>
        <v>16.198215999999999</v>
      </c>
      <c r="R56" s="41">
        <f t="shared" si="20"/>
        <v>0.55855900000000003</v>
      </c>
      <c r="S56" s="2"/>
      <c r="T56" s="2"/>
      <c r="U56" s="79">
        <v>47</v>
      </c>
      <c r="V56" s="80" t="s">
        <v>121</v>
      </c>
      <c r="W56" s="81">
        <v>19834</v>
      </c>
      <c r="X56" s="103">
        <f t="shared" si="21"/>
        <v>0.417659</v>
      </c>
    </row>
    <row r="57" spans="1:24" x14ac:dyDescent="0.2">
      <c r="A57" s="34">
        <v>48</v>
      </c>
      <c r="B57" s="35" t="s">
        <v>47</v>
      </c>
      <c r="C57" s="36">
        <v>73</v>
      </c>
      <c r="D57" s="37">
        <f t="shared" si="16"/>
        <v>78.698630136999995</v>
      </c>
      <c r="E57" s="38">
        <v>5745</v>
      </c>
      <c r="F57" s="39">
        <f t="shared" si="17"/>
        <v>0.120977</v>
      </c>
      <c r="G57" s="38">
        <v>795861.41</v>
      </c>
      <c r="H57" s="38">
        <v>10177089.926827401</v>
      </c>
      <c r="I57" s="38">
        <v>10</v>
      </c>
      <c r="J57" s="34">
        <v>48</v>
      </c>
      <c r="K57" s="35" t="s">
        <v>47</v>
      </c>
      <c r="L57" s="51">
        <f t="shared" si="22"/>
        <v>0.124586</v>
      </c>
      <c r="M57" s="51">
        <f t="shared" si="23"/>
        <v>0.64830200000000004</v>
      </c>
      <c r="N57" s="51">
        <f t="shared" si="24"/>
        <v>0.13464100000000001</v>
      </c>
      <c r="O57" s="51">
        <f t="shared" si="18"/>
        <v>9.2089249999999989</v>
      </c>
      <c r="P57" s="51">
        <f t="shared" si="25"/>
        <v>0.115687</v>
      </c>
      <c r="Q57" s="39">
        <f t="shared" si="19"/>
        <v>10.232140999999999</v>
      </c>
      <c r="R57" s="41">
        <f t="shared" si="20"/>
        <v>0.35283199999999998</v>
      </c>
      <c r="S57" s="2"/>
      <c r="T57" s="2"/>
      <c r="U57" s="79">
        <v>48</v>
      </c>
      <c r="V57" s="80" t="s">
        <v>47</v>
      </c>
      <c r="W57" s="81">
        <v>5745</v>
      </c>
      <c r="X57" s="103">
        <f t="shared" si="21"/>
        <v>0.120977</v>
      </c>
    </row>
    <row r="58" spans="1:24" x14ac:dyDescent="0.2">
      <c r="A58" s="34">
        <v>49</v>
      </c>
      <c r="B58" s="35" t="s">
        <v>115</v>
      </c>
      <c r="C58" s="36">
        <v>1020</v>
      </c>
      <c r="D58" s="37">
        <f t="shared" si="16"/>
        <v>18.711764705899999</v>
      </c>
      <c r="E58" s="38">
        <v>19086</v>
      </c>
      <c r="F58" s="39">
        <f t="shared" si="17"/>
        <v>0.40190799999999999</v>
      </c>
      <c r="G58" s="38">
        <v>1560482.79</v>
      </c>
      <c r="H58" s="38">
        <v>35782723.179218799</v>
      </c>
      <c r="I58" s="38">
        <v>284</v>
      </c>
      <c r="J58" s="34">
        <v>49</v>
      </c>
      <c r="K58" s="35" t="s">
        <v>115</v>
      </c>
      <c r="L58" s="51">
        <f t="shared" si="22"/>
        <v>1.740793</v>
      </c>
      <c r="M58" s="51">
        <f t="shared" si="23"/>
        <v>0.154143</v>
      </c>
      <c r="N58" s="51">
        <f t="shared" si="24"/>
        <v>0.26399699999999998</v>
      </c>
      <c r="O58" s="51">
        <f t="shared" si="18"/>
        <v>32.378675000000001</v>
      </c>
      <c r="P58" s="51">
        <f t="shared" si="25"/>
        <v>3.2855159999999999</v>
      </c>
      <c r="Q58" s="39">
        <f t="shared" si="19"/>
        <v>37.823124</v>
      </c>
      <c r="R58" s="41">
        <f t="shared" si="20"/>
        <v>1.304246</v>
      </c>
      <c r="S58" s="2"/>
      <c r="T58" s="2"/>
      <c r="U58" s="79">
        <v>49</v>
      </c>
      <c r="V58" s="80" t="s">
        <v>115</v>
      </c>
      <c r="W58" s="81">
        <v>19086</v>
      </c>
      <c r="X58" s="103">
        <f t="shared" si="21"/>
        <v>0.40190799999999999</v>
      </c>
    </row>
    <row r="59" spans="1:24" x14ac:dyDescent="0.2">
      <c r="A59" s="34">
        <v>50</v>
      </c>
      <c r="B59" s="35" t="s">
        <v>69</v>
      </c>
      <c r="C59" s="36">
        <v>698</v>
      </c>
      <c r="D59" s="37">
        <f t="shared" si="16"/>
        <v>127.952722063</v>
      </c>
      <c r="E59" s="38">
        <v>89311</v>
      </c>
      <c r="F59" s="39">
        <f t="shared" si="17"/>
        <v>1.8806879999999999</v>
      </c>
      <c r="G59" s="38">
        <v>7818279.1100000003</v>
      </c>
      <c r="H59" s="38">
        <v>31206301.5571035</v>
      </c>
      <c r="I59" s="38">
        <v>137</v>
      </c>
      <c r="J59" s="34">
        <v>50</v>
      </c>
      <c r="K59" s="35" t="s">
        <v>69</v>
      </c>
      <c r="L59" s="51">
        <f t="shared" si="22"/>
        <v>1.1912480000000001</v>
      </c>
      <c r="M59" s="51">
        <f t="shared" si="23"/>
        <v>1.054047</v>
      </c>
      <c r="N59" s="51">
        <f t="shared" si="24"/>
        <v>1.322667</v>
      </c>
      <c r="O59" s="51">
        <f t="shared" si="18"/>
        <v>28.237625000000001</v>
      </c>
      <c r="P59" s="51">
        <f t="shared" si="25"/>
        <v>1.5849139999999999</v>
      </c>
      <c r="Q59" s="39">
        <f t="shared" si="19"/>
        <v>33.390501</v>
      </c>
      <c r="R59" s="41">
        <f t="shared" si="20"/>
        <v>1.151397</v>
      </c>
      <c r="S59" s="2"/>
      <c r="T59" s="2"/>
      <c r="U59" s="79">
        <v>50</v>
      </c>
      <c r="V59" s="80" t="s">
        <v>69</v>
      </c>
      <c r="W59" s="81">
        <v>89311</v>
      </c>
      <c r="X59" s="103">
        <f t="shared" si="21"/>
        <v>1.8806879999999999</v>
      </c>
    </row>
    <row r="60" spans="1:24" x14ac:dyDescent="0.2">
      <c r="A60" s="34">
        <v>51</v>
      </c>
      <c r="B60" s="35" t="s">
        <v>126</v>
      </c>
      <c r="C60" s="36">
        <v>233</v>
      </c>
      <c r="D60" s="37">
        <f t="shared" si="16"/>
        <v>60.012875536499998</v>
      </c>
      <c r="E60" s="38">
        <v>13983</v>
      </c>
      <c r="F60" s="39">
        <f t="shared" si="17"/>
        <v>0.29444999999999999</v>
      </c>
      <c r="G60" s="38">
        <v>1833752.04</v>
      </c>
      <c r="H60" s="38">
        <v>10927843.3992671</v>
      </c>
      <c r="I60" s="38">
        <v>28</v>
      </c>
      <c r="J60" s="34">
        <v>51</v>
      </c>
      <c r="K60" s="35" t="s">
        <v>126</v>
      </c>
      <c r="L60" s="51">
        <f t="shared" si="22"/>
        <v>0.39765200000000001</v>
      </c>
      <c r="M60" s="51">
        <f t="shared" si="23"/>
        <v>0.49437300000000001</v>
      </c>
      <c r="N60" s="51">
        <f t="shared" si="24"/>
        <v>0.31022699999999997</v>
      </c>
      <c r="O60" s="51">
        <f t="shared" si="18"/>
        <v>9.8882750000000001</v>
      </c>
      <c r="P60" s="51">
        <f t="shared" si="25"/>
        <v>0.32392399999999999</v>
      </c>
      <c r="Q60" s="39">
        <f t="shared" si="19"/>
        <v>11.414451</v>
      </c>
      <c r="R60" s="41">
        <f t="shared" si="20"/>
        <v>0.39360200000000001</v>
      </c>
      <c r="S60" s="2"/>
      <c r="T60" s="2"/>
      <c r="U60" s="79">
        <v>51</v>
      </c>
      <c r="V60" s="80" t="s">
        <v>126</v>
      </c>
      <c r="W60" s="81">
        <v>13983</v>
      </c>
      <c r="X60" s="103">
        <f t="shared" si="21"/>
        <v>0.29444999999999999</v>
      </c>
    </row>
    <row r="61" spans="1:24" x14ac:dyDescent="0.2">
      <c r="A61" s="34">
        <v>52</v>
      </c>
      <c r="B61" s="35" t="s">
        <v>58</v>
      </c>
      <c r="C61" s="36">
        <v>1150</v>
      </c>
      <c r="D61" s="37">
        <f t="shared" si="16"/>
        <v>170.43739130430001</v>
      </c>
      <c r="E61" s="38">
        <v>196003</v>
      </c>
      <c r="F61" s="39">
        <f t="shared" si="17"/>
        <v>4.1273819999999999</v>
      </c>
      <c r="G61" s="38">
        <v>52919394.5</v>
      </c>
      <c r="H61" s="38">
        <v>85946856.690486297</v>
      </c>
      <c r="I61" s="38">
        <v>170</v>
      </c>
      <c r="J61" s="34">
        <v>52</v>
      </c>
      <c r="K61" s="35" t="s">
        <v>58</v>
      </c>
      <c r="L61" s="51">
        <f t="shared" si="22"/>
        <v>1.962658</v>
      </c>
      <c r="M61" s="51">
        <f t="shared" si="23"/>
        <v>1.4040269999999999</v>
      </c>
      <c r="N61" s="51">
        <f t="shared" si="24"/>
        <v>8.9527070000000002</v>
      </c>
      <c r="O61" s="51">
        <f t="shared" si="18"/>
        <v>77.770650000000003</v>
      </c>
      <c r="P61" s="51">
        <f t="shared" si="25"/>
        <v>1.966682</v>
      </c>
      <c r="Q61" s="39">
        <f t="shared" si="19"/>
        <v>92.056724000000017</v>
      </c>
      <c r="R61" s="41">
        <f t="shared" si="20"/>
        <v>3.1743700000000001</v>
      </c>
      <c r="S61" s="2"/>
      <c r="T61" s="2"/>
      <c r="U61" s="79">
        <v>52</v>
      </c>
      <c r="V61" s="80" t="s">
        <v>58</v>
      </c>
      <c r="W61" s="81">
        <v>196003</v>
      </c>
      <c r="X61" s="103">
        <f t="shared" si="21"/>
        <v>4.1273819999999999</v>
      </c>
    </row>
    <row r="62" spans="1:24" x14ac:dyDescent="0.2">
      <c r="A62" s="34">
        <v>53</v>
      </c>
      <c r="B62" s="35" t="s">
        <v>103</v>
      </c>
      <c r="C62" s="36">
        <v>1192</v>
      </c>
      <c r="D62" s="37">
        <f t="shared" si="16"/>
        <v>712.29278523489995</v>
      </c>
      <c r="E62" s="38">
        <v>849053</v>
      </c>
      <c r="F62" s="39">
        <f>ROUND(E62/$E$9%,6)-0.000003</f>
        <v>17.879141000000001</v>
      </c>
      <c r="G62" s="38">
        <v>114920268.65000001</v>
      </c>
      <c r="H62" s="38">
        <v>208462475.33365601</v>
      </c>
      <c r="I62" s="38">
        <v>256</v>
      </c>
      <c r="J62" s="34">
        <v>53</v>
      </c>
      <c r="K62" s="35" t="s">
        <v>103</v>
      </c>
      <c r="L62" s="51">
        <f t="shared" si="22"/>
        <v>2.034338</v>
      </c>
      <c r="M62" s="51">
        <f t="shared" si="23"/>
        <v>5.8677149999999996</v>
      </c>
      <c r="N62" s="51">
        <f t="shared" si="24"/>
        <v>19.441784999999999</v>
      </c>
      <c r="O62" s="51">
        <f>ROUND(H62/$H$9%,6)*25-0.00005</f>
        <v>188.63117500000001</v>
      </c>
      <c r="P62" s="51">
        <f t="shared" si="25"/>
        <v>2.961592</v>
      </c>
      <c r="Q62" s="39">
        <f t="shared" si="19"/>
        <v>218.93660500000001</v>
      </c>
      <c r="R62" s="41">
        <f>ROUND(Q62/$Q$9%,6)-0.000003</f>
        <v>7.5495349999999997</v>
      </c>
      <c r="S62" s="2"/>
      <c r="T62" s="2"/>
      <c r="U62" s="79">
        <v>53</v>
      </c>
      <c r="V62" s="80" t="s">
        <v>103</v>
      </c>
      <c r="W62" s="81">
        <v>849053</v>
      </c>
      <c r="X62" s="103">
        <f>ROUND(W62/$E$9%,6)-0.000003</f>
        <v>17.879141000000001</v>
      </c>
    </row>
    <row r="63" spans="1:24" x14ac:dyDescent="0.2">
      <c r="A63" s="34">
        <v>54</v>
      </c>
      <c r="B63" s="35" t="s">
        <v>94</v>
      </c>
      <c r="C63" s="36">
        <v>183</v>
      </c>
      <c r="D63" s="37">
        <f t="shared" si="16"/>
        <v>43.622950819700002</v>
      </c>
      <c r="E63" s="38">
        <v>7983</v>
      </c>
      <c r="F63" s="39">
        <f t="shared" ref="F63:F94" si="26">ROUND(E63/$E$9%,6)</f>
        <v>0.168104</v>
      </c>
      <c r="G63" s="38">
        <v>952357.67</v>
      </c>
      <c r="H63" s="38">
        <v>8494661.5957364496</v>
      </c>
      <c r="I63" s="38">
        <v>32</v>
      </c>
      <c r="J63" s="34">
        <v>54</v>
      </c>
      <c r="K63" s="35" t="s">
        <v>94</v>
      </c>
      <c r="L63" s="51">
        <f t="shared" si="22"/>
        <v>0.31231900000000001</v>
      </c>
      <c r="M63" s="51">
        <f t="shared" si="23"/>
        <v>0.35935600000000001</v>
      </c>
      <c r="N63" s="51">
        <f t="shared" si="24"/>
        <v>0.16111600000000001</v>
      </c>
      <c r="O63" s="51">
        <f t="shared" ref="O63:O94" si="27">ROUND(H63/$H$9%,6)*25</f>
        <v>7.6865500000000004</v>
      </c>
      <c r="P63" s="51">
        <f t="shared" si="25"/>
        <v>0.370199</v>
      </c>
      <c r="Q63" s="39">
        <f t="shared" si="19"/>
        <v>8.8895400000000002</v>
      </c>
      <c r="R63" s="41">
        <f t="shared" ref="R63:R94" si="28">ROUND(Q63/$Q$9%,6)</f>
        <v>0.30653599999999998</v>
      </c>
      <c r="S63" s="2"/>
      <c r="T63" s="2"/>
      <c r="U63" s="79">
        <v>54</v>
      </c>
      <c r="V63" s="80" t="s">
        <v>94</v>
      </c>
      <c r="W63" s="81">
        <v>7983</v>
      </c>
      <c r="X63" s="103">
        <f t="shared" ref="X63:X94" si="29">ROUND(W63/$E$9%,6)</f>
        <v>0.168104</v>
      </c>
    </row>
    <row r="64" spans="1:24" s="5" customFormat="1" ht="12.75" x14ac:dyDescent="0.2">
      <c r="A64" s="34">
        <v>55</v>
      </c>
      <c r="B64" s="35" t="s">
        <v>131</v>
      </c>
      <c r="C64" s="36">
        <v>378</v>
      </c>
      <c r="D64" s="37">
        <f t="shared" si="16"/>
        <v>120.9841269841</v>
      </c>
      <c r="E64" s="38">
        <v>45732</v>
      </c>
      <c r="F64" s="39">
        <f t="shared" si="26"/>
        <v>0.96301300000000001</v>
      </c>
      <c r="G64" s="38">
        <v>7735151.5199999996</v>
      </c>
      <c r="H64" s="38">
        <v>22388594.1248192</v>
      </c>
      <c r="I64" s="38">
        <v>45</v>
      </c>
      <c r="J64" s="34">
        <v>55</v>
      </c>
      <c r="K64" s="35" t="s">
        <v>131</v>
      </c>
      <c r="L64" s="51">
        <f t="shared" si="22"/>
        <v>0.64511700000000005</v>
      </c>
      <c r="M64" s="51">
        <f t="shared" si="23"/>
        <v>0.996641</v>
      </c>
      <c r="N64" s="51">
        <f t="shared" si="24"/>
        <v>1.3086040000000001</v>
      </c>
      <c r="O64" s="51">
        <f t="shared" si="27"/>
        <v>20.258749999999999</v>
      </c>
      <c r="P64" s="51">
        <f t="shared" si="25"/>
        <v>0.52059200000000005</v>
      </c>
      <c r="Q64" s="39">
        <f t="shared" si="19"/>
        <v>23.729703999999998</v>
      </c>
      <c r="R64" s="41">
        <f t="shared" si="28"/>
        <v>0.81826600000000005</v>
      </c>
      <c r="S64" s="2"/>
      <c r="T64" s="2"/>
      <c r="U64" s="79">
        <v>55</v>
      </c>
      <c r="V64" s="80" t="s">
        <v>131</v>
      </c>
      <c r="W64" s="81">
        <v>45732</v>
      </c>
      <c r="X64" s="103">
        <f t="shared" si="29"/>
        <v>0.96301300000000001</v>
      </c>
    </row>
    <row r="65" spans="1:24" s="5" customFormat="1" ht="12.75" x14ac:dyDescent="0.2">
      <c r="A65" s="34">
        <v>56</v>
      </c>
      <c r="B65" s="35" t="s">
        <v>80</v>
      </c>
      <c r="C65" s="36">
        <v>304</v>
      </c>
      <c r="D65" s="37">
        <f t="shared" si="16"/>
        <v>107.2302631579</v>
      </c>
      <c r="E65" s="38">
        <v>32598</v>
      </c>
      <c r="F65" s="39">
        <f t="shared" si="26"/>
        <v>0.68644000000000005</v>
      </c>
      <c r="G65" s="38">
        <v>2271035.15</v>
      </c>
      <c r="H65" s="38">
        <v>12146546.5457728</v>
      </c>
      <c r="I65" s="38">
        <v>15</v>
      </c>
      <c r="J65" s="34">
        <v>56</v>
      </c>
      <c r="K65" s="35" t="s">
        <v>80</v>
      </c>
      <c r="L65" s="51">
        <f t="shared" si="22"/>
        <v>0.51882399999999995</v>
      </c>
      <c r="M65" s="51">
        <f t="shared" si="23"/>
        <v>0.88334000000000001</v>
      </c>
      <c r="N65" s="51">
        <f t="shared" si="24"/>
        <v>0.38420500000000002</v>
      </c>
      <c r="O65" s="51">
        <f t="shared" si="27"/>
        <v>10.991025</v>
      </c>
      <c r="P65" s="51">
        <f t="shared" si="25"/>
        <v>0.17353099999999999</v>
      </c>
      <c r="Q65" s="39">
        <f t="shared" si="19"/>
        <v>12.950925000000002</v>
      </c>
      <c r="R65" s="41">
        <f t="shared" si="28"/>
        <v>0.44658399999999998</v>
      </c>
      <c r="S65" s="2"/>
      <c r="T65" s="2"/>
      <c r="U65" s="79">
        <v>56</v>
      </c>
      <c r="V65" s="80" t="s">
        <v>80</v>
      </c>
      <c r="W65" s="81">
        <v>32598</v>
      </c>
      <c r="X65" s="103">
        <f t="shared" si="29"/>
        <v>0.68644000000000005</v>
      </c>
    </row>
    <row r="66" spans="1:24" x14ac:dyDescent="0.2">
      <c r="A66" s="34">
        <v>57</v>
      </c>
      <c r="B66" s="35" t="s">
        <v>65</v>
      </c>
      <c r="C66" s="36">
        <v>546</v>
      </c>
      <c r="D66" s="37">
        <f t="shared" si="16"/>
        <v>15.010989010999999</v>
      </c>
      <c r="E66" s="38">
        <v>8196</v>
      </c>
      <c r="F66" s="39">
        <f t="shared" si="26"/>
        <v>0.17258899999999999</v>
      </c>
      <c r="G66" s="38">
        <v>874912.84</v>
      </c>
      <c r="H66" s="38">
        <v>21462089.3275216</v>
      </c>
      <c r="I66" s="38">
        <v>130</v>
      </c>
      <c r="J66" s="34">
        <v>57</v>
      </c>
      <c r="K66" s="35" t="s">
        <v>65</v>
      </c>
      <c r="L66" s="51">
        <f t="shared" si="22"/>
        <v>0.931836</v>
      </c>
      <c r="M66" s="51">
        <f t="shared" si="23"/>
        <v>0.123657</v>
      </c>
      <c r="N66" s="51">
        <f t="shared" si="24"/>
        <v>0.14801500000000001</v>
      </c>
      <c r="O66" s="51">
        <f t="shared" si="27"/>
        <v>19.420375</v>
      </c>
      <c r="P66" s="51">
        <f t="shared" si="25"/>
        <v>1.503933</v>
      </c>
      <c r="Q66" s="39">
        <f t="shared" si="19"/>
        <v>22.127815999999999</v>
      </c>
      <c r="R66" s="41">
        <f t="shared" si="28"/>
        <v>0.76302800000000004</v>
      </c>
      <c r="S66" s="2"/>
      <c r="T66" s="2"/>
      <c r="U66" s="79">
        <v>57</v>
      </c>
      <c r="V66" s="80" t="s">
        <v>65</v>
      </c>
      <c r="W66" s="81">
        <v>8196</v>
      </c>
      <c r="X66" s="103">
        <f t="shared" si="29"/>
        <v>0.17258899999999999</v>
      </c>
    </row>
    <row r="67" spans="1:24" x14ac:dyDescent="0.2">
      <c r="A67" s="34">
        <v>58</v>
      </c>
      <c r="B67" s="35" t="s">
        <v>134</v>
      </c>
      <c r="C67" s="36">
        <v>235</v>
      </c>
      <c r="D67" s="37">
        <f t="shared" si="16"/>
        <v>89.2808510638</v>
      </c>
      <c r="E67" s="38">
        <v>20981</v>
      </c>
      <c r="F67" s="39">
        <f t="shared" si="26"/>
        <v>0.44181300000000001</v>
      </c>
      <c r="G67" s="38">
        <v>1880491.53</v>
      </c>
      <c r="H67" s="38">
        <v>13525291.9797334</v>
      </c>
      <c r="I67" s="38">
        <v>63</v>
      </c>
      <c r="J67" s="34">
        <v>58</v>
      </c>
      <c r="K67" s="35" t="s">
        <v>134</v>
      </c>
      <c r="L67" s="51">
        <f t="shared" si="22"/>
        <v>0.401065</v>
      </c>
      <c r="M67" s="51">
        <f t="shared" si="23"/>
        <v>0.73547600000000002</v>
      </c>
      <c r="N67" s="51">
        <f t="shared" si="24"/>
        <v>0.318135</v>
      </c>
      <c r="O67" s="51">
        <f t="shared" si="27"/>
        <v>12.238625000000001</v>
      </c>
      <c r="P67" s="51">
        <f t="shared" si="25"/>
        <v>0.72882899999999995</v>
      </c>
      <c r="Q67" s="39">
        <f t="shared" si="19"/>
        <v>14.422130000000001</v>
      </c>
      <c r="R67" s="41">
        <f t="shared" si="28"/>
        <v>0.49731500000000001</v>
      </c>
      <c r="S67" s="2"/>
      <c r="T67" s="2"/>
      <c r="U67" s="79">
        <v>58</v>
      </c>
      <c r="V67" s="80" t="s">
        <v>134</v>
      </c>
      <c r="W67" s="81">
        <v>20981</v>
      </c>
      <c r="X67" s="103">
        <f t="shared" si="29"/>
        <v>0.44181300000000001</v>
      </c>
    </row>
    <row r="68" spans="1:24" x14ac:dyDescent="0.2">
      <c r="A68" s="34">
        <v>59</v>
      </c>
      <c r="B68" s="35" t="s">
        <v>136</v>
      </c>
      <c r="C68" s="36">
        <v>330</v>
      </c>
      <c r="D68" s="37">
        <f t="shared" si="16"/>
        <v>27.354545454499998</v>
      </c>
      <c r="E68" s="38">
        <v>9027</v>
      </c>
      <c r="F68" s="39">
        <f t="shared" si="26"/>
        <v>0.19008800000000001</v>
      </c>
      <c r="G68" s="38">
        <v>1082707.56</v>
      </c>
      <c r="H68" s="38">
        <v>9348965.2659537308</v>
      </c>
      <c r="I68" s="38">
        <v>36</v>
      </c>
      <c r="J68" s="34">
        <v>59</v>
      </c>
      <c r="K68" s="35" t="s">
        <v>136</v>
      </c>
      <c r="L68" s="51">
        <f t="shared" si="22"/>
        <v>0.56319799999999998</v>
      </c>
      <c r="M68" s="51">
        <f t="shared" si="23"/>
        <v>0.22534100000000001</v>
      </c>
      <c r="N68" s="51">
        <f t="shared" si="24"/>
        <v>0.183168</v>
      </c>
      <c r="O68" s="51">
        <f t="shared" si="27"/>
        <v>8.4596</v>
      </c>
      <c r="P68" s="51">
        <f t="shared" si="25"/>
        <v>0.41647400000000001</v>
      </c>
      <c r="Q68" s="39">
        <f t="shared" si="19"/>
        <v>9.8477810000000012</v>
      </c>
      <c r="R68" s="41">
        <f t="shared" si="28"/>
        <v>0.33957900000000002</v>
      </c>
      <c r="S68" s="2"/>
      <c r="T68" s="2"/>
      <c r="U68" s="79">
        <v>59</v>
      </c>
      <c r="V68" s="80" t="s">
        <v>136</v>
      </c>
      <c r="W68" s="81">
        <v>9027</v>
      </c>
      <c r="X68" s="103">
        <f t="shared" si="29"/>
        <v>0.19008800000000001</v>
      </c>
    </row>
    <row r="69" spans="1:24" x14ac:dyDescent="0.2">
      <c r="A69" s="34">
        <v>60</v>
      </c>
      <c r="B69" s="35" t="s">
        <v>137</v>
      </c>
      <c r="C69" s="36">
        <v>77</v>
      </c>
      <c r="D69" s="37">
        <f t="shared" si="16"/>
        <v>122.55844155840001</v>
      </c>
      <c r="E69" s="38">
        <v>9437</v>
      </c>
      <c r="F69" s="39">
        <f t="shared" si="26"/>
        <v>0.19872200000000001</v>
      </c>
      <c r="G69" s="38">
        <v>1618553.75</v>
      </c>
      <c r="H69" s="38">
        <v>11335835.132828699</v>
      </c>
      <c r="I69" s="38">
        <v>16</v>
      </c>
      <c r="J69" s="34">
        <v>60</v>
      </c>
      <c r="K69" s="35" t="s">
        <v>137</v>
      </c>
      <c r="L69" s="51">
        <f t="shared" si="22"/>
        <v>0.131413</v>
      </c>
      <c r="M69" s="51">
        <f t="shared" si="23"/>
        <v>1.0096099999999999</v>
      </c>
      <c r="N69" s="51">
        <f t="shared" si="24"/>
        <v>0.27382099999999998</v>
      </c>
      <c r="O69" s="51">
        <f t="shared" si="27"/>
        <v>10.25745</v>
      </c>
      <c r="P69" s="51">
        <f t="shared" si="25"/>
        <v>0.18509900000000001</v>
      </c>
      <c r="Q69" s="39">
        <f t="shared" si="19"/>
        <v>11.857393</v>
      </c>
      <c r="R69" s="41">
        <f t="shared" si="28"/>
        <v>0.40887600000000002</v>
      </c>
      <c r="S69" s="2"/>
      <c r="T69" s="2"/>
      <c r="U69" s="79">
        <v>60</v>
      </c>
      <c r="V69" s="80" t="s">
        <v>137</v>
      </c>
      <c r="W69" s="81">
        <v>9437</v>
      </c>
      <c r="X69" s="103">
        <f t="shared" si="29"/>
        <v>0.19872200000000001</v>
      </c>
    </row>
    <row r="70" spans="1:24" x14ac:dyDescent="0.2">
      <c r="A70" s="34">
        <v>61</v>
      </c>
      <c r="B70" s="35" t="s">
        <v>135</v>
      </c>
      <c r="C70" s="36">
        <v>142</v>
      </c>
      <c r="D70" s="37">
        <f t="shared" si="16"/>
        <v>174.4647887324</v>
      </c>
      <c r="E70" s="38">
        <v>24774</v>
      </c>
      <c r="F70" s="39">
        <f t="shared" si="26"/>
        <v>0.52168499999999995</v>
      </c>
      <c r="G70" s="38">
        <v>1524902.52</v>
      </c>
      <c r="H70" s="38">
        <v>16297802.2047686</v>
      </c>
      <c r="I70" s="38">
        <v>39</v>
      </c>
      <c r="J70" s="34">
        <v>61</v>
      </c>
      <c r="K70" s="35" t="s">
        <v>135</v>
      </c>
      <c r="L70" s="51">
        <f t="shared" si="22"/>
        <v>0.24234600000000001</v>
      </c>
      <c r="M70" s="51">
        <f t="shared" si="23"/>
        <v>1.437203</v>
      </c>
      <c r="N70" s="51">
        <f t="shared" si="24"/>
        <v>0.25797700000000001</v>
      </c>
      <c r="O70" s="51">
        <f t="shared" si="27"/>
        <v>14.747374999999998</v>
      </c>
      <c r="P70" s="51">
        <f t="shared" si="25"/>
        <v>0.45118000000000003</v>
      </c>
      <c r="Q70" s="39">
        <f t="shared" si="19"/>
        <v>17.136080999999997</v>
      </c>
      <c r="R70" s="41">
        <f t="shared" si="28"/>
        <v>0.59089899999999995</v>
      </c>
      <c r="S70" s="2"/>
      <c r="T70" s="2"/>
      <c r="U70" s="79">
        <v>61</v>
      </c>
      <c r="V70" s="80" t="s">
        <v>135</v>
      </c>
      <c r="W70" s="81">
        <v>24774</v>
      </c>
      <c r="X70" s="103">
        <f t="shared" si="29"/>
        <v>0.52168499999999995</v>
      </c>
    </row>
    <row r="71" spans="1:24" x14ac:dyDescent="0.2">
      <c r="A71" s="34">
        <v>62</v>
      </c>
      <c r="B71" s="35" t="s">
        <v>113</v>
      </c>
      <c r="C71" s="36">
        <v>170</v>
      </c>
      <c r="D71" s="37">
        <f t="shared" si="16"/>
        <v>123.6941176471</v>
      </c>
      <c r="E71" s="38">
        <v>21028</v>
      </c>
      <c r="F71" s="39">
        <f t="shared" si="26"/>
        <v>0.44280199999999997</v>
      </c>
      <c r="G71" s="38">
        <v>2309249.39</v>
      </c>
      <c r="H71" s="38">
        <v>13170875.735747799</v>
      </c>
      <c r="I71" s="38">
        <v>18</v>
      </c>
      <c r="J71" s="34">
        <v>62</v>
      </c>
      <c r="K71" s="35" t="s">
        <v>113</v>
      </c>
      <c r="L71" s="51">
        <f t="shared" si="22"/>
        <v>0.290132</v>
      </c>
      <c r="M71" s="51">
        <f t="shared" si="23"/>
        <v>1.018966</v>
      </c>
      <c r="N71" s="51">
        <f t="shared" si="24"/>
        <v>0.39067000000000002</v>
      </c>
      <c r="O71" s="51">
        <f t="shared" si="27"/>
        <v>11.917925</v>
      </c>
      <c r="P71" s="51">
        <f t="shared" si="25"/>
        <v>0.20823700000000001</v>
      </c>
      <c r="Q71" s="39">
        <f t="shared" si="19"/>
        <v>13.825930000000001</v>
      </c>
      <c r="R71" s="41">
        <f t="shared" si="28"/>
        <v>0.47675600000000001</v>
      </c>
      <c r="S71" s="2"/>
      <c r="T71" s="2"/>
      <c r="U71" s="79">
        <v>62</v>
      </c>
      <c r="V71" s="80" t="s">
        <v>113</v>
      </c>
      <c r="W71" s="81">
        <v>21028</v>
      </c>
      <c r="X71" s="103">
        <f t="shared" si="29"/>
        <v>0.44280199999999997</v>
      </c>
    </row>
    <row r="72" spans="1:24" x14ac:dyDescent="0.2">
      <c r="A72" s="34">
        <v>63</v>
      </c>
      <c r="B72" s="35" t="s">
        <v>123</v>
      </c>
      <c r="C72" s="36">
        <v>289</v>
      </c>
      <c r="D72" s="37">
        <f t="shared" si="16"/>
        <v>51.519031141900001</v>
      </c>
      <c r="E72" s="38">
        <v>14889</v>
      </c>
      <c r="F72" s="39">
        <f t="shared" si="26"/>
        <v>0.313529</v>
      </c>
      <c r="G72" s="38">
        <v>1702801.93</v>
      </c>
      <c r="H72" s="38">
        <v>11250644.744908899</v>
      </c>
      <c r="I72" s="38">
        <v>30</v>
      </c>
      <c r="J72" s="34">
        <v>63</v>
      </c>
      <c r="K72" s="35" t="s">
        <v>123</v>
      </c>
      <c r="L72" s="51">
        <f t="shared" si="22"/>
        <v>0.49322500000000002</v>
      </c>
      <c r="M72" s="51">
        <f t="shared" si="23"/>
        <v>0.42440299999999997</v>
      </c>
      <c r="N72" s="51">
        <f t="shared" si="24"/>
        <v>0.288074</v>
      </c>
      <c r="O72" s="51">
        <f t="shared" si="27"/>
        <v>10.180350000000001</v>
      </c>
      <c r="P72" s="51">
        <f t="shared" si="25"/>
        <v>0.34706199999999998</v>
      </c>
      <c r="Q72" s="39">
        <f t="shared" si="19"/>
        <v>11.733114</v>
      </c>
      <c r="R72" s="41">
        <f t="shared" si="28"/>
        <v>0.40459000000000001</v>
      </c>
      <c r="S72" s="2"/>
      <c r="T72" s="2"/>
      <c r="U72" s="79">
        <v>63</v>
      </c>
      <c r="V72" s="80" t="s">
        <v>123</v>
      </c>
      <c r="W72" s="81">
        <v>14889</v>
      </c>
      <c r="X72" s="103">
        <f t="shared" si="29"/>
        <v>0.313529</v>
      </c>
    </row>
    <row r="73" spans="1:24" x14ac:dyDescent="0.2">
      <c r="A73" s="34">
        <v>64</v>
      </c>
      <c r="B73" s="35" t="s">
        <v>74</v>
      </c>
      <c r="C73" s="36">
        <v>503</v>
      </c>
      <c r="D73" s="37">
        <f t="shared" si="16"/>
        <v>53.343936381699997</v>
      </c>
      <c r="E73" s="38">
        <v>26832</v>
      </c>
      <c r="F73" s="39">
        <f t="shared" si="26"/>
        <v>0.565021</v>
      </c>
      <c r="G73" s="38">
        <v>3750901.23</v>
      </c>
      <c r="H73" s="38">
        <v>18134464.965981599</v>
      </c>
      <c r="I73" s="38">
        <v>84</v>
      </c>
      <c r="J73" s="34">
        <v>64</v>
      </c>
      <c r="K73" s="35" t="s">
        <v>74</v>
      </c>
      <c r="L73" s="51">
        <f t="shared" si="22"/>
        <v>0.85845000000000005</v>
      </c>
      <c r="M73" s="51">
        <f t="shared" si="23"/>
        <v>0.43943599999999999</v>
      </c>
      <c r="N73" s="51">
        <f t="shared" si="24"/>
        <v>0.63456400000000002</v>
      </c>
      <c r="O73" s="51">
        <f t="shared" si="27"/>
        <v>16.409324999999999</v>
      </c>
      <c r="P73" s="51">
        <f t="shared" si="25"/>
        <v>0.97177199999999997</v>
      </c>
      <c r="Q73" s="39">
        <f t="shared" si="19"/>
        <v>19.313547</v>
      </c>
      <c r="R73" s="41">
        <f t="shared" si="28"/>
        <v>0.66598400000000002</v>
      </c>
      <c r="S73" s="2"/>
      <c r="T73" s="2"/>
      <c r="U73" s="79">
        <v>64</v>
      </c>
      <c r="V73" s="80" t="s">
        <v>74</v>
      </c>
      <c r="W73" s="81">
        <v>26832</v>
      </c>
      <c r="X73" s="103">
        <f t="shared" si="29"/>
        <v>0.565021</v>
      </c>
    </row>
    <row r="74" spans="1:24" x14ac:dyDescent="0.2">
      <c r="A74" s="34">
        <v>65</v>
      </c>
      <c r="B74" s="35" t="s">
        <v>89</v>
      </c>
      <c r="C74" s="36">
        <v>244</v>
      </c>
      <c r="D74" s="37">
        <f t="shared" ref="D74:D105" si="30">ROUND(E74/C74,10)</f>
        <v>162.5286885246</v>
      </c>
      <c r="E74" s="38">
        <v>39657</v>
      </c>
      <c r="F74" s="39">
        <f t="shared" si="26"/>
        <v>0.83508700000000002</v>
      </c>
      <c r="G74" s="38">
        <v>3431207.72</v>
      </c>
      <c r="H74" s="38">
        <v>16272084.305086801</v>
      </c>
      <c r="I74" s="38">
        <v>22</v>
      </c>
      <c r="J74" s="34">
        <v>65</v>
      </c>
      <c r="K74" s="35" t="s">
        <v>89</v>
      </c>
      <c r="L74" s="51">
        <f t="shared" si="22"/>
        <v>0.41642499999999999</v>
      </c>
      <c r="M74" s="51">
        <f t="shared" si="23"/>
        <v>1.338876</v>
      </c>
      <c r="N74" s="51">
        <f t="shared" si="24"/>
        <v>0.58047899999999997</v>
      </c>
      <c r="O74" s="51">
        <f t="shared" si="27"/>
        <v>14.724100000000002</v>
      </c>
      <c r="P74" s="51">
        <f t="shared" si="25"/>
        <v>0.25451200000000002</v>
      </c>
      <c r="Q74" s="39">
        <f t="shared" ref="Q74:Q105" si="31">L74+M74+N74+O74+P74</f>
        <v>17.314391999999998</v>
      </c>
      <c r="R74" s="41">
        <f t="shared" si="28"/>
        <v>0.59704800000000002</v>
      </c>
      <c r="S74" s="2"/>
      <c r="T74" s="2"/>
      <c r="U74" s="79">
        <v>65</v>
      </c>
      <c r="V74" s="80" t="s">
        <v>89</v>
      </c>
      <c r="W74" s="81">
        <v>39657</v>
      </c>
      <c r="X74" s="103">
        <f t="shared" si="29"/>
        <v>0.83508700000000002</v>
      </c>
    </row>
    <row r="75" spans="1:24" x14ac:dyDescent="0.2">
      <c r="A75" s="34">
        <v>66</v>
      </c>
      <c r="B75" s="35" t="s">
        <v>118</v>
      </c>
      <c r="C75" s="36">
        <v>439</v>
      </c>
      <c r="D75" s="37">
        <f t="shared" si="30"/>
        <v>224.10478359909999</v>
      </c>
      <c r="E75" s="38">
        <v>98382</v>
      </c>
      <c r="F75" s="39">
        <f t="shared" si="26"/>
        <v>2.0717029999999999</v>
      </c>
      <c r="G75" s="38">
        <v>10085291.550000001</v>
      </c>
      <c r="H75" s="38">
        <v>36608788.126071602</v>
      </c>
      <c r="I75" s="38">
        <v>81</v>
      </c>
      <c r="J75" s="34">
        <v>66</v>
      </c>
      <c r="K75" s="35" t="s">
        <v>118</v>
      </c>
      <c r="L75" s="51">
        <f t="shared" si="22"/>
        <v>0.74922299999999997</v>
      </c>
      <c r="M75" s="51">
        <f t="shared" si="23"/>
        <v>1.8461270000000001</v>
      </c>
      <c r="N75" s="51">
        <f t="shared" si="24"/>
        <v>1.7061919999999999</v>
      </c>
      <c r="O75" s="51">
        <f t="shared" si="27"/>
        <v>33.126149999999996</v>
      </c>
      <c r="P75" s="51">
        <f t="shared" si="25"/>
        <v>0.93706599999999995</v>
      </c>
      <c r="Q75" s="39">
        <f t="shared" si="31"/>
        <v>38.364757999999995</v>
      </c>
      <c r="R75" s="41">
        <f t="shared" si="28"/>
        <v>1.3229230000000001</v>
      </c>
      <c r="S75" s="2"/>
      <c r="T75" s="2"/>
      <c r="U75" s="79">
        <v>66</v>
      </c>
      <c r="V75" s="80" t="s">
        <v>118</v>
      </c>
      <c r="W75" s="81">
        <v>98382</v>
      </c>
      <c r="X75" s="103">
        <f t="shared" si="29"/>
        <v>2.0717029999999999</v>
      </c>
    </row>
    <row r="76" spans="1:24" x14ac:dyDescent="0.2">
      <c r="A76" s="34">
        <v>67</v>
      </c>
      <c r="B76" s="35" t="s">
        <v>120</v>
      </c>
      <c r="C76" s="36">
        <v>371</v>
      </c>
      <c r="D76" s="37">
        <f t="shared" si="30"/>
        <v>44.8005390836</v>
      </c>
      <c r="E76" s="38">
        <v>16621</v>
      </c>
      <c r="F76" s="39">
        <f t="shared" si="26"/>
        <v>0.35000100000000001</v>
      </c>
      <c r="G76" s="38">
        <v>2095088.8</v>
      </c>
      <c r="H76" s="38">
        <v>13474271.191515701</v>
      </c>
      <c r="I76" s="38">
        <v>54</v>
      </c>
      <c r="J76" s="34">
        <v>67</v>
      </c>
      <c r="K76" s="35" t="s">
        <v>120</v>
      </c>
      <c r="L76" s="51">
        <f t="shared" si="22"/>
        <v>0.63317100000000004</v>
      </c>
      <c r="M76" s="51">
        <f t="shared" si="23"/>
        <v>0.36905700000000002</v>
      </c>
      <c r="N76" s="51">
        <f t="shared" si="24"/>
        <v>0.354439</v>
      </c>
      <c r="O76" s="51">
        <f t="shared" si="27"/>
        <v>12.192450000000001</v>
      </c>
      <c r="P76" s="51">
        <f t="shared" si="25"/>
        <v>0.62471100000000002</v>
      </c>
      <c r="Q76" s="39">
        <f t="shared" si="31"/>
        <v>14.173828</v>
      </c>
      <c r="R76" s="41">
        <f t="shared" si="28"/>
        <v>0.48875299999999999</v>
      </c>
      <c r="S76" s="2"/>
      <c r="T76" s="2"/>
      <c r="U76" s="79">
        <v>67</v>
      </c>
      <c r="V76" s="80" t="s">
        <v>120</v>
      </c>
      <c r="W76" s="81">
        <v>16621</v>
      </c>
      <c r="X76" s="103">
        <f t="shared" si="29"/>
        <v>0.35000100000000001</v>
      </c>
    </row>
    <row r="77" spans="1:24" x14ac:dyDescent="0.2">
      <c r="A77" s="34">
        <v>68</v>
      </c>
      <c r="B77" s="35" t="s">
        <v>144</v>
      </c>
      <c r="C77" s="36">
        <v>332</v>
      </c>
      <c r="D77" s="37">
        <f t="shared" si="30"/>
        <v>88.521084337299996</v>
      </c>
      <c r="E77" s="38">
        <v>29389</v>
      </c>
      <c r="F77" s="39">
        <f t="shared" si="26"/>
        <v>0.61886600000000003</v>
      </c>
      <c r="G77" s="38">
        <v>3980036.3</v>
      </c>
      <c r="H77" s="38">
        <v>18295888.100319501</v>
      </c>
      <c r="I77" s="38">
        <v>81</v>
      </c>
      <c r="J77" s="34">
        <v>68</v>
      </c>
      <c r="K77" s="35" t="s">
        <v>144</v>
      </c>
      <c r="L77" s="51">
        <f t="shared" si="22"/>
        <v>0.56661099999999998</v>
      </c>
      <c r="M77" s="51">
        <f t="shared" si="23"/>
        <v>0.72921800000000003</v>
      </c>
      <c r="N77" s="51">
        <f t="shared" si="24"/>
        <v>0.67332800000000004</v>
      </c>
      <c r="O77" s="51">
        <f t="shared" si="27"/>
        <v>16.555375000000002</v>
      </c>
      <c r="P77" s="51">
        <f t="shared" si="25"/>
        <v>0.93706599999999995</v>
      </c>
      <c r="Q77" s="39">
        <f t="shared" si="31"/>
        <v>19.461598000000002</v>
      </c>
      <c r="R77" s="41">
        <f t="shared" si="28"/>
        <v>0.67108999999999996</v>
      </c>
      <c r="S77" s="2"/>
      <c r="T77" s="2"/>
      <c r="U77" s="79">
        <v>68</v>
      </c>
      <c r="V77" s="80" t="s">
        <v>144</v>
      </c>
      <c r="W77" s="81">
        <v>29389</v>
      </c>
      <c r="X77" s="103">
        <f t="shared" si="29"/>
        <v>0.61886600000000003</v>
      </c>
    </row>
    <row r="78" spans="1:24" x14ac:dyDescent="0.2">
      <c r="A78" s="34">
        <v>69</v>
      </c>
      <c r="B78" s="35" t="s">
        <v>84</v>
      </c>
      <c r="C78" s="36">
        <v>285</v>
      </c>
      <c r="D78" s="37">
        <f t="shared" si="30"/>
        <v>373.64912280700003</v>
      </c>
      <c r="E78" s="38">
        <v>106490</v>
      </c>
      <c r="F78" s="39">
        <f t="shared" si="26"/>
        <v>2.2424400000000002</v>
      </c>
      <c r="G78" s="38">
        <v>14799289.210000001</v>
      </c>
      <c r="H78" s="38">
        <v>54562374.433647797</v>
      </c>
      <c r="I78" s="38">
        <v>81</v>
      </c>
      <c r="J78" s="34">
        <v>69</v>
      </c>
      <c r="K78" s="35" t="s">
        <v>84</v>
      </c>
      <c r="L78" s="51">
        <f t="shared" si="22"/>
        <v>0.486398</v>
      </c>
      <c r="M78" s="51">
        <f t="shared" si="23"/>
        <v>3.0780409999999998</v>
      </c>
      <c r="N78" s="51">
        <f t="shared" si="24"/>
        <v>2.5036890000000001</v>
      </c>
      <c r="O78" s="51">
        <f t="shared" si="27"/>
        <v>49.3718</v>
      </c>
      <c r="P78" s="51">
        <f t="shared" si="25"/>
        <v>0.93706599999999995</v>
      </c>
      <c r="Q78" s="39">
        <f t="shared" si="31"/>
        <v>56.376994000000003</v>
      </c>
      <c r="R78" s="41">
        <f t="shared" si="28"/>
        <v>1.944034</v>
      </c>
      <c r="S78" s="2"/>
      <c r="T78" s="2"/>
      <c r="U78" s="79">
        <v>69</v>
      </c>
      <c r="V78" s="80" t="s">
        <v>84</v>
      </c>
      <c r="W78" s="81">
        <v>106490</v>
      </c>
      <c r="X78" s="103">
        <f t="shared" si="29"/>
        <v>2.2424400000000002</v>
      </c>
    </row>
    <row r="79" spans="1:24" x14ac:dyDescent="0.2">
      <c r="A79" s="34">
        <v>70</v>
      </c>
      <c r="B79" s="35" t="s">
        <v>53</v>
      </c>
      <c r="C79" s="36">
        <v>193</v>
      </c>
      <c r="D79" s="37">
        <f t="shared" si="30"/>
        <v>80.326424870500006</v>
      </c>
      <c r="E79" s="38">
        <v>15503</v>
      </c>
      <c r="F79" s="39">
        <f t="shared" si="26"/>
        <v>0.32645800000000003</v>
      </c>
      <c r="G79" s="38">
        <v>2284734.63</v>
      </c>
      <c r="H79" s="38">
        <v>13224970.209351299</v>
      </c>
      <c r="I79" s="38">
        <v>10</v>
      </c>
      <c r="J79" s="34">
        <v>70</v>
      </c>
      <c r="K79" s="35" t="s">
        <v>53</v>
      </c>
      <c r="L79" s="51">
        <f t="shared" si="22"/>
        <v>0.32938499999999998</v>
      </c>
      <c r="M79" s="51">
        <f t="shared" si="23"/>
        <v>0.66171199999999997</v>
      </c>
      <c r="N79" s="51">
        <f t="shared" si="24"/>
        <v>0.38652300000000001</v>
      </c>
      <c r="O79" s="51">
        <f t="shared" si="27"/>
        <v>11.966875</v>
      </c>
      <c r="P79" s="51">
        <f t="shared" si="25"/>
        <v>0.115687</v>
      </c>
      <c r="Q79" s="39">
        <f t="shared" si="31"/>
        <v>13.460182</v>
      </c>
      <c r="R79" s="41">
        <f t="shared" si="28"/>
        <v>0.464144</v>
      </c>
      <c r="S79" s="2"/>
      <c r="T79" s="2"/>
      <c r="U79" s="79">
        <v>70</v>
      </c>
      <c r="V79" s="80" t="s">
        <v>53</v>
      </c>
      <c r="W79" s="81">
        <v>15503</v>
      </c>
      <c r="X79" s="103">
        <f t="shared" si="29"/>
        <v>0.32645800000000003</v>
      </c>
    </row>
    <row r="80" spans="1:24" x14ac:dyDescent="0.2">
      <c r="A80" s="34">
        <v>71</v>
      </c>
      <c r="B80" s="35" t="s">
        <v>143</v>
      </c>
      <c r="C80" s="36">
        <v>719</v>
      </c>
      <c r="D80" s="37">
        <f t="shared" si="30"/>
        <v>96.3282336579</v>
      </c>
      <c r="E80" s="38">
        <v>69260</v>
      </c>
      <c r="F80" s="39">
        <f t="shared" si="26"/>
        <v>1.4584600000000001</v>
      </c>
      <c r="G80" s="38">
        <v>8460568.1600000001</v>
      </c>
      <c r="H80" s="38">
        <v>27418418.3551904</v>
      </c>
      <c r="I80" s="38">
        <v>50</v>
      </c>
      <c r="J80" s="34">
        <v>71</v>
      </c>
      <c r="K80" s="35" t="s">
        <v>143</v>
      </c>
      <c r="L80" s="51">
        <f t="shared" si="22"/>
        <v>1.227088</v>
      </c>
      <c r="M80" s="51">
        <f t="shared" si="23"/>
        <v>0.79353099999999999</v>
      </c>
      <c r="N80" s="51">
        <f t="shared" si="24"/>
        <v>1.4313279999999999</v>
      </c>
      <c r="O80" s="51">
        <f t="shared" si="27"/>
        <v>24.810075000000001</v>
      </c>
      <c r="P80" s="51">
        <f t="shared" si="25"/>
        <v>0.57843599999999995</v>
      </c>
      <c r="Q80" s="39">
        <f t="shared" si="31"/>
        <v>28.840458000000002</v>
      </c>
      <c r="R80" s="41">
        <f t="shared" si="28"/>
        <v>0.99449900000000002</v>
      </c>
      <c r="S80" s="2"/>
      <c r="T80" s="2"/>
      <c r="U80" s="79">
        <v>71</v>
      </c>
      <c r="V80" s="80" t="s">
        <v>143</v>
      </c>
      <c r="W80" s="81">
        <v>69260</v>
      </c>
      <c r="X80" s="103">
        <f t="shared" si="29"/>
        <v>1.4584600000000001</v>
      </c>
    </row>
    <row r="81" spans="1:24" x14ac:dyDescent="0.2">
      <c r="A81" s="34">
        <v>72</v>
      </c>
      <c r="B81" s="35" t="s">
        <v>132</v>
      </c>
      <c r="C81" s="36">
        <v>235</v>
      </c>
      <c r="D81" s="37">
        <f t="shared" si="30"/>
        <v>59.408510638300001</v>
      </c>
      <c r="E81" s="38">
        <v>13961</v>
      </c>
      <c r="F81" s="39">
        <f t="shared" si="26"/>
        <v>0.293987</v>
      </c>
      <c r="G81" s="38">
        <v>1318477.33</v>
      </c>
      <c r="H81" s="38">
        <v>10420472.0841024</v>
      </c>
      <c r="I81" s="38">
        <v>31</v>
      </c>
      <c r="J81" s="34">
        <v>72</v>
      </c>
      <c r="K81" s="35" t="s">
        <v>132</v>
      </c>
      <c r="L81" s="51">
        <f t="shared" ref="L81:L112" si="32">ROUND(C81/$C$9%,6)</f>
        <v>0.401065</v>
      </c>
      <c r="M81" s="51">
        <f t="shared" ref="M81:M112" si="33">ROUND(D81/$D$9%,6)</f>
        <v>0.48939500000000002</v>
      </c>
      <c r="N81" s="51">
        <f t="shared" ref="N81:N112" si="34">ROUND(G81/$G$9%,6)</f>
        <v>0.223055</v>
      </c>
      <c r="O81" s="51">
        <f t="shared" si="27"/>
        <v>9.4291499999999999</v>
      </c>
      <c r="P81" s="51">
        <f t="shared" ref="P81:P112" si="35">ROUND(I81/$I$9%,6)</f>
        <v>0.35863</v>
      </c>
      <c r="Q81" s="39">
        <f t="shared" si="31"/>
        <v>10.901294999999999</v>
      </c>
      <c r="R81" s="41">
        <f t="shared" si="28"/>
        <v>0.37590699999999999</v>
      </c>
      <c r="S81" s="2"/>
      <c r="T81" s="2"/>
      <c r="U81" s="79">
        <v>72</v>
      </c>
      <c r="V81" s="80" t="s">
        <v>132</v>
      </c>
      <c r="W81" s="81">
        <v>13961</v>
      </c>
      <c r="X81" s="103">
        <f t="shared" si="29"/>
        <v>0.293987</v>
      </c>
    </row>
    <row r="82" spans="1:24" x14ac:dyDescent="0.2">
      <c r="A82" s="34">
        <v>73</v>
      </c>
      <c r="B82" s="35" t="s">
        <v>85</v>
      </c>
      <c r="C82" s="36">
        <v>213</v>
      </c>
      <c r="D82" s="37">
        <f t="shared" si="30"/>
        <v>127.5868544601</v>
      </c>
      <c r="E82" s="38">
        <v>27176</v>
      </c>
      <c r="F82" s="39">
        <f t="shared" si="26"/>
        <v>0.57226500000000002</v>
      </c>
      <c r="G82" s="38">
        <v>2449511.69</v>
      </c>
      <c r="H82" s="38">
        <v>14886912.5191558</v>
      </c>
      <c r="I82" s="38">
        <v>16</v>
      </c>
      <c r="J82" s="34">
        <v>73</v>
      </c>
      <c r="K82" s="35" t="s">
        <v>85</v>
      </c>
      <c r="L82" s="51">
        <f t="shared" si="32"/>
        <v>0.36351800000000001</v>
      </c>
      <c r="M82" s="51">
        <f t="shared" si="33"/>
        <v>1.0510330000000001</v>
      </c>
      <c r="N82" s="51">
        <f t="shared" si="34"/>
        <v>0.41439900000000002</v>
      </c>
      <c r="O82" s="51">
        <f t="shared" si="27"/>
        <v>13.470699999999999</v>
      </c>
      <c r="P82" s="51">
        <f t="shared" si="35"/>
        <v>0.18509900000000001</v>
      </c>
      <c r="Q82" s="39">
        <f t="shared" si="31"/>
        <v>15.484748999999999</v>
      </c>
      <c r="R82" s="41">
        <f t="shared" si="28"/>
        <v>0.53395700000000001</v>
      </c>
      <c r="S82" s="2"/>
      <c r="T82" s="2"/>
      <c r="U82" s="79">
        <v>73</v>
      </c>
      <c r="V82" s="80" t="s">
        <v>85</v>
      </c>
      <c r="W82" s="81">
        <v>27176</v>
      </c>
      <c r="X82" s="103">
        <f t="shared" si="29"/>
        <v>0.57226500000000002</v>
      </c>
    </row>
    <row r="83" spans="1:24" x14ac:dyDescent="0.2">
      <c r="A83" s="34">
        <v>74</v>
      </c>
      <c r="B83" s="38" t="s">
        <v>133</v>
      </c>
      <c r="C83" s="36">
        <v>131</v>
      </c>
      <c r="D83" s="37">
        <f t="shared" si="30"/>
        <v>80.557251908400005</v>
      </c>
      <c r="E83" s="38">
        <v>10553</v>
      </c>
      <c r="F83" s="39">
        <f t="shared" si="26"/>
        <v>0.222222</v>
      </c>
      <c r="G83" s="38">
        <v>1045969.54</v>
      </c>
      <c r="H83" s="38">
        <v>8170163.9737690799</v>
      </c>
      <c r="I83" s="38">
        <v>12</v>
      </c>
      <c r="J83" s="34">
        <v>74</v>
      </c>
      <c r="K83" s="38" t="s">
        <v>133</v>
      </c>
      <c r="L83" s="51">
        <f t="shared" si="32"/>
        <v>0.22357199999999999</v>
      </c>
      <c r="M83" s="51">
        <f t="shared" si="33"/>
        <v>0.66361300000000001</v>
      </c>
      <c r="N83" s="51">
        <f t="shared" si="34"/>
        <v>0.176953</v>
      </c>
      <c r="O83" s="51">
        <f t="shared" si="27"/>
        <v>7.392925</v>
      </c>
      <c r="P83" s="51">
        <f t="shared" si="35"/>
        <v>0.138825</v>
      </c>
      <c r="Q83" s="39">
        <f t="shared" si="31"/>
        <v>8.5958880000000004</v>
      </c>
      <c r="R83" s="41">
        <f t="shared" si="28"/>
        <v>0.29641000000000001</v>
      </c>
      <c r="S83" s="2"/>
      <c r="T83" s="2"/>
      <c r="U83" s="79">
        <v>74</v>
      </c>
      <c r="V83" s="81" t="s">
        <v>133</v>
      </c>
      <c r="W83" s="81">
        <v>10553</v>
      </c>
      <c r="X83" s="103">
        <f t="shared" si="29"/>
        <v>0.222222</v>
      </c>
    </row>
    <row r="84" spans="1:24" x14ac:dyDescent="0.2">
      <c r="A84" s="34">
        <v>75</v>
      </c>
      <c r="B84" s="35" t="s">
        <v>146</v>
      </c>
      <c r="C84" s="36">
        <v>481</v>
      </c>
      <c r="D84" s="37">
        <f t="shared" si="30"/>
        <v>164.10602910599999</v>
      </c>
      <c r="E84" s="38">
        <v>78935</v>
      </c>
      <c r="F84" s="39">
        <f t="shared" si="26"/>
        <v>1.662193</v>
      </c>
      <c r="G84" s="38">
        <v>8979930.6400000006</v>
      </c>
      <c r="H84" s="38">
        <v>27268073.917115901</v>
      </c>
      <c r="I84" s="38">
        <v>48</v>
      </c>
      <c r="J84" s="34">
        <v>75</v>
      </c>
      <c r="K84" s="35" t="s">
        <v>146</v>
      </c>
      <c r="L84" s="51">
        <f t="shared" si="32"/>
        <v>0.82090300000000005</v>
      </c>
      <c r="M84" s="51">
        <f t="shared" si="33"/>
        <v>1.3518699999999999</v>
      </c>
      <c r="N84" s="51">
        <f t="shared" si="34"/>
        <v>1.519191</v>
      </c>
      <c r="O84" s="51">
        <f t="shared" si="27"/>
        <v>24.674025</v>
      </c>
      <c r="P84" s="51">
        <f t="shared" si="35"/>
        <v>0.55529799999999996</v>
      </c>
      <c r="Q84" s="39">
        <f t="shared" si="31"/>
        <v>28.921287</v>
      </c>
      <c r="R84" s="41">
        <f t="shared" si="28"/>
        <v>0.99728600000000001</v>
      </c>
      <c r="S84" s="2"/>
      <c r="T84" s="2"/>
      <c r="U84" s="79">
        <v>75</v>
      </c>
      <c r="V84" s="80" t="s">
        <v>146</v>
      </c>
      <c r="W84" s="81">
        <v>78935</v>
      </c>
      <c r="X84" s="103">
        <f t="shared" si="29"/>
        <v>1.662193</v>
      </c>
    </row>
    <row r="85" spans="1:24" x14ac:dyDescent="0.2">
      <c r="A85" s="34">
        <v>76</v>
      </c>
      <c r="B85" s="35" t="s">
        <v>148</v>
      </c>
      <c r="C85" s="36">
        <v>128</v>
      </c>
      <c r="D85" s="37">
        <f t="shared" si="30"/>
        <v>613.1015625</v>
      </c>
      <c r="E85" s="38">
        <v>78477</v>
      </c>
      <c r="F85" s="39">
        <f t="shared" si="26"/>
        <v>1.652549</v>
      </c>
      <c r="G85" s="38">
        <v>12196965.92</v>
      </c>
      <c r="H85" s="38">
        <v>49164962.658078901</v>
      </c>
      <c r="I85" s="38">
        <v>33</v>
      </c>
      <c r="J85" s="34">
        <v>76</v>
      </c>
      <c r="K85" s="35" t="s">
        <v>148</v>
      </c>
      <c r="L85" s="51">
        <f t="shared" si="32"/>
        <v>0.21845200000000001</v>
      </c>
      <c r="M85" s="51">
        <f t="shared" si="33"/>
        <v>5.0505990000000001</v>
      </c>
      <c r="N85" s="51">
        <f t="shared" si="34"/>
        <v>2.063437</v>
      </c>
      <c r="O85" s="51">
        <f t="shared" si="27"/>
        <v>44.487850000000002</v>
      </c>
      <c r="P85" s="51">
        <f t="shared" si="35"/>
        <v>0.381768</v>
      </c>
      <c r="Q85" s="39">
        <f t="shared" si="31"/>
        <v>52.202106000000001</v>
      </c>
      <c r="R85" s="41">
        <f t="shared" si="28"/>
        <v>1.800073</v>
      </c>
      <c r="S85" s="2"/>
      <c r="T85" s="2"/>
      <c r="U85" s="79">
        <v>76</v>
      </c>
      <c r="V85" s="80" t="s">
        <v>148</v>
      </c>
      <c r="W85" s="81">
        <v>78477</v>
      </c>
      <c r="X85" s="103">
        <f t="shared" si="29"/>
        <v>1.652549</v>
      </c>
    </row>
    <row r="86" spans="1:24" x14ac:dyDescent="0.2">
      <c r="A86" s="34">
        <v>77</v>
      </c>
      <c r="B86" s="35" t="s">
        <v>45</v>
      </c>
      <c r="C86" s="36">
        <v>468</v>
      </c>
      <c r="D86" s="37">
        <f t="shared" si="30"/>
        <v>37.771367521400002</v>
      </c>
      <c r="E86" s="38">
        <v>17677</v>
      </c>
      <c r="F86" s="39">
        <f t="shared" si="26"/>
        <v>0.37223800000000001</v>
      </c>
      <c r="G86" s="38">
        <v>3534473.55</v>
      </c>
      <c r="H86" s="38">
        <v>17269786.6112106</v>
      </c>
      <c r="I86" s="38">
        <v>78</v>
      </c>
      <c r="J86" s="34">
        <v>77</v>
      </c>
      <c r="K86" s="35" t="s">
        <v>45</v>
      </c>
      <c r="L86" s="51">
        <f t="shared" si="32"/>
        <v>0.79871700000000001</v>
      </c>
      <c r="M86" s="51">
        <f t="shared" si="33"/>
        <v>0.31115199999999998</v>
      </c>
      <c r="N86" s="51">
        <f t="shared" si="34"/>
        <v>0.59794899999999995</v>
      </c>
      <c r="O86" s="51">
        <f t="shared" si="27"/>
        <v>15.626899999999999</v>
      </c>
      <c r="P86" s="51">
        <f t="shared" si="35"/>
        <v>0.90236000000000005</v>
      </c>
      <c r="Q86" s="39">
        <f t="shared" si="31"/>
        <v>18.237078</v>
      </c>
      <c r="R86" s="41">
        <f t="shared" si="28"/>
        <v>0.62886500000000001</v>
      </c>
      <c r="S86" s="2"/>
      <c r="T86" s="2"/>
      <c r="U86" s="79">
        <v>77</v>
      </c>
      <c r="V86" s="80" t="s">
        <v>45</v>
      </c>
      <c r="W86" s="81">
        <v>17677</v>
      </c>
      <c r="X86" s="103">
        <f t="shared" si="29"/>
        <v>0.37223800000000001</v>
      </c>
    </row>
    <row r="87" spans="1:24" x14ac:dyDescent="0.2">
      <c r="A87" s="34">
        <v>78</v>
      </c>
      <c r="B87" s="35" t="s">
        <v>141</v>
      </c>
      <c r="C87" s="36">
        <v>104</v>
      </c>
      <c r="D87" s="37">
        <f t="shared" si="30"/>
        <v>123.19230769230001</v>
      </c>
      <c r="E87" s="38">
        <v>12812</v>
      </c>
      <c r="F87" s="39">
        <f t="shared" si="26"/>
        <v>0.26979199999999998</v>
      </c>
      <c r="G87" s="38">
        <v>1329354.54</v>
      </c>
      <c r="H87" s="38">
        <v>11026514.023214299</v>
      </c>
      <c r="I87" s="38">
        <v>21</v>
      </c>
      <c r="J87" s="34">
        <v>78</v>
      </c>
      <c r="K87" s="35" t="s">
        <v>141</v>
      </c>
      <c r="L87" s="51">
        <f t="shared" si="32"/>
        <v>0.17749300000000001</v>
      </c>
      <c r="M87" s="51">
        <f t="shared" si="33"/>
        <v>1.014832</v>
      </c>
      <c r="N87" s="51">
        <f t="shared" si="34"/>
        <v>0.22489500000000001</v>
      </c>
      <c r="O87" s="51">
        <f t="shared" si="27"/>
        <v>9.9775500000000008</v>
      </c>
      <c r="P87" s="51">
        <f t="shared" si="35"/>
        <v>0.24294299999999999</v>
      </c>
      <c r="Q87" s="39">
        <f t="shared" si="31"/>
        <v>11.637713000000002</v>
      </c>
      <c r="R87" s="41">
        <f t="shared" si="28"/>
        <v>0.40129999999999999</v>
      </c>
      <c r="S87" s="2"/>
      <c r="T87" s="2"/>
      <c r="U87" s="79">
        <v>78</v>
      </c>
      <c r="V87" s="80" t="s">
        <v>141</v>
      </c>
      <c r="W87" s="81">
        <v>12812</v>
      </c>
      <c r="X87" s="103">
        <f t="shared" si="29"/>
        <v>0.26979199999999998</v>
      </c>
    </row>
    <row r="88" spans="1:24" x14ac:dyDescent="0.2">
      <c r="A88" s="34">
        <v>79</v>
      </c>
      <c r="B88" s="35" t="s">
        <v>138</v>
      </c>
      <c r="C88" s="36">
        <v>488</v>
      </c>
      <c r="D88" s="37">
        <f t="shared" si="30"/>
        <v>102.2459016393</v>
      </c>
      <c r="E88" s="38">
        <v>49896</v>
      </c>
      <c r="F88" s="39">
        <f t="shared" si="26"/>
        <v>1.050697</v>
      </c>
      <c r="G88" s="38">
        <v>4543678.08</v>
      </c>
      <c r="H88" s="38">
        <v>22625941.1457371</v>
      </c>
      <c r="I88" s="38">
        <v>81</v>
      </c>
      <c r="J88" s="34">
        <v>79</v>
      </c>
      <c r="K88" s="35" t="s">
        <v>138</v>
      </c>
      <c r="L88" s="51">
        <f t="shared" si="32"/>
        <v>0.83284999999999998</v>
      </c>
      <c r="M88" s="51">
        <f t="shared" si="33"/>
        <v>0.84228000000000003</v>
      </c>
      <c r="N88" s="51">
        <f t="shared" si="34"/>
        <v>0.76868300000000001</v>
      </c>
      <c r="O88" s="51">
        <f t="shared" si="27"/>
        <v>20.473500000000001</v>
      </c>
      <c r="P88" s="51">
        <f t="shared" si="35"/>
        <v>0.93706599999999995</v>
      </c>
      <c r="Q88" s="39">
        <f t="shared" si="31"/>
        <v>23.854379000000002</v>
      </c>
      <c r="R88" s="41">
        <f t="shared" si="28"/>
        <v>0.82256499999999999</v>
      </c>
      <c r="S88" s="2"/>
      <c r="T88" s="2"/>
      <c r="U88" s="79">
        <v>79</v>
      </c>
      <c r="V88" s="80" t="s">
        <v>138</v>
      </c>
      <c r="W88" s="81">
        <v>49896</v>
      </c>
      <c r="X88" s="103">
        <f t="shared" si="29"/>
        <v>1.050697</v>
      </c>
    </row>
    <row r="89" spans="1:24" x14ac:dyDescent="0.2">
      <c r="A89" s="34">
        <v>80</v>
      </c>
      <c r="B89" s="35" t="s">
        <v>93</v>
      </c>
      <c r="C89" s="36">
        <v>250</v>
      </c>
      <c r="D89" s="37">
        <f t="shared" si="30"/>
        <v>79.331999999999994</v>
      </c>
      <c r="E89" s="38">
        <v>19833</v>
      </c>
      <c r="F89" s="39">
        <f t="shared" si="26"/>
        <v>0.41763800000000001</v>
      </c>
      <c r="G89" s="38">
        <v>1462217.22</v>
      </c>
      <c r="H89" s="38">
        <v>12268642.091541</v>
      </c>
      <c r="I89" s="38">
        <v>61</v>
      </c>
      <c r="J89" s="34">
        <v>80</v>
      </c>
      <c r="K89" s="35" t="s">
        <v>93</v>
      </c>
      <c r="L89" s="51">
        <f t="shared" si="32"/>
        <v>0.42666500000000002</v>
      </c>
      <c r="M89" s="51">
        <f t="shared" si="33"/>
        <v>0.65351999999999999</v>
      </c>
      <c r="N89" s="51">
        <f t="shared" si="34"/>
        <v>0.24737200000000001</v>
      </c>
      <c r="O89" s="51">
        <f t="shared" si="27"/>
        <v>11.101524999999999</v>
      </c>
      <c r="P89" s="51">
        <f t="shared" si="35"/>
        <v>0.70569199999999999</v>
      </c>
      <c r="Q89" s="39">
        <f t="shared" si="31"/>
        <v>13.134774</v>
      </c>
      <c r="R89" s="41">
        <f t="shared" si="28"/>
        <v>0.45292300000000002</v>
      </c>
      <c r="S89" s="2"/>
      <c r="T89" s="2"/>
      <c r="U89" s="79">
        <v>80</v>
      </c>
      <c r="V89" s="80" t="s">
        <v>93</v>
      </c>
      <c r="W89" s="81">
        <v>19833</v>
      </c>
      <c r="X89" s="103">
        <f t="shared" si="29"/>
        <v>0.41763800000000001</v>
      </c>
    </row>
    <row r="90" spans="1:24" x14ac:dyDescent="0.2">
      <c r="A90" s="34">
        <v>81</v>
      </c>
      <c r="B90" s="35" t="s">
        <v>116</v>
      </c>
      <c r="C90" s="36">
        <v>268</v>
      </c>
      <c r="D90" s="37">
        <f t="shared" si="30"/>
        <v>33.865671641799999</v>
      </c>
      <c r="E90" s="38">
        <v>9076</v>
      </c>
      <c r="F90" s="39">
        <f t="shared" si="26"/>
        <v>0.19112000000000001</v>
      </c>
      <c r="G90" s="38">
        <v>458924.62</v>
      </c>
      <c r="H90" s="38">
        <v>11890824.6732908</v>
      </c>
      <c r="I90" s="38">
        <v>76</v>
      </c>
      <c r="J90" s="34">
        <v>81</v>
      </c>
      <c r="K90" s="35" t="s">
        <v>116</v>
      </c>
      <c r="L90" s="51">
        <f t="shared" si="32"/>
        <v>0.45738499999999999</v>
      </c>
      <c r="M90" s="51">
        <f t="shared" si="33"/>
        <v>0.278978</v>
      </c>
      <c r="N90" s="51">
        <f t="shared" si="34"/>
        <v>7.7639E-2</v>
      </c>
      <c r="O90" s="51">
        <f t="shared" si="27"/>
        <v>10.759650000000001</v>
      </c>
      <c r="P90" s="51">
        <f t="shared" si="35"/>
        <v>0.87922299999999998</v>
      </c>
      <c r="Q90" s="39">
        <f t="shared" si="31"/>
        <v>12.452875000000001</v>
      </c>
      <c r="R90" s="41">
        <f t="shared" si="28"/>
        <v>0.42940899999999999</v>
      </c>
      <c r="S90" s="2"/>
      <c r="T90" s="2"/>
      <c r="U90" s="79">
        <v>81</v>
      </c>
      <c r="V90" s="80" t="s">
        <v>116</v>
      </c>
      <c r="W90" s="81">
        <v>9076</v>
      </c>
      <c r="X90" s="103">
        <f t="shared" si="29"/>
        <v>0.19112000000000001</v>
      </c>
    </row>
    <row r="91" spans="1:24" x14ac:dyDescent="0.2">
      <c r="A91" s="34">
        <v>82</v>
      </c>
      <c r="B91" s="35" t="s">
        <v>152</v>
      </c>
      <c r="C91" s="36">
        <v>787</v>
      </c>
      <c r="D91" s="37">
        <f t="shared" si="30"/>
        <v>101.06734434560001</v>
      </c>
      <c r="E91" s="38">
        <v>79540</v>
      </c>
      <c r="F91" s="39">
        <f t="shared" si="26"/>
        <v>1.674933</v>
      </c>
      <c r="G91" s="38">
        <v>7809758.7199999997</v>
      </c>
      <c r="H91" s="38">
        <v>35154744.414324202</v>
      </c>
      <c r="I91" s="38">
        <v>189</v>
      </c>
      <c r="J91" s="34">
        <v>82</v>
      </c>
      <c r="K91" s="35" t="s">
        <v>152</v>
      </c>
      <c r="L91" s="51">
        <f t="shared" si="32"/>
        <v>1.3431409999999999</v>
      </c>
      <c r="M91" s="51">
        <f t="shared" si="33"/>
        <v>0.83257099999999995</v>
      </c>
      <c r="N91" s="51">
        <f t="shared" si="34"/>
        <v>1.321226</v>
      </c>
      <c r="O91" s="51">
        <f t="shared" si="27"/>
        <v>31.810450000000003</v>
      </c>
      <c r="P91" s="51">
        <f t="shared" si="35"/>
        <v>2.1864880000000002</v>
      </c>
      <c r="Q91" s="39">
        <f t="shared" si="31"/>
        <v>37.493876</v>
      </c>
      <c r="R91" s="41">
        <f t="shared" si="28"/>
        <v>1.2928919999999999</v>
      </c>
      <c r="S91" s="2"/>
      <c r="T91" s="2"/>
      <c r="U91" s="79">
        <v>82</v>
      </c>
      <c r="V91" s="80" t="s">
        <v>152</v>
      </c>
      <c r="W91" s="81">
        <v>79540</v>
      </c>
      <c r="X91" s="103">
        <f t="shared" si="29"/>
        <v>1.674933</v>
      </c>
    </row>
    <row r="92" spans="1:24" x14ac:dyDescent="0.2">
      <c r="A92" s="34">
        <v>83</v>
      </c>
      <c r="B92" s="35" t="s">
        <v>153</v>
      </c>
      <c r="C92" s="36">
        <v>714</v>
      </c>
      <c r="D92" s="37">
        <f t="shared" si="30"/>
        <v>46.852941176500003</v>
      </c>
      <c r="E92" s="38">
        <v>33453</v>
      </c>
      <c r="F92" s="39">
        <f t="shared" si="26"/>
        <v>0.70444499999999999</v>
      </c>
      <c r="G92" s="38">
        <v>3631485.4</v>
      </c>
      <c r="H92" s="38">
        <v>22219771.1957017</v>
      </c>
      <c r="I92" s="38">
        <v>126</v>
      </c>
      <c r="J92" s="34">
        <v>83</v>
      </c>
      <c r="K92" s="35" t="s">
        <v>153</v>
      </c>
      <c r="L92" s="51">
        <f t="shared" si="32"/>
        <v>1.2185550000000001</v>
      </c>
      <c r="M92" s="51">
        <f t="shared" si="33"/>
        <v>0.38596399999999997</v>
      </c>
      <c r="N92" s="51">
        <f t="shared" si="34"/>
        <v>0.61436100000000005</v>
      </c>
      <c r="O92" s="51">
        <f t="shared" si="27"/>
        <v>20.105975000000001</v>
      </c>
      <c r="P92" s="51">
        <f t="shared" si="35"/>
        <v>1.4576579999999999</v>
      </c>
      <c r="Q92" s="39">
        <f t="shared" si="31"/>
        <v>23.782512999999998</v>
      </c>
      <c r="R92" s="41">
        <f t="shared" si="28"/>
        <v>0.82008700000000001</v>
      </c>
      <c r="S92" s="2"/>
      <c r="T92" s="2"/>
      <c r="U92" s="79">
        <v>83</v>
      </c>
      <c r="V92" s="80" t="s">
        <v>153</v>
      </c>
      <c r="W92" s="81">
        <v>33453</v>
      </c>
      <c r="X92" s="103">
        <f t="shared" si="29"/>
        <v>0.70444499999999999</v>
      </c>
    </row>
    <row r="93" spans="1:24" x14ac:dyDescent="0.2">
      <c r="A93" s="34">
        <v>84</v>
      </c>
      <c r="B93" s="35" t="s">
        <v>107</v>
      </c>
      <c r="C93" s="36">
        <v>316</v>
      </c>
      <c r="D93" s="37">
        <f t="shared" si="30"/>
        <v>100.3670886076</v>
      </c>
      <c r="E93" s="38">
        <v>31716</v>
      </c>
      <c r="F93" s="39">
        <f t="shared" si="26"/>
        <v>0.66786800000000002</v>
      </c>
      <c r="G93" s="38">
        <v>2211724.35</v>
      </c>
      <c r="H93" s="38">
        <v>13363608.9228021</v>
      </c>
      <c r="I93" s="38">
        <v>25</v>
      </c>
      <c r="J93" s="34">
        <v>84</v>
      </c>
      <c r="K93" s="35" t="s">
        <v>107</v>
      </c>
      <c r="L93" s="51">
        <f t="shared" si="32"/>
        <v>0.53930400000000001</v>
      </c>
      <c r="M93" s="51">
        <f t="shared" si="33"/>
        <v>0.82680200000000004</v>
      </c>
      <c r="N93" s="51">
        <f t="shared" si="34"/>
        <v>0.37417099999999998</v>
      </c>
      <c r="O93" s="51">
        <f t="shared" si="27"/>
        <v>12.092324999999999</v>
      </c>
      <c r="P93" s="51">
        <f t="shared" si="35"/>
        <v>0.28921799999999998</v>
      </c>
      <c r="Q93" s="39">
        <f t="shared" si="31"/>
        <v>14.12182</v>
      </c>
      <c r="R93" s="41">
        <f t="shared" si="28"/>
        <v>0.48695899999999998</v>
      </c>
      <c r="S93" s="2"/>
      <c r="T93" s="2"/>
      <c r="U93" s="79">
        <v>84</v>
      </c>
      <c r="V93" s="80" t="s">
        <v>107</v>
      </c>
      <c r="W93" s="81">
        <v>31716</v>
      </c>
      <c r="X93" s="103">
        <f t="shared" si="29"/>
        <v>0.66786800000000002</v>
      </c>
    </row>
    <row r="94" spans="1:24" x14ac:dyDescent="0.2">
      <c r="A94" s="34">
        <v>85</v>
      </c>
      <c r="B94" s="35" t="s">
        <v>124</v>
      </c>
      <c r="C94" s="36">
        <v>385</v>
      </c>
      <c r="D94" s="37">
        <f t="shared" si="30"/>
        <v>91.574025973999994</v>
      </c>
      <c r="E94" s="38">
        <v>35256</v>
      </c>
      <c r="F94" s="39">
        <f t="shared" si="26"/>
        <v>0.74241199999999996</v>
      </c>
      <c r="G94" s="38">
        <v>3854980.86</v>
      </c>
      <c r="H94" s="38">
        <v>18020485.076273099</v>
      </c>
      <c r="I94" s="38">
        <v>41</v>
      </c>
      <c r="J94" s="34">
        <v>85</v>
      </c>
      <c r="K94" s="35" t="s">
        <v>124</v>
      </c>
      <c r="L94" s="51">
        <f t="shared" si="32"/>
        <v>0.65706399999999998</v>
      </c>
      <c r="M94" s="51">
        <f t="shared" si="33"/>
        <v>0.75436700000000001</v>
      </c>
      <c r="N94" s="51">
        <f t="shared" si="34"/>
        <v>0.65217099999999995</v>
      </c>
      <c r="O94" s="51">
        <f t="shared" si="27"/>
        <v>16.306175</v>
      </c>
      <c r="P94" s="51">
        <f t="shared" si="35"/>
        <v>0.47431699999999999</v>
      </c>
      <c r="Q94" s="39">
        <f t="shared" si="31"/>
        <v>18.844093999999998</v>
      </c>
      <c r="R94" s="41">
        <f t="shared" si="28"/>
        <v>0.64979600000000004</v>
      </c>
      <c r="S94" s="2"/>
      <c r="T94" s="2"/>
      <c r="U94" s="79">
        <v>85</v>
      </c>
      <c r="V94" s="80" t="s">
        <v>124</v>
      </c>
      <c r="W94" s="81">
        <v>35256</v>
      </c>
      <c r="X94" s="103">
        <f t="shared" si="29"/>
        <v>0.74241199999999996</v>
      </c>
    </row>
    <row r="95" spans="1:24" x14ac:dyDescent="0.2">
      <c r="A95" s="34">
        <v>86</v>
      </c>
      <c r="B95" s="35" t="s">
        <v>129</v>
      </c>
      <c r="C95" s="36">
        <v>228</v>
      </c>
      <c r="D95" s="37">
        <f t="shared" si="30"/>
        <v>68.131578947400001</v>
      </c>
      <c r="E95" s="38">
        <v>15534</v>
      </c>
      <c r="F95" s="39">
        <f t="shared" ref="F95:F122" si="36">ROUND(E95/$E$9%,6)</f>
        <v>0.32711099999999999</v>
      </c>
      <c r="G95" s="38">
        <v>2186691.6</v>
      </c>
      <c r="H95" s="38">
        <v>10866248.963839199</v>
      </c>
      <c r="I95" s="38">
        <v>16</v>
      </c>
      <c r="J95" s="34">
        <v>86</v>
      </c>
      <c r="K95" s="35" t="s">
        <v>129</v>
      </c>
      <c r="L95" s="51">
        <f t="shared" si="32"/>
        <v>0.38911800000000002</v>
      </c>
      <c r="M95" s="51">
        <f t="shared" si="33"/>
        <v>0.561253</v>
      </c>
      <c r="N95" s="51">
        <f t="shared" si="34"/>
        <v>0.36993599999999999</v>
      </c>
      <c r="O95" s="51">
        <f t="shared" ref="O95:O122" si="37">ROUND(H95/$H$9%,6)*25</f>
        <v>9.8325250000000004</v>
      </c>
      <c r="P95" s="51">
        <f t="shared" si="35"/>
        <v>0.18509900000000001</v>
      </c>
      <c r="Q95" s="39">
        <f t="shared" si="31"/>
        <v>11.337930999999999</v>
      </c>
      <c r="R95" s="41">
        <f t="shared" ref="R95:R122" si="38">ROUND(Q95/$Q$9%,6)</f>
        <v>0.390963</v>
      </c>
      <c r="S95" s="2"/>
      <c r="T95" s="2"/>
      <c r="U95" s="79">
        <v>86</v>
      </c>
      <c r="V95" s="80" t="s">
        <v>129</v>
      </c>
      <c r="W95" s="81">
        <v>15534</v>
      </c>
      <c r="X95" s="103">
        <f t="shared" ref="X95:X122" si="39">ROUND(W95/$E$9%,6)</f>
        <v>0.32711099999999999</v>
      </c>
    </row>
    <row r="96" spans="1:24" x14ac:dyDescent="0.2">
      <c r="A96" s="34">
        <v>87</v>
      </c>
      <c r="B96" s="35" t="s">
        <v>154</v>
      </c>
      <c r="C96" s="36">
        <v>185</v>
      </c>
      <c r="D96" s="37">
        <f t="shared" si="30"/>
        <v>84.264864864900005</v>
      </c>
      <c r="E96" s="38">
        <v>15589</v>
      </c>
      <c r="F96" s="39">
        <f t="shared" si="36"/>
        <v>0.32826899999999998</v>
      </c>
      <c r="G96" s="38">
        <v>1460387.32</v>
      </c>
      <c r="H96" s="38">
        <v>9870908.8685916308</v>
      </c>
      <c r="I96" s="38">
        <v>21</v>
      </c>
      <c r="J96" s="34">
        <v>87</v>
      </c>
      <c r="K96" s="35" t="s">
        <v>154</v>
      </c>
      <c r="L96" s="51">
        <f t="shared" si="32"/>
        <v>0.31573200000000001</v>
      </c>
      <c r="M96" s="51">
        <f t="shared" si="33"/>
        <v>0.694156</v>
      </c>
      <c r="N96" s="51">
        <f t="shared" si="34"/>
        <v>0.247063</v>
      </c>
      <c r="O96" s="51">
        <f t="shared" si="37"/>
        <v>8.9318749999999998</v>
      </c>
      <c r="P96" s="51">
        <f t="shared" si="35"/>
        <v>0.24294299999999999</v>
      </c>
      <c r="Q96" s="39">
        <f t="shared" si="31"/>
        <v>10.431769000000001</v>
      </c>
      <c r="R96" s="41">
        <f t="shared" si="38"/>
        <v>0.35971599999999998</v>
      </c>
      <c r="S96" s="2"/>
      <c r="T96" s="2"/>
      <c r="U96" s="79">
        <v>87</v>
      </c>
      <c r="V96" s="80" t="s">
        <v>154</v>
      </c>
      <c r="W96" s="81">
        <v>15589</v>
      </c>
      <c r="X96" s="103">
        <f t="shared" si="39"/>
        <v>0.32826899999999998</v>
      </c>
    </row>
    <row r="97" spans="1:24" x14ac:dyDescent="0.2">
      <c r="A97" s="34">
        <v>88</v>
      </c>
      <c r="B97" s="35" t="s">
        <v>99</v>
      </c>
      <c r="C97" s="36">
        <v>256</v>
      </c>
      <c r="D97" s="37">
        <f t="shared" si="30"/>
        <v>447.31640625</v>
      </c>
      <c r="E97" s="38">
        <v>114513</v>
      </c>
      <c r="F97" s="39">
        <f t="shared" si="36"/>
        <v>2.4113859999999998</v>
      </c>
      <c r="G97" s="38">
        <v>9821469.3499999996</v>
      </c>
      <c r="H97" s="38">
        <v>38451980.974050798</v>
      </c>
      <c r="I97" s="38">
        <v>106</v>
      </c>
      <c r="J97" s="34">
        <v>88</v>
      </c>
      <c r="K97" s="35" t="s">
        <v>99</v>
      </c>
      <c r="L97" s="51">
        <f t="shared" si="32"/>
        <v>0.43690499999999999</v>
      </c>
      <c r="M97" s="51">
        <f t="shared" si="33"/>
        <v>3.6848960000000002</v>
      </c>
      <c r="N97" s="51">
        <f t="shared" si="34"/>
        <v>1.6615599999999999</v>
      </c>
      <c r="O97" s="51">
        <f t="shared" si="37"/>
        <v>34.794000000000004</v>
      </c>
      <c r="P97" s="51">
        <f t="shared" si="35"/>
        <v>1.2262839999999999</v>
      </c>
      <c r="Q97" s="39">
        <f t="shared" si="31"/>
        <v>41.803645000000003</v>
      </c>
      <c r="R97" s="41">
        <f t="shared" si="38"/>
        <v>1.441505</v>
      </c>
      <c r="S97" s="2"/>
      <c r="T97" s="2"/>
      <c r="U97" s="79">
        <v>88</v>
      </c>
      <c r="V97" s="80" t="s">
        <v>99</v>
      </c>
      <c r="W97" s="81">
        <v>114513</v>
      </c>
      <c r="X97" s="103">
        <f t="shared" si="39"/>
        <v>2.4113859999999998</v>
      </c>
    </row>
    <row r="98" spans="1:24" x14ac:dyDescent="0.2">
      <c r="A98" s="34">
        <v>89</v>
      </c>
      <c r="B98" s="35" t="s">
        <v>55</v>
      </c>
      <c r="C98" s="36">
        <v>798</v>
      </c>
      <c r="D98" s="37">
        <f t="shared" si="30"/>
        <v>30.167919799500002</v>
      </c>
      <c r="E98" s="38">
        <v>24074</v>
      </c>
      <c r="F98" s="39">
        <f t="shared" si="36"/>
        <v>0.50694399999999995</v>
      </c>
      <c r="G98" s="38">
        <v>2480588.79</v>
      </c>
      <c r="H98" s="38">
        <v>24857554.6343209</v>
      </c>
      <c r="I98" s="38">
        <v>66</v>
      </c>
      <c r="J98" s="34">
        <v>89</v>
      </c>
      <c r="K98" s="35" t="s">
        <v>55</v>
      </c>
      <c r="L98" s="51">
        <f t="shared" si="32"/>
        <v>1.3619140000000001</v>
      </c>
      <c r="M98" s="51">
        <f t="shared" si="33"/>
        <v>0.24851699999999999</v>
      </c>
      <c r="N98" s="51">
        <f t="shared" si="34"/>
        <v>0.419657</v>
      </c>
      <c r="O98" s="51">
        <f t="shared" si="37"/>
        <v>22.492825</v>
      </c>
      <c r="P98" s="51">
        <f t="shared" si="35"/>
        <v>0.76353499999999996</v>
      </c>
      <c r="Q98" s="39">
        <f t="shared" si="31"/>
        <v>25.286448</v>
      </c>
      <c r="R98" s="41">
        <f t="shared" si="38"/>
        <v>0.871946</v>
      </c>
      <c r="S98" s="2"/>
      <c r="T98" s="2"/>
      <c r="U98" s="79">
        <v>89</v>
      </c>
      <c r="V98" s="80" t="s">
        <v>55</v>
      </c>
      <c r="W98" s="81">
        <v>24074</v>
      </c>
      <c r="X98" s="103">
        <f t="shared" si="39"/>
        <v>0.50694399999999995</v>
      </c>
    </row>
    <row r="99" spans="1:24" x14ac:dyDescent="0.2">
      <c r="A99" s="34">
        <v>90</v>
      </c>
      <c r="B99" s="35" t="s">
        <v>147</v>
      </c>
      <c r="C99" s="36">
        <v>190</v>
      </c>
      <c r="D99" s="37">
        <f t="shared" si="30"/>
        <v>85.921052631600006</v>
      </c>
      <c r="E99" s="38">
        <v>16325</v>
      </c>
      <c r="F99" s="39">
        <f t="shared" si="36"/>
        <v>0.34376800000000002</v>
      </c>
      <c r="G99" s="38">
        <v>1560111.57</v>
      </c>
      <c r="H99" s="38">
        <v>9245964.4626204707</v>
      </c>
      <c r="I99" s="38">
        <v>14</v>
      </c>
      <c r="J99" s="34">
        <v>90</v>
      </c>
      <c r="K99" s="35" t="s">
        <v>147</v>
      </c>
      <c r="L99" s="51">
        <f t="shared" si="32"/>
        <v>0.32426500000000003</v>
      </c>
      <c r="M99" s="51">
        <f t="shared" si="33"/>
        <v>0.70779899999999996</v>
      </c>
      <c r="N99" s="51">
        <f t="shared" si="34"/>
        <v>0.263934</v>
      </c>
      <c r="O99" s="51">
        <f t="shared" si="37"/>
        <v>8.3663749999999997</v>
      </c>
      <c r="P99" s="51">
        <f t="shared" si="35"/>
        <v>0.16196199999999999</v>
      </c>
      <c r="Q99" s="39">
        <f t="shared" si="31"/>
        <v>9.8243349999999996</v>
      </c>
      <c r="R99" s="41">
        <f t="shared" si="38"/>
        <v>0.33877000000000002</v>
      </c>
      <c r="S99" s="2"/>
      <c r="T99" s="2"/>
      <c r="U99" s="79">
        <v>90</v>
      </c>
      <c r="V99" s="80" t="s">
        <v>147</v>
      </c>
      <c r="W99" s="81">
        <v>16325</v>
      </c>
      <c r="X99" s="103">
        <f t="shared" si="39"/>
        <v>0.34376800000000002</v>
      </c>
    </row>
    <row r="100" spans="1:24" x14ac:dyDescent="0.2">
      <c r="A100" s="34">
        <v>91</v>
      </c>
      <c r="B100" s="35" t="s">
        <v>151</v>
      </c>
      <c r="C100" s="36">
        <v>173</v>
      </c>
      <c r="D100" s="37">
        <f t="shared" si="30"/>
        <v>86.323699422000004</v>
      </c>
      <c r="E100" s="38">
        <v>14934</v>
      </c>
      <c r="F100" s="39">
        <f t="shared" si="36"/>
        <v>0.31447599999999998</v>
      </c>
      <c r="G100" s="38">
        <v>1826020.05</v>
      </c>
      <c r="H100" s="38">
        <v>10460899.417923</v>
      </c>
      <c r="I100" s="38">
        <v>23</v>
      </c>
      <c r="J100" s="34">
        <v>91</v>
      </c>
      <c r="K100" s="35" t="s">
        <v>151</v>
      </c>
      <c r="L100" s="51">
        <f t="shared" si="32"/>
        <v>0.29525200000000001</v>
      </c>
      <c r="M100" s="51">
        <f t="shared" si="33"/>
        <v>0.71111599999999997</v>
      </c>
      <c r="N100" s="51">
        <f t="shared" si="34"/>
        <v>0.308919</v>
      </c>
      <c r="O100" s="51">
        <f t="shared" si="37"/>
        <v>9.4657499999999999</v>
      </c>
      <c r="P100" s="51">
        <f t="shared" si="35"/>
        <v>0.26608100000000001</v>
      </c>
      <c r="Q100" s="39">
        <f t="shared" si="31"/>
        <v>11.047117999999999</v>
      </c>
      <c r="R100" s="41">
        <f t="shared" si="38"/>
        <v>0.38093500000000002</v>
      </c>
      <c r="S100" s="2"/>
      <c r="T100" s="2"/>
      <c r="U100" s="79">
        <v>91</v>
      </c>
      <c r="V100" s="80" t="s">
        <v>151</v>
      </c>
      <c r="W100" s="81">
        <v>14934</v>
      </c>
      <c r="X100" s="103">
        <f t="shared" si="39"/>
        <v>0.31447599999999998</v>
      </c>
    </row>
    <row r="101" spans="1:24" x14ac:dyDescent="0.2">
      <c r="A101" s="34">
        <v>92</v>
      </c>
      <c r="B101" s="35" t="s">
        <v>56</v>
      </c>
      <c r="C101" s="36">
        <v>1493</v>
      </c>
      <c r="D101" s="37">
        <f t="shared" si="30"/>
        <v>8.5974547890000004</v>
      </c>
      <c r="E101" s="38">
        <v>12836</v>
      </c>
      <c r="F101" s="39">
        <f t="shared" si="36"/>
        <v>0.27029700000000001</v>
      </c>
      <c r="G101" s="38">
        <v>534518.98</v>
      </c>
      <c r="H101" s="38">
        <v>40780325.316897802</v>
      </c>
      <c r="I101" s="38">
        <v>172</v>
      </c>
      <c r="J101" s="34">
        <v>92</v>
      </c>
      <c r="K101" s="35" t="s">
        <v>56</v>
      </c>
      <c r="L101" s="51">
        <f t="shared" si="32"/>
        <v>2.5480420000000001</v>
      </c>
      <c r="M101" s="51">
        <f t="shared" si="33"/>
        <v>7.0823999999999998E-2</v>
      </c>
      <c r="N101" s="51">
        <f t="shared" si="34"/>
        <v>9.0427999999999994E-2</v>
      </c>
      <c r="O101" s="51">
        <f t="shared" si="37"/>
        <v>36.900849999999998</v>
      </c>
      <c r="P101" s="51">
        <f t="shared" si="35"/>
        <v>1.9898199999999999</v>
      </c>
      <c r="Q101" s="39">
        <f t="shared" si="31"/>
        <v>41.599964</v>
      </c>
      <c r="R101" s="41">
        <f t="shared" si="38"/>
        <v>1.434482</v>
      </c>
      <c r="S101" s="2"/>
      <c r="T101" s="2"/>
      <c r="U101" s="79">
        <v>92</v>
      </c>
      <c r="V101" s="80" t="s">
        <v>56</v>
      </c>
      <c r="W101" s="81">
        <v>12836</v>
      </c>
      <c r="X101" s="103">
        <f t="shared" si="39"/>
        <v>0.27029700000000001</v>
      </c>
    </row>
    <row r="102" spans="1:24" x14ac:dyDescent="0.2">
      <c r="A102" s="34">
        <v>93</v>
      </c>
      <c r="B102" s="35" t="s">
        <v>155</v>
      </c>
      <c r="C102" s="36">
        <v>197</v>
      </c>
      <c r="D102" s="37">
        <f t="shared" si="30"/>
        <v>144.9543147208</v>
      </c>
      <c r="E102" s="38">
        <v>28556</v>
      </c>
      <c r="F102" s="39">
        <f t="shared" si="36"/>
        <v>0.601325</v>
      </c>
      <c r="G102" s="38">
        <v>2406181.67</v>
      </c>
      <c r="H102" s="38">
        <v>17009357.883791499</v>
      </c>
      <c r="I102" s="38">
        <v>65</v>
      </c>
      <c r="J102" s="34">
        <v>93</v>
      </c>
      <c r="K102" s="35" t="s">
        <v>155</v>
      </c>
      <c r="L102" s="51">
        <f t="shared" si="32"/>
        <v>0.33621200000000001</v>
      </c>
      <c r="M102" s="51">
        <f t="shared" si="33"/>
        <v>1.194102</v>
      </c>
      <c r="N102" s="51">
        <f t="shared" si="34"/>
        <v>0.40706900000000001</v>
      </c>
      <c r="O102" s="51">
        <f t="shared" si="37"/>
        <v>15.391250000000001</v>
      </c>
      <c r="P102" s="51">
        <f t="shared" si="35"/>
        <v>0.75196700000000005</v>
      </c>
      <c r="Q102" s="39">
        <f t="shared" si="31"/>
        <v>18.0806</v>
      </c>
      <c r="R102" s="41">
        <f t="shared" si="38"/>
        <v>0.62346900000000005</v>
      </c>
      <c r="S102" s="2"/>
      <c r="T102" s="2"/>
      <c r="U102" s="79">
        <v>93</v>
      </c>
      <c r="V102" s="80" t="s">
        <v>155</v>
      </c>
      <c r="W102" s="81">
        <v>28556</v>
      </c>
      <c r="X102" s="103">
        <f t="shared" si="39"/>
        <v>0.601325</v>
      </c>
    </row>
    <row r="103" spans="1:24" x14ac:dyDescent="0.2">
      <c r="A103" s="34">
        <v>94</v>
      </c>
      <c r="B103" s="35" t="s">
        <v>76</v>
      </c>
      <c r="C103" s="36">
        <v>204</v>
      </c>
      <c r="D103" s="37">
        <f t="shared" si="30"/>
        <v>31.470588235299999</v>
      </c>
      <c r="E103" s="38">
        <v>6420</v>
      </c>
      <c r="F103" s="39">
        <f t="shared" si="36"/>
        <v>0.13519100000000001</v>
      </c>
      <c r="G103" s="38">
        <v>1051539.72</v>
      </c>
      <c r="H103" s="38">
        <v>8013773.5339636002</v>
      </c>
      <c r="I103" s="38">
        <v>24</v>
      </c>
      <c r="J103" s="34">
        <v>94</v>
      </c>
      <c r="K103" s="35" t="s">
        <v>76</v>
      </c>
      <c r="L103" s="51">
        <f t="shared" si="32"/>
        <v>0.348159</v>
      </c>
      <c r="M103" s="51">
        <f t="shared" si="33"/>
        <v>0.25924799999999998</v>
      </c>
      <c r="N103" s="51">
        <f t="shared" si="34"/>
        <v>0.177896</v>
      </c>
      <c r="O103" s="51">
        <f t="shared" si="37"/>
        <v>7.2514250000000002</v>
      </c>
      <c r="P103" s="51">
        <f t="shared" si="35"/>
        <v>0.27764899999999998</v>
      </c>
      <c r="Q103" s="39">
        <f t="shared" si="31"/>
        <v>8.3143770000000004</v>
      </c>
      <c r="R103" s="41">
        <f t="shared" si="38"/>
        <v>0.28670299999999999</v>
      </c>
      <c r="S103" s="2"/>
      <c r="T103" s="2"/>
      <c r="U103" s="79">
        <v>94</v>
      </c>
      <c r="V103" s="80" t="s">
        <v>76</v>
      </c>
      <c r="W103" s="81">
        <v>6420</v>
      </c>
      <c r="X103" s="103">
        <f t="shared" si="39"/>
        <v>0.13519100000000001</v>
      </c>
    </row>
    <row r="104" spans="1:24" x14ac:dyDescent="0.2">
      <c r="A104" s="34">
        <v>95</v>
      </c>
      <c r="B104" s="35" t="s">
        <v>100</v>
      </c>
      <c r="C104" s="36">
        <v>506</v>
      </c>
      <c r="D104" s="37">
        <f t="shared" si="30"/>
        <v>24.357707509899999</v>
      </c>
      <c r="E104" s="38">
        <v>12325</v>
      </c>
      <c r="F104" s="39">
        <f t="shared" si="36"/>
        <v>0.25953700000000002</v>
      </c>
      <c r="G104" s="38">
        <v>1864350.04</v>
      </c>
      <c r="H104" s="38">
        <v>13853042.0037085</v>
      </c>
      <c r="I104" s="38">
        <v>53</v>
      </c>
      <c r="J104" s="34">
        <v>95</v>
      </c>
      <c r="K104" s="35" t="s">
        <v>100</v>
      </c>
      <c r="L104" s="51">
        <f t="shared" si="32"/>
        <v>0.86356999999999995</v>
      </c>
      <c r="M104" s="51">
        <f t="shared" si="33"/>
        <v>0.200654</v>
      </c>
      <c r="N104" s="51">
        <f t="shared" si="34"/>
        <v>0.31540400000000002</v>
      </c>
      <c r="O104" s="51">
        <f t="shared" si="37"/>
        <v>12.5352</v>
      </c>
      <c r="P104" s="51">
        <f t="shared" si="35"/>
        <v>0.61314199999999996</v>
      </c>
      <c r="Q104" s="39">
        <f t="shared" si="31"/>
        <v>14.52797</v>
      </c>
      <c r="R104" s="41">
        <f t="shared" si="38"/>
        <v>0.50096399999999996</v>
      </c>
      <c r="S104" s="2"/>
      <c r="T104" s="2"/>
      <c r="U104" s="79">
        <v>95</v>
      </c>
      <c r="V104" s="80" t="s">
        <v>100</v>
      </c>
      <c r="W104" s="81">
        <v>12325</v>
      </c>
      <c r="X104" s="103">
        <f t="shared" si="39"/>
        <v>0.25953700000000002</v>
      </c>
    </row>
    <row r="105" spans="1:24" x14ac:dyDescent="0.2">
      <c r="A105" s="34">
        <v>96</v>
      </c>
      <c r="B105" s="35" t="s">
        <v>78</v>
      </c>
      <c r="C105" s="36">
        <v>2063</v>
      </c>
      <c r="D105" s="37">
        <f t="shared" si="30"/>
        <v>2.8943286476000001</v>
      </c>
      <c r="E105" s="38">
        <v>5971</v>
      </c>
      <c r="F105" s="39">
        <f t="shared" si="36"/>
        <v>0.12573599999999999</v>
      </c>
      <c r="G105" s="38">
        <v>766806.93</v>
      </c>
      <c r="H105" s="38">
        <v>35649761.655931599</v>
      </c>
      <c r="I105" s="38">
        <v>141</v>
      </c>
      <c r="J105" s="34">
        <v>96</v>
      </c>
      <c r="K105" s="35" t="s">
        <v>78</v>
      </c>
      <c r="L105" s="51">
        <f t="shared" si="32"/>
        <v>3.5208379999999999</v>
      </c>
      <c r="M105" s="51">
        <f t="shared" si="33"/>
        <v>2.3843E-2</v>
      </c>
      <c r="N105" s="51">
        <f t="shared" si="34"/>
        <v>0.12972600000000001</v>
      </c>
      <c r="O105" s="51">
        <f t="shared" si="37"/>
        <v>32.258375000000001</v>
      </c>
      <c r="P105" s="51">
        <f t="shared" si="35"/>
        <v>1.631189</v>
      </c>
      <c r="Q105" s="39">
        <f t="shared" si="31"/>
        <v>37.563971000000002</v>
      </c>
      <c r="R105" s="41">
        <f t="shared" si="38"/>
        <v>1.295309</v>
      </c>
      <c r="S105" s="2"/>
      <c r="T105" s="2"/>
      <c r="U105" s="79">
        <v>96</v>
      </c>
      <c r="V105" s="80" t="s">
        <v>78</v>
      </c>
      <c r="W105" s="81">
        <v>5971</v>
      </c>
      <c r="X105" s="103">
        <f t="shared" si="39"/>
        <v>0.12573599999999999</v>
      </c>
    </row>
    <row r="106" spans="1:24" x14ac:dyDescent="0.2">
      <c r="A106" s="34">
        <v>97</v>
      </c>
      <c r="B106" s="35" t="s">
        <v>130</v>
      </c>
      <c r="C106" s="36">
        <v>1546</v>
      </c>
      <c r="D106" s="37">
        <f t="shared" ref="D106:D122" si="40">ROUND(E106/C106,10)</f>
        <v>18.794307891300001</v>
      </c>
      <c r="E106" s="38">
        <v>29056</v>
      </c>
      <c r="F106" s="39">
        <f t="shared" si="36"/>
        <v>0.61185400000000001</v>
      </c>
      <c r="G106" s="38">
        <v>3000036.82</v>
      </c>
      <c r="H106" s="38">
        <v>44920954.013768397</v>
      </c>
      <c r="I106" s="38">
        <v>282</v>
      </c>
      <c r="J106" s="34">
        <v>97</v>
      </c>
      <c r="K106" s="35" t="s">
        <v>130</v>
      </c>
      <c r="L106" s="51">
        <f t="shared" si="32"/>
        <v>2.6384949999999998</v>
      </c>
      <c r="M106" s="51">
        <f t="shared" si="33"/>
        <v>0.15482299999999999</v>
      </c>
      <c r="N106" s="51">
        <f t="shared" si="34"/>
        <v>0.50753499999999996</v>
      </c>
      <c r="O106" s="51">
        <f t="shared" si="37"/>
        <v>40.647575000000003</v>
      </c>
      <c r="P106" s="51">
        <f t="shared" si="35"/>
        <v>3.2623790000000001</v>
      </c>
      <c r="Q106" s="39">
        <f t="shared" ref="Q106:Q122" si="41">L106+M106+N106+O106+P106</f>
        <v>47.210807000000003</v>
      </c>
      <c r="R106" s="41">
        <f t="shared" si="38"/>
        <v>1.6279589999999999</v>
      </c>
      <c r="S106" s="2"/>
      <c r="T106" s="2"/>
      <c r="U106" s="79">
        <v>97</v>
      </c>
      <c r="V106" s="80" t="s">
        <v>130</v>
      </c>
      <c r="W106" s="81">
        <v>29056</v>
      </c>
      <c r="X106" s="103">
        <f t="shared" si="39"/>
        <v>0.61185400000000001</v>
      </c>
    </row>
    <row r="107" spans="1:24" x14ac:dyDescent="0.2">
      <c r="A107" s="34">
        <v>98</v>
      </c>
      <c r="B107" s="35" t="s">
        <v>128</v>
      </c>
      <c r="C107" s="36">
        <v>243</v>
      </c>
      <c r="D107" s="37">
        <f t="shared" si="40"/>
        <v>105.9958847737</v>
      </c>
      <c r="E107" s="38">
        <v>25757</v>
      </c>
      <c r="F107" s="39">
        <f t="shared" si="36"/>
        <v>0.54238399999999998</v>
      </c>
      <c r="G107" s="38">
        <v>2318531.2400000002</v>
      </c>
      <c r="H107" s="38">
        <v>17421023.549745701</v>
      </c>
      <c r="I107" s="38">
        <v>81</v>
      </c>
      <c r="J107" s="34">
        <v>98</v>
      </c>
      <c r="K107" s="35" t="s">
        <v>128</v>
      </c>
      <c r="L107" s="51">
        <f t="shared" si="32"/>
        <v>0.41471799999999998</v>
      </c>
      <c r="M107" s="51">
        <f t="shared" si="33"/>
        <v>0.87317100000000003</v>
      </c>
      <c r="N107" s="51">
        <f t="shared" si="34"/>
        <v>0.39224100000000001</v>
      </c>
      <c r="O107" s="51">
        <f t="shared" si="37"/>
        <v>15.763750000000002</v>
      </c>
      <c r="P107" s="51">
        <f t="shared" si="35"/>
        <v>0.93706599999999995</v>
      </c>
      <c r="Q107" s="39">
        <f t="shared" si="41"/>
        <v>18.380946000000002</v>
      </c>
      <c r="R107" s="41">
        <f t="shared" si="38"/>
        <v>0.633826</v>
      </c>
      <c r="S107" s="2"/>
      <c r="T107" s="2"/>
      <c r="U107" s="79">
        <v>98</v>
      </c>
      <c r="V107" s="80" t="s">
        <v>128</v>
      </c>
      <c r="W107" s="81">
        <v>25757</v>
      </c>
      <c r="X107" s="103">
        <f t="shared" si="39"/>
        <v>0.54238399999999998</v>
      </c>
    </row>
    <row r="108" spans="1:24" x14ac:dyDescent="0.2">
      <c r="A108" s="34">
        <v>99</v>
      </c>
      <c r="B108" s="35" t="s">
        <v>139</v>
      </c>
      <c r="C108" s="36">
        <v>1018</v>
      </c>
      <c r="D108" s="37">
        <f t="shared" si="40"/>
        <v>14.075638506900001</v>
      </c>
      <c r="E108" s="38">
        <v>14329</v>
      </c>
      <c r="F108" s="39">
        <f t="shared" si="36"/>
        <v>0.301736</v>
      </c>
      <c r="G108" s="38">
        <v>1137171.3899999999</v>
      </c>
      <c r="H108" s="38">
        <v>27794525.050342198</v>
      </c>
      <c r="I108" s="38">
        <v>168</v>
      </c>
      <c r="J108" s="34">
        <v>99</v>
      </c>
      <c r="K108" s="35" t="s">
        <v>139</v>
      </c>
      <c r="L108" s="51">
        <f t="shared" si="32"/>
        <v>1.737379</v>
      </c>
      <c r="M108" s="51">
        <f t="shared" si="33"/>
        <v>0.115952</v>
      </c>
      <c r="N108" s="51">
        <f t="shared" si="34"/>
        <v>0.192382</v>
      </c>
      <c r="O108" s="51">
        <f t="shared" si="37"/>
        <v>25.150400000000001</v>
      </c>
      <c r="P108" s="51">
        <f t="shared" si="35"/>
        <v>1.9435450000000001</v>
      </c>
      <c r="Q108" s="39">
        <f t="shared" si="41"/>
        <v>29.139658000000001</v>
      </c>
      <c r="R108" s="41">
        <f t="shared" si="38"/>
        <v>1.0048159999999999</v>
      </c>
      <c r="S108" s="2"/>
      <c r="T108" s="2"/>
      <c r="U108" s="79">
        <v>99</v>
      </c>
      <c r="V108" s="80" t="s">
        <v>139</v>
      </c>
      <c r="W108" s="81">
        <v>14329</v>
      </c>
      <c r="X108" s="103">
        <f t="shared" si="39"/>
        <v>0.301736</v>
      </c>
    </row>
    <row r="109" spans="1:24" x14ac:dyDescent="0.2">
      <c r="A109" s="34">
        <v>100</v>
      </c>
      <c r="B109" s="35" t="s">
        <v>125</v>
      </c>
      <c r="C109" s="36">
        <v>184</v>
      </c>
      <c r="D109" s="37">
        <f t="shared" si="40"/>
        <v>81.038043478299997</v>
      </c>
      <c r="E109" s="38">
        <v>14911</v>
      </c>
      <c r="F109" s="39">
        <f t="shared" si="36"/>
        <v>0.31399199999999999</v>
      </c>
      <c r="G109" s="38">
        <v>1408864.96</v>
      </c>
      <c r="H109" s="38">
        <v>11197094.1474296</v>
      </c>
      <c r="I109" s="38">
        <v>34</v>
      </c>
      <c r="J109" s="34">
        <v>100</v>
      </c>
      <c r="K109" s="35" t="s">
        <v>125</v>
      </c>
      <c r="L109" s="51">
        <f t="shared" si="32"/>
        <v>0.314025</v>
      </c>
      <c r="M109" s="51">
        <f t="shared" si="33"/>
        <v>0.667574</v>
      </c>
      <c r="N109" s="51">
        <f t="shared" si="34"/>
        <v>0.238347</v>
      </c>
      <c r="O109" s="51">
        <f t="shared" si="37"/>
        <v>10.1319</v>
      </c>
      <c r="P109" s="51">
        <f t="shared" si="35"/>
        <v>0.39333600000000002</v>
      </c>
      <c r="Q109" s="39">
        <f t="shared" si="41"/>
        <v>11.745182</v>
      </c>
      <c r="R109" s="41">
        <f t="shared" si="38"/>
        <v>0.40500599999999998</v>
      </c>
      <c r="S109" s="2"/>
      <c r="T109" s="2"/>
      <c r="U109" s="79">
        <v>100</v>
      </c>
      <c r="V109" s="80" t="s">
        <v>125</v>
      </c>
      <c r="W109" s="81">
        <v>14911</v>
      </c>
      <c r="X109" s="103">
        <f t="shared" si="39"/>
        <v>0.31399199999999999</v>
      </c>
    </row>
    <row r="110" spans="1:24" x14ac:dyDescent="0.2">
      <c r="A110" s="34">
        <v>101</v>
      </c>
      <c r="B110" s="35" t="s">
        <v>66</v>
      </c>
      <c r="C110" s="36">
        <v>941</v>
      </c>
      <c r="D110" s="37">
        <f t="shared" si="40"/>
        <v>9.4102019128999999</v>
      </c>
      <c r="E110" s="38">
        <v>8855</v>
      </c>
      <c r="F110" s="39">
        <f t="shared" si="36"/>
        <v>0.18646599999999999</v>
      </c>
      <c r="G110" s="38">
        <v>597015.42000000004</v>
      </c>
      <c r="H110" s="38">
        <v>33219166.696814802</v>
      </c>
      <c r="I110" s="38">
        <v>251</v>
      </c>
      <c r="J110" s="34">
        <v>101</v>
      </c>
      <c r="K110" s="35" t="s">
        <v>66</v>
      </c>
      <c r="L110" s="51">
        <f t="shared" si="32"/>
        <v>1.605966</v>
      </c>
      <c r="M110" s="51">
        <f t="shared" si="33"/>
        <v>7.7519000000000005E-2</v>
      </c>
      <c r="N110" s="51">
        <f t="shared" si="34"/>
        <v>0.10100099999999999</v>
      </c>
      <c r="O110" s="51">
        <f t="shared" si="37"/>
        <v>30.059000000000001</v>
      </c>
      <c r="P110" s="51">
        <f t="shared" si="35"/>
        <v>2.9037480000000002</v>
      </c>
      <c r="Q110" s="39">
        <f t="shared" si="41"/>
        <v>34.747234000000006</v>
      </c>
      <c r="R110" s="41">
        <f t="shared" si="38"/>
        <v>1.19818</v>
      </c>
      <c r="S110" s="2"/>
      <c r="T110" s="2"/>
      <c r="U110" s="79">
        <v>101</v>
      </c>
      <c r="V110" s="80" t="s">
        <v>66</v>
      </c>
      <c r="W110" s="81">
        <v>8855</v>
      </c>
      <c r="X110" s="103">
        <f t="shared" si="39"/>
        <v>0.18646599999999999</v>
      </c>
    </row>
    <row r="111" spans="1:24" x14ac:dyDescent="0.2">
      <c r="A111" s="34">
        <v>102</v>
      </c>
      <c r="B111" s="35" t="s">
        <v>117</v>
      </c>
      <c r="C111" s="36">
        <v>1013</v>
      </c>
      <c r="D111" s="37">
        <f t="shared" si="40"/>
        <v>352.20730503459998</v>
      </c>
      <c r="E111" s="38">
        <v>356786</v>
      </c>
      <c r="F111" s="39">
        <f t="shared" si="36"/>
        <v>7.5131100000000002</v>
      </c>
      <c r="G111" s="38">
        <v>39816394.770000003</v>
      </c>
      <c r="H111" s="38">
        <v>93883059.323515102</v>
      </c>
      <c r="I111" s="38">
        <v>232</v>
      </c>
      <c r="J111" s="34">
        <v>102</v>
      </c>
      <c r="K111" s="35" t="s">
        <v>117</v>
      </c>
      <c r="L111" s="51">
        <f t="shared" si="32"/>
        <v>1.7288460000000001</v>
      </c>
      <c r="M111" s="51">
        <f t="shared" si="33"/>
        <v>2.901408</v>
      </c>
      <c r="N111" s="51">
        <f t="shared" si="34"/>
        <v>6.7359900000000001</v>
      </c>
      <c r="O111" s="51">
        <f t="shared" si="37"/>
        <v>84.951875000000001</v>
      </c>
      <c r="P111" s="51">
        <f t="shared" si="35"/>
        <v>2.6839430000000002</v>
      </c>
      <c r="Q111" s="39">
        <f t="shared" si="41"/>
        <v>99.002061999999995</v>
      </c>
      <c r="R111" s="41">
        <f t="shared" si="38"/>
        <v>3.4138639999999998</v>
      </c>
      <c r="S111" s="2"/>
      <c r="T111" s="2"/>
      <c r="U111" s="79">
        <v>102</v>
      </c>
      <c r="V111" s="80" t="s">
        <v>117</v>
      </c>
      <c r="W111" s="81">
        <v>356786</v>
      </c>
      <c r="X111" s="103">
        <f t="shared" si="39"/>
        <v>7.5131100000000002</v>
      </c>
    </row>
    <row r="112" spans="1:24" x14ac:dyDescent="0.2">
      <c r="A112" s="34">
        <v>103</v>
      </c>
      <c r="B112" s="35" t="s">
        <v>68</v>
      </c>
      <c r="C112" s="36">
        <v>228</v>
      </c>
      <c r="D112" s="37">
        <f t="shared" si="40"/>
        <v>102.93421052630001</v>
      </c>
      <c r="E112" s="38">
        <v>23469</v>
      </c>
      <c r="F112" s="39">
        <f t="shared" si="36"/>
        <v>0.49420399999999998</v>
      </c>
      <c r="G112" s="38">
        <v>3207178.75</v>
      </c>
      <c r="H112" s="38">
        <v>16552189.893224901</v>
      </c>
      <c r="I112" s="38">
        <v>23</v>
      </c>
      <c r="J112" s="34">
        <v>103</v>
      </c>
      <c r="K112" s="35" t="s">
        <v>68</v>
      </c>
      <c r="L112" s="51">
        <f t="shared" si="32"/>
        <v>0.38911800000000002</v>
      </c>
      <c r="M112" s="51">
        <f t="shared" si="33"/>
        <v>0.84794999999999998</v>
      </c>
      <c r="N112" s="51">
        <f t="shared" si="34"/>
        <v>0.54257900000000003</v>
      </c>
      <c r="O112" s="51">
        <f t="shared" si="37"/>
        <v>14.977575000000002</v>
      </c>
      <c r="P112" s="51">
        <f t="shared" si="35"/>
        <v>0.26608100000000001</v>
      </c>
      <c r="Q112" s="39">
        <f t="shared" si="41"/>
        <v>17.023303000000002</v>
      </c>
      <c r="R112" s="41">
        <f t="shared" si="38"/>
        <v>0.58701000000000003</v>
      </c>
      <c r="S112" s="2"/>
      <c r="T112" s="2"/>
      <c r="U112" s="79">
        <v>103</v>
      </c>
      <c r="V112" s="80" t="s">
        <v>68</v>
      </c>
      <c r="W112" s="81">
        <v>23469</v>
      </c>
      <c r="X112" s="103">
        <f t="shared" si="39"/>
        <v>0.49420399999999998</v>
      </c>
    </row>
    <row r="113" spans="1:24" x14ac:dyDescent="0.2">
      <c r="A113" s="34">
        <v>104</v>
      </c>
      <c r="B113" s="35" t="s">
        <v>109</v>
      </c>
      <c r="C113" s="36">
        <v>350</v>
      </c>
      <c r="D113" s="37">
        <f t="shared" si="40"/>
        <v>45.325714285700002</v>
      </c>
      <c r="E113" s="38">
        <v>15864</v>
      </c>
      <c r="F113" s="39">
        <f t="shared" si="36"/>
        <v>0.33406000000000002</v>
      </c>
      <c r="G113" s="38">
        <v>1751569.06</v>
      </c>
      <c r="H113" s="38">
        <v>12648264.435267501</v>
      </c>
      <c r="I113" s="38">
        <v>44</v>
      </c>
      <c r="J113" s="34">
        <v>104</v>
      </c>
      <c r="K113" s="35" t="s">
        <v>109</v>
      </c>
      <c r="L113" s="51">
        <f t="shared" ref="L113:L122" si="42">ROUND(C113/$C$9%,6)</f>
        <v>0.59733099999999995</v>
      </c>
      <c r="M113" s="51">
        <f t="shared" ref="M113:M122" si="43">ROUND(D113/$D$9%,6)</f>
        <v>0.37338300000000002</v>
      </c>
      <c r="N113" s="51">
        <f t="shared" ref="N113:N122" si="44">ROUND(G113/$G$9%,6)</f>
        <v>0.29632399999999998</v>
      </c>
      <c r="O113" s="51">
        <f t="shared" si="37"/>
        <v>11.445025000000001</v>
      </c>
      <c r="P113" s="51">
        <f t="shared" ref="P113:P122" si="45">ROUND(I113/$I$9%,6)</f>
        <v>0.50902400000000003</v>
      </c>
      <c r="Q113" s="39">
        <f t="shared" si="41"/>
        <v>13.221087000000001</v>
      </c>
      <c r="R113" s="41">
        <f t="shared" si="38"/>
        <v>0.45590000000000003</v>
      </c>
      <c r="S113" s="2"/>
      <c r="T113" s="2"/>
      <c r="U113" s="79">
        <v>104</v>
      </c>
      <c r="V113" s="80" t="s">
        <v>109</v>
      </c>
      <c r="W113" s="81">
        <v>15864</v>
      </c>
      <c r="X113" s="103">
        <f t="shared" si="39"/>
        <v>0.33406000000000002</v>
      </c>
    </row>
    <row r="114" spans="1:24" x14ac:dyDescent="0.2">
      <c r="A114" s="34">
        <v>105</v>
      </c>
      <c r="B114" s="35" t="s">
        <v>150</v>
      </c>
      <c r="C114" s="36">
        <v>148</v>
      </c>
      <c r="D114" s="37">
        <f t="shared" si="40"/>
        <v>141.77027027029999</v>
      </c>
      <c r="E114" s="38">
        <v>20982</v>
      </c>
      <c r="F114" s="39">
        <f t="shared" si="36"/>
        <v>0.441834</v>
      </c>
      <c r="G114" s="38">
        <v>2676010.09</v>
      </c>
      <c r="H114" s="38">
        <v>13061804.3323169</v>
      </c>
      <c r="I114" s="38">
        <v>12</v>
      </c>
      <c r="J114" s="34">
        <v>105</v>
      </c>
      <c r="K114" s="35" t="s">
        <v>150</v>
      </c>
      <c r="L114" s="51">
        <f t="shared" si="42"/>
        <v>0.25258599999999998</v>
      </c>
      <c r="M114" s="51">
        <f t="shared" si="43"/>
        <v>1.1678729999999999</v>
      </c>
      <c r="N114" s="51">
        <f t="shared" si="44"/>
        <v>0.45271699999999998</v>
      </c>
      <c r="O114" s="51">
        <f t="shared" si="37"/>
        <v>11.819224999999999</v>
      </c>
      <c r="P114" s="51">
        <f t="shared" si="45"/>
        <v>0.138825</v>
      </c>
      <c r="Q114" s="39">
        <f t="shared" si="41"/>
        <v>13.831226000000001</v>
      </c>
      <c r="R114" s="41">
        <f t="shared" si="38"/>
        <v>0.476939</v>
      </c>
      <c r="S114" s="2"/>
      <c r="T114" s="2"/>
      <c r="U114" s="79">
        <v>105</v>
      </c>
      <c r="V114" s="80" t="s">
        <v>150</v>
      </c>
      <c r="W114" s="81">
        <v>20982</v>
      </c>
      <c r="X114" s="103">
        <f t="shared" si="39"/>
        <v>0.441834</v>
      </c>
    </row>
    <row r="115" spans="1:24" x14ac:dyDescent="0.2">
      <c r="A115" s="34">
        <v>106</v>
      </c>
      <c r="B115" s="35" t="s">
        <v>145</v>
      </c>
      <c r="C115" s="36">
        <v>174</v>
      </c>
      <c r="D115" s="37">
        <f t="shared" si="40"/>
        <v>185.64942528739999</v>
      </c>
      <c r="E115" s="38">
        <v>32303</v>
      </c>
      <c r="F115" s="39">
        <f t="shared" si="36"/>
        <v>0.68022800000000005</v>
      </c>
      <c r="G115" s="38">
        <v>3712248.66</v>
      </c>
      <c r="H115" s="38">
        <v>18189812.732512102</v>
      </c>
      <c r="I115" s="38">
        <v>18</v>
      </c>
      <c r="J115" s="34">
        <v>106</v>
      </c>
      <c r="K115" s="35" t="s">
        <v>145</v>
      </c>
      <c r="L115" s="51">
        <f t="shared" si="42"/>
        <v>0.29695899999999997</v>
      </c>
      <c r="M115" s="51">
        <f t="shared" si="43"/>
        <v>1.5293399999999999</v>
      </c>
      <c r="N115" s="51">
        <f t="shared" si="44"/>
        <v>0.62802400000000003</v>
      </c>
      <c r="O115" s="51">
        <f t="shared" si="37"/>
        <v>16.459399999999999</v>
      </c>
      <c r="P115" s="51">
        <f t="shared" si="45"/>
        <v>0.20823700000000001</v>
      </c>
      <c r="Q115" s="39">
        <f t="shared" si="41"/>
        <v>19.121959999999998</v>
      </c>
      <c r="R115" s="41">
        <f t="shared" si="38"/>
        <v>0.65937800000000002</v>
      </c>
      <c r="S115" s="2"/>
      <c r="T115" s="2"/>
      <c r="U115" s="79">
        <v>106</v>
      </c>
      <c r="V115" s="80" t="s">
        <v>145</v>
      </c>
      <c r="W115" s="81">
        <v>32303</v>
      </c>
      <c r="X115" s="103">
        <f t="shared" si="39"/>
        <v>0.68022800000000005</v>
      </c>
    </row>
    <row r="116" spans="1:24" x14ac:dyDescent="0.2">
      <c r="A116" s="34">
        <v>107</v>
      </c>
      <c r="B116" s="35" t="s">
        <v>106</v>
      </c>
      <c r="C116" s="36">
        <v>455</v>
      </c>
      <c r="D116" s="37">
        <f t="shared" si="40"/>
        <v>168.85494505490001</v>
      </c>
      <c r="E116" s="38">
        <v>76829</v>
      </c>
      <c r="F116" s="39">
        <f t="shared" si="36"/>
        <v>1.6178459999999999</v>
      </c>
      <c r="G116" s="38">
        <v>8539923.8599999994</v>
      </c>
      <c r="H116" s="38">
        <v>29275145.5565692</v>
      </c>
      <c r="I116" s="38">
        <v>50</v>
      </c>
      <c r="J116" s="34">
        <v>107</v>
      </c>
      <c r="K116" s="35" t="s">
        <v>106</v>
      </c>
      <c r="L116" s="51">
        <f t="shared" si="42"/>
        <v>0.77653000000000005</v>
      </c>
      <c r="M116" s="51">
        <f t="shared" si="43"/>
        <v>1.3909910000000001</v>
      </c>
      <c r="N116" s="51">
        <f t="shared" si="44"/>
        <v>1.444753</v>
      </c>
      <c r="O116" s="51">
        <f t="shared" si="37"/>
        <v>26.490175000000001</v>
      </c>
      <c r="P116" s="51">
        <f t="shared" si="45"/>
        <v>0.57843599999999995</v>
      </c>
      <c r="Q116" s="39">
        <f t="shared" si="41"/>
        <v>30.680885</v>
      </c>
      <c r="R116" s="41">
        <f t="shared" si="38"/>
        <v>1.0579620000000001</v>
      </c>
      <c r="S116" s="2"/>
      <c r="T116" s="2"/>
      <c r="U116" s="79">
        <v>107</v>
      </c>
      <c r="V116" s="80" t="s">
        <v>106</v>
      </c>
      <c r="W116" s="81">
        <v>76829</v>
      </c>
      <c r="X116" s="103">
        <f t="shared" si="39"/>
        <v>1.6178459999999999</v>
      </c>
    </row>
    <row r="117" spans="1:24" x14ac:dyDescent="0.2">
      <c r="A117" s="34">
        <v>108</v>
      </c>
      <c r="B117" s="35" t="s">
        <v>149</v>
      </c>
      <c r="C117" s="36">
        <v>335</v>
      </c>
      <c r="D117" s="37">
        <f t="shared" si="40"/>
        <v>611.52238805970001</v>
      </c>
      <c r="E117" s="38">
        <v>204860</v>
      </c>
      <c r="F117" s="39">
        <f t="shared" si="36"/>
        <v>4.3138899999999998</v>
      </c>
      <c r="G117" s="38">
        <v>27096112.219999999</v>
      </c>
      <c r="H117" s="38">
        <v>73311118.406804994</v>
      </c>
      <c r="I117" s="38">
        <v>78</v>
      </c>
      <c r="J117" s="34">
        <v>108</v>
      </c>
      <c r="K117" s="35" t="s">
        <v>149</v>
      </c>
      <c r="L117" s="51">
        <f t="shared" si="42"/>
        <v>0.57173099999999999</v>
      </c>
      <c r="M117" s="51">
        <f t="shared" si="43"/>
        <v>5.0375899999999998</v>
      </c>
      <c r="N117" s="51">
        <f t="shared" si="44"/>
        <v>4.5840199999999998</v>
      </c>
      <c r="O117" s="51">
        <f t="shared" si="37"/>
        <v>66.336950000000002</v>
      </c>
      <c r="P117" s="51">
        <f t="shared" si="45"/>
        <v>0.90236000000000005</v>
      </c>
      <c r="Q117" s="39">
        <f t="shared" si="41"/>
        <v>77.432651000000007</v>
      </c>
      <c r="R117" s="41">
        <f t="shared" si="38"/>
        <v>2.6700910000000002</v>
      </c>
      <c r="S117" s="2"/>
      <c r="T117" s="2"/>
      <c r="U117" s="79">
        <v>108</v>
      </c>
      <c r="V117" s="80" t="s">
        <v>149</v>
      </c>
      <c r="W117" s="81">
        <v>204860</v>
      </c>
      <c r="X117" s="103">
        <f t="shared" si="39"/>
        <v>4.3138899999999998</v>
      </c>
    </row>
    <row r="118" spans="1:24" x14ac:dyDescent="0.2">
      <c r="A118" s="34">
        <v>109</v>
      </c>
      <c r="B118" s="35" t="s">
        <v>50</v>
      </c>
      <c r="C118" s="36">
        <v>113</v>
      </c>
      <c r="D118" s="37">
        <f t="shared" si="40"/>
        <v>28.6017699115</v>
      </c>
      <c r="E118" s="38">
        <v>3232</v>
      </c>
      <c r="F118" s="39">
        <f t="shared" si="36"/>
        <v>6.8058999999999995E-2</v>
      </c>
      <c r="G118" s="38">
        <v>572143.78</v>
      </c>
      <c r="H118" s="38">
        <v>6711205.0695968196</v>
      </c>
      <c r="I118" s="38">
        <v>14</v>
      </c>
      <c r="J118" s="34">
        <v>109</v>
      </c>
      <c r="K118" s="35" t="s">
        <v>50</v>
      </c>
      <c r="L118" s="51">
        <f t="shared" si="42"/>
        <v>0.192853</v>
      </c>
      <c r="M118" s="51">
        <f t="shared" si="43"/>
        <v>0.23561499999999999</v>
      </c>
      <c r="N118" s="51">
        <f t="shared" si="44"/>
        <v>9.6793000000000004E-2</v>
      </c>
      <c r="O118" s="51">
        <f t="shared" si="37"/>
        <v>6.0727500000000001</v>
      </c>
      <c r="P118" s="51">
        <f t="shared" si="45"/>
        <v>0.16196199999999999</v>
      </c>
      <c r="Q118" s="39">
        <f t="shared" si="41"/>
        <v>6.7599729999999996</v>
      </c>
      <c r="R118" s="41">
        <f t="shared" si="38"/>
        <v>0.233103</v>
      </c>
      <c r="S118" s="2"/>
      <c r="T118" s="2"/>
      <c r="U118" s="79">
        <v>109</v>
      </c>
      <c r="V118" s="80" t="s">
        <v>50</v>
      </c>
      <c r="W118" s="81">
        <v>3232</v>
      </c>
      <c r="X118" s="103">
        <f t="shared" si="39"/>
        <v>6.8058999999999995E-2</v>
      </c>
    </row>
    <row r="119" spans="1:24" x14ac:dyDescent="0.2">
      <c r="A119" s="34">
        <v>110</v>
      </c>
      <c r="B119" s="35" t="s">
        <v>111</v>
      </c>
      <c r="C119" s="36">
        <v>596</v>
      </c>
      <c r="D119" s="37">
        <f t="shared" si="40"/>
        <v>82.223154362399995</v>
      </c>
      <c r="E119" s="38">
        <v>49005</v>
      </c>
      <c r="F119" s="39">
        <f t="shared" si="36"/>
        <v>1.031935</v>
      </c>
      <c r="G119" s="38">
        <v>6127782.1799999997</v>
      </c>
      <c r="H119" s="38">
        <v>25295291.305401102</v>
      </c>
      <c r="I119" s="38">
        <v>88</v>
      </c>
      <c r="J119" s="34">
        <v>110</v>
      </c>
      <c r="K119" s="35" t="s">
        <v>111</v>
      </c>
      <c r="L119" s="51">
        <f t="shared" si="42"/>
        <v>1.017169</v>
      </c>
      <c r="M119" s="51">
        <f t="shared" si="43"/>
        <v>0.67733699999999997</v>
      </c>
      <c r="N119" s="51">
        <f t="shared" si="44"/>
        <v>1.036675</v>
      </c>
      <c r="O119" s="51">
        <f t="shared" si="37"/>
        <v>22.888925</v>
      </c>
      <c r="P119" s="51">
        <f t="shared" si="45"/>
        <v>1.0180469999999999</v>
      </c>
      <c r="Q119" s="39">
        <f t="shared" si="41"/>
        <v>26.638152999999999</v>
      </c>
      <c r="R119" s="41">
        <f t="shared" si="38"/>
        <v>0.91855699999999996</v>
      </c>
      <c r="S119" s="2"/>
      <c r="T119" s="2"/>
      <c r="U119" s="79">
        <v>110</v>
      </c>
      <c r="V119" s="80" t="s">
        <v>111</v>
      </c>
      <c r="W119" s="81">
        <v>49005</v>
      </c>
      <c r="X119" s="103">
        <f t="shared" si="39"/>
        <v>1.031935</v>
      </c>
    </row>
    <row r="120" spans="1:24" x14ac:dyDescent="0.2">
      <c r="A120" s="34">
        <v>111</v>
      </c>
      <c r="B120" s="35" t="s">
        <v>140</v>
      </c>
      <c r="C120" s="36">
        <v>160</v>
      </c>
      <c r="D120" s="37">
        <f t="shared" si="40"/>
        <v>115.0125</v>
      </c>
      <c r="E120" s="38">
        <v>18402</v>
      </c>
      <c r="F120" s="39">
        <f t="shared" si="36"/>
        <v>0.38750499999999999</v>
      </c>
      <c r="G120" s="38">
        <v>2207328.7599999998</v>
      </c>
      <c r="H120" s="50">
        <v>11838495.3957712</v>
      </c>
      <c r="I120" s="38">
        <v>37</v>
      </c>
      <c r="J120" s="34">
        <v>111</v>
      </c>
      <c r="K120" s="35" t="s">
        <v>140</v>
      </c>
      <c r="L120" s="51">
        <f t="shared" si="42"/>
        <v>0.27306599999999998</v>
      </c>
      <c r="M120" s="51">
        <f t="shared" si="43"/>
        <v>0.94744799999999996</v>
      </c>
      <c r="N120" s="51">
        <f t="shared" si="44"/>
        <v>0.37342799999999998</v>
      </c>
      <c r="O120" s="51">
        <f t="shared" si="37"/>
        <v>10.712275</v>
      </c>
      <c r="P120" s="51">
        <f t="shared" si="45"/>
        <v>0.42804300000000001</v>
      </c>
      <c r="Q120" s="39">
        <f t="shared" si="41"/>
        <v>12.734260000000001</v>
      </c>
      <c r="R120" s="41">
        <f t="shared" si="38"/>
        <v>0.439112</v>
      </c>
      <c r="S120" s="2"/>
      <c r="T120" s="2"/>
      <c r="U120" s="79">
        <v>111</v>
      </c>
      <c r="V120" s="80" t="s">
        <v>140</v>
      </c>
      <c r="W120" s="81">
        <v>18402</v>
      </c>
      <c r="X120" s="103">
        <f t="shared" si="39"/>
        <v>0.38750499999999999</v>
      </c>
    </row>
    <row r="121" spans="1:24" x14ac:dyDescent="0.2">
      <c r="A121" s="34">
        <v>112</v>
      </c>
      <c r="B121" s="35" t="s">
        <v>142</v>
      </c>
      <c r="C121" s="36">
        <v>513</v>
      </c>
      <c r="D121" s="37">
        <f t="shared" si="40"/>
        <v>306.15204678359999</v>
      </c>
      <c r="E121" s="38">
        <v>157056</v>
      </c>
      <c r="F121" s="39">
        <f t="shared" si="36"/>
        <v>3.3072460000000001</v>
      </c>
      <c r="G121" s="38">
        <v>13852011.210000001</v>
      </c>
      <c r="H121" s="38">
        <v>51156377.206829503</v>
      </c>
      <c r="I121" s="56">
        <v>160</v>
      </c>
      <c r="J121" s="34">
        <v>112</v>
      </c>
      <c r="K121" s="35" t="s">
        <v>142</v>
      </c>
      <c r="L121" s="51">
        <f t="shared" si="42"/>
        <v>0.87551599999999996</v>
      </c>
      <c r="M121" s="51">
        <f t="shared" si="43"/>
        <v>2.5220150000000001</v>
      </c>
      <c r="N121" s="51">
        <f t="shared" si="44"/>
        <v>2.343432</v>
      </c>
      <c r="O121" s="51">
        <f t="shared" si="37"/>
        <v>46.289825</v>
      </c>
      <c r="P121" s="51">
        <f t="shared" si="45"/>
        <v>1.8509949999999999</v>
      </c>
      <c r="Q121" s="39">
        <f t="shared" si="41"/>
        <v>53.881782999999999</v>
      </c>
      <c r="R121" s="41">
        <f t="shared" si="38"/>
        <v>1.857993</v>
      </c>
      <c r="S121" s="2"/>
      <c r="T121" s="2"/>
      <c r="U121" s="79">
        <v>112</v>
      </c>
      <c r="V121" s="80" t="s">
        <v>142</v>
      </c>
      <c r="W121" s="81">
        <v>157056</v>
      </c>
      <c r="X121" s="103">
        <f t="shared" si="39"/>
        <v>3.3072460000000001</v>
      </c>
    </row>
    <row r="122" spans="1:24" s="5" customFormat="1" ht="12.75" x14ac:dyDescent="0.2">
      <c r="A122" s="34">
        <v>113</v>
      </c>
      <c r="B122" s="35" t="s">
        <v>101</v>
      </c>
      <c r="C122" s="36">
        <v>220</v>
      </c>
      <c r="D122" s="37">
        <f t="shared" si="40"/>
        <v>119.15</v>
      </c>
      <c r="E122" s="38">
        <v>26213</v>
      </c>
      <c r="F122" s="39">
        <f t="shared" si="36"/>
        <v>0.55198700000000001</v>
      </c>
      <c r="G122" s="38">
        <v>2689448.97</v>
      </c>
      <c r="H122" s="53">
        <v>16060968.753428999</v>
      </c>
      <c r="I122" s="38">
        <v>38</v>
      </c>
      <c r="J122" s="34">
        <v>113</v>
      </c>
      <c r="K122" s="35" t="s">
        <v>101</v>
      </c>
      <c r="L122" s="51">
        <f t="shared" si="42"/>
        <v>0.37546499999999999</v>
      </c>
      <c r="M122" s="51">
        <f t="shared" si="43"/>
        <v>0.98153199999999996</v>
      </c>
      <c r="N122" s="51">
        <f t="shared" si="44"/>
        <v>0.45499099999999998</v>
      </c>
      <c r="O122" s="51">
        <f t="shared" si="37"/>
        <v>14.533075</v>
      </c>
      <c r="P122" s="51">
        <f t="shared" si="45"/>
        <v>0.43961099999999997</v>
      </c>
      <c r="Q122" s="39">
        <f t="shared" si="41"/>
        <v>16.784673999999999</v>
      </c>
      <c r="R122" s="41">
        <f t="shared" si="38"/>
        <v>0.57878200000000002</v>
      </c>
      <c r="S122" s="2"/>
      <c r="T122" s="2"/>
      <c r="U122" s="79">
        <v>113</v>
      </c>
      <c r="V122" s="80" t="s">
        <v>101</v>
      </c>
      <c r="W122" s="81">
        <v>26213</v>
      </c>
      <c r="X122" s="103">
        <f t="shared" si="39"/>
        <v>0.55198700000000001</v>
      </c>
    </row>
    <row r="124" spans="1:24" x14ac:dyDescent="0.2">
      <c r="A124" s="5" t="s">
        <v>157</v>
      </c>
      <c r="B124" s="5" t="s">
        <v>158</v>
      </c>
      <c r="C124" s="5"/>
      <c r="D124" s="5"/>
      <c r="E124" s="5"/>
      <c r="F124" s="5"/>
      <c r="G124" s="60"/>
      <c r="H124" s="60"/>
      <c r="I124" s="1" t="s">
        <v>7</v>
      </c>
    </row>
    <row r="125" spans="1:24" x14ac:dyDescent="0.2">
      <c r="A125" s="5"/>
      <c r="B125" s="4"/>
      <c r="C125" s="5"/>
      <c r="D125" s="5"/>
      <c r="E125" s="5"/>
      <c r="F125" s="5"/>
      <c r="G125" s="60"/>
      <c r="H125" s="60"/>
    </row>
    <row r="126" spans="1:24" x14ac:dyDescent="0.2">
      <c r="A126" s="5"/>
      <c r="B126" s="5"/>
      <c r="C126" s="5"/>
      <c r="D126" s="5"/>
      <c r="E126" s="5"/>
      <c r="F126" s="5"/>
      <c r="G126" s="60"/>
      <c r="H126" s="60"/>
    </row>
  </sheetData>
  <mergeCells count="1">
    <mergeCell ref="L5:Q5"/>
  </mergeCells>
  <pageMargins left="0.74999999999999989" right="0.74999999999999989" top="1.393700787401575" bottom="1.393700787401575" header="1" footer="1"/>
  <pageSetup paperSize="0" scale="70" fitToWidth="0" fitToHeight="0" orientation="landscape" horizontalDpi="0" verticalDpi="0" copies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9"/>
  <sheetViews>
    <sheetView workbookViewId="0"/>
  </sheetViews>
  <sheetFormatPr baseColWidth="10" defaultRowHeight="14.25" x14ac:dyDescent="0.2"/>
  <cols>
    <col min="1" max="1" width="13.75" style="104" customWidth="1"/>
    <col min="2" max="2" width="8.5" style="104" customWidth="1"/>
    <col min="3" max="3" width="27.375" style="104" customWidth="1"/>
    <col min="4" max="4" width="12.875" style="104" customWidth="1"/>
    <col min="5" max="5" width="12" style="104" customWidth="1"/>
    <col min="6" max="7" width="10.5" style="104" customWidth="1"/>
    <col min="8" max="9" width="12.625" style="104" customWidth="1"/>
    <col min="10" max="10" width="12.25" style="104" customWidth="1"/>
    <col min="11" max="11" width="13.875" style="104" customWidth="1"/>
    <col min="12" max="12" width="10.375" style="104" customWidth="1"/>
    <col min="13" max="13" width="12.25" style="106" customWidth="1"/>
    <col min="14" max="16" width="10.375" style="104" customWidth="1"/>
    <col min="17" max="1024" width="12.875" style="104" customWidth="1"/>
  </cols>
  <sheetData>
    <row r="1" spans="2:12" ht="15.75" x14ac:dyDescent="0.25">
      <c r="C1" s="105" t="s">
        <v>0</v>
      </c>
    </row>
    <row r="2" spans="2:12" x14ac:dyDescent="0.2">
      <c r="C2" s="107" t="s">
        <v>163</v>
      </c>
    </row>
    <row r="4" spans="2:12" ht="38.25" x14ac:dyDescent="0.2">
      <c r="B4" s="108"/>
      <c r="C4" s="108" t="s">
        <v>207</v>
      </c>
      <c r="D4" s="109" t="s">
        <v>208</v>
      </c>
      <c r="E4" s="109" t="s">
        <v>209</v>
      </c>
      <c r="F4" s="109" t="s">
        <v>210</v>
      </c>
      <c r="G4" s="109" t="s">
        <v>211</v>
      </c>
      <c r="H4" s="109" t="s">
        <v>212</v>
      </c>
      <c r="I4" s="109" t="s">
        <v>213</v>
      </c>
      <c r="J4" s="109" t="s">
        <v>214</v>
      </c>
      <c r="K4" s="109" t="s">
        <v>215</v>
      </c>
      <c r="L4" s="109" t="s">
        <v>216</v>
      </c>
    </row>
    <row r="5" spans="2:12" x14ac:dyDescent="0.2">
      <c r="B5" s="110"/>
      <c r="C5" s="110"/>
      <c r="D5" s="111" t="s">
        <v>217</v>
      </c>
      <c r="E5" s="111" t="s">
        <v>218</v>
      </c>
      <c r="F5" s="111" t="s">
        <v>219</v>
      </c>
      <c r="G5" s="111" t="s">
        <v>220</v>
      </c>
      <c r="H5" s="111" t="s">
        <v>221</v>
      </c>
      <c r="I5" s="111" t="s">
        <v>222</v>
      </c>
      <c r="J5" s="111" t="s">
        <v>223</v>
      </c>
      <c r="K5" s="111" t="s">
        <v>224</v>
      </c>
      <c r="L5" s="111" t="s">
        <v>225</v>
      </c>
    </row>
    <row r="6" spans="2:12" x14ac:dyDescent="0.2">
      <c r="B6" s="112" t="s">
        <v>226</v>
      </c>
      <c r="C6" s="112" t="s">
        <v>191</v>
      </c>
      <c r="D6" s="113">
        <f>D8+D20+D24</f>
        <v>33259144766</v>
      </c>
      <c r="E6" s="113">
        <f>E8+E20+E24</f>
        <v>32998451688</v>
      </c>
      <c r="F6" s="113">
        <f>F8+F20+F24</f>
        <v>37884032180.428574</v>
      </c>
      <c r="H6" s="113">
        <f>H8+H20+H24</f>
        <v>13264160991</v>
      </c>
      <c r="I6" s="113">
        <f>I8+I20+I24</f>
        <v>13160677211</v>
      </c>
      <c r="J6" s="113">
        <f>J8+J20+J24</f>
        <v>14947345587</v>
      </c>
      <c r="K6" s="113">
        <f>J6-I6</f>
        <v>1786668376</v>
      </c>
      <c r="L6" s="114">
        <f>K6/I6%</f>
        <v>13.575808807974266</v>
      </c>
    </row>
    <row r="7" spans="2:12" x14ac:dyDescent="0.2">
      <c r="B7" s="112"/>
      <c r="C7" s="112"/>
      <c r="D7" s="115"/>
      <c r="E7" s="115"/>
      <c r="F7" s="115"/>
      <c r="H7" s="116"/>
      <c r="I7" s="116"/>
      <c r="J7" s="116"/>
      <c r="K7" s="116"/>
      <c r="L7" s="117"/>
    </row>
    <row r="8" spans="2:12" x14ac:dyDescent="0.2">
      <c r="B8" s="118" t="s">
        <v>227</v>
      </c>
      <c r="C8" s="112" t="s">
        <v>228</v>
      </c>
      <c r="D8" s="119">
        <f>SUM(D9:D18)</f>
        <v>25609436085</v>
      </c>
      <c r="E8" s="119">
        <f>SUM(E9:E18)</f>
        <v>25054062985</v>
      </c>
      <c r="F8" s="119">
        <f>SUM(F9:F18)</f>
        <v>28914924413.42857</v>
      </c>
      <c r="G8" s="120"/>
      <c r="H8" s="113">
        <f>SUM(H9:H18)</f>
        <v>6267499816</v>
      </c>
      <c r="I8" s="113">
        <f>SUM(I9:I18)</f>
        <v>6136611097</v>
      </c>
      <c r="J8" s="113">
        <f>SUM(J9:J18)</f>
        <v>7016846382</v>
      </c>
      <c r="K8" s="113">
        <f>J8-I8</f>
        <v>880235285</v>
      </c>
      <c r="L8" s="114">
        <f>K8/I8%</f>
        <v>14.343996565634082</v>
      </c>
    </row>
    <row r="9" spans="2:12" x14ac:dyDescent="0.2">
      <c r="B9" s="121" t="s">
        <v>229</v>
      </c>
      <c r="C9" s="108" t="s">
        <v>230</v>
      </c>
      <c r="D9" s="122">
        <v>22093532650</v>
      </c>
      <c r="E9" s="122">
        <v>21689429248</v>
      </c>
      <c r="F9" s="122">
        <v>25121626596</v>
      </c>
      <c r="G9" s="123">
        <v>0.2</v>
      </c>
      <c r="H9" s="124">
        <f>ROUND(D9*G9,0)</f>
        <v>4418706530</v>
      </c>
      <c r="I9" s="124">
        <f>ROUND(E9*0.2,0)</f>
        <v>4337885850</v>
      </c>
      <c r="J9" s="124">
        <f>ROUND(F9*G9,0)</f>
        <v>5024325319</v>
      </c>
      <c r="K9" s="125">
        <f>J9-I9</f>
        <v>686439469</v>
      </c>
      <c r="L9" s="126">
        <f>K9/I9%</f>
        <v>15.82428613237944</v>
      </c>
    </row>
    <row r="10" spans="2:12" x14ac:dyDescent="0.2">
      <c r="B10" s="121" t="s">
        <v>231</v>
      </c>
      <c r="C10" s="108" t="s">
        <v>232</v>
      </c>
      <c r="D10" s="122">
        <v>1427227376</v>
      </c>
      <c r="E10" s="122">
        <v>1404627573</v>
      </c>
      <c r="F10" s="122">
        <v>1538576873</v>
      </c>
      <c r="G10" s="123">
        <v>1</v>
      </c>
      <c r="H10" s="124">
        <f>ROUND(D10*G10,0)</f>
        <v>1427227376</v>
      </c>
      <c r="I10" s="124">
        <f>ROUND(E10*1,0)</f>
        <v>1404627573</v>
      </c>
      <c r="J10" s="124">
        <f>F10*G10</f>
        <v>1538576873</v>
      </c>
      <c r="K10" s="127">
        <f>J10-I10</f>
        <v>133949300</v>
      </c>
      <c r="L10" s="128">
        <f>K10/I10%</f>
        <v>9.5362858151724463</v>
      </c>
    </row>
    <row r="11" spans="2:12" ht="25.5" x14ac:dyDescent="0.2">
      <c r="B11" s="121" t="s">
        <v>233</v>
      </c>
      <c r="C11" s="129" t="s">
        <v>234</v>
      </c>
      <c r="D11" s="122">
        <v>756958099</v>
      </c>
      <c r="E11" s="122">
        <v>611672126</v>
      </c>
      <c r="F11" s="122">
        <v>661671254</v>
      </c>
      <c r="G11" s="123">
        <v>0.2</v>
      </c>
      <c r="H11" s="124">
        <f>ROUND(D11*G11,0)</f>
        <v>151391620</v>
      </c>
      <c r="I11" s="124">
        <f>ROUND(E11*0.2,0)</f>
        <v>122334425</v>
      </c>
      <c r="J11" s="124">
        <f>ROUND(F11*G11,0)</f>
        <v>132334251</v>
      </c>
      <c r="K11" s="127">
        <f>J11-I11</f>
        <v>9999826</v>
      </c>
      <c r="L11" s="128">
        <f>K11/I11%</f>
        <v>8.1741717427453473</v>
      </c>
    </row>
    <row r="12" spans="2:12" x14ac:dyDescent="0.2">
      <c r="B12" s="121" t="s">
        <v>235</v>
      </c>
      <c r="C12" s="129" t="s">
        <v>236</v>
      </c>
      <c r="D12" s="130" t="s">
        <v>157</v>
      </c>
      <c r="E12" s="130" t="s">
        <v>157</v>
      </c>
      <c r="F12" s="130"/>
      <c r="G12" s="130" t="s">
        <v>157</v>
      </c>
      <c r="H12" s="130" t="s">
        <v>157</v>
      </c>
      <c r="I12" s="130" t="s">
        <v>157</v>
      </c>
      <c r="J12" s="130" t="s">
        <v>157</v>
      </c>
      <c r="K12" s="130" t="s">
        <v>157</v>
      </c>
      <c r="L12" s="130" t="s">
        <v>157</v>
      </c>
    </row>
    <row r="13" spans="2:12" x14ac:dyDescent="0.2">
      <c r="B13" s="121" t="s">
        <v>237</v>
      </c>
      <c r="C13" s="129" t="s">
        <v>238</v>
      </c>
      <c r="D13" s="122">
        <v>983580006</v>
      </c>
      <c r="E13" s="122">
        <v>1005964586</v>
      </c>
      <c r="F13" s="122">
        <v>1133751723</v>
      </c>
      <c r="G13" s="123">
        <v>0.2</v>
      </c>
      <c r="H13" s="124">
        <f>ROUND(D13*G13,0)</f>
        <v>196716001</v>
      </c>
      <c r="I13" s="124">
        <f>ROUND(E13*0.2,0)</f>
        <v>201192917</v>
      </c>
      <c r="J13" s="124">
        <f t="shared" ref="J13:J18" si="0">ROUND(F13*G13,0)</f>
        <v>226750345</v>
      </c>
      <c r="K13" s="127">
        <f t="shared" ref="K13:K18" si="1">J13-I13</f>
        <v>25557428</v>
      </c>
      <c r="L13" s="128">
        <f t="shared" ref="L13:L18" si="2">K13/I13%</f>
        <v>12.702946197653668</v>
      </c>
    </row>
    <row r="14" spans="2:12" ht="25.5" x14ac:dyDescent="0.2">
      <c r="B14" s="121" t="s">
        <v>239</v>
      </c>
      <c r="C14" s="129" t="s">
        <v>240</v>
      </c>
      <c r="D14" s="122">
        <v>76260708</v>
      </c>
      <c r="E14" s="122">
        <v>78800184</v>
      </c>
      <c r="F14" s="122">
        <v>83433634</v>
      </c>
      <c r="G14" s="123">
        <v>0.2</v>
      </c>
      <c r="H14" s="124">
        <f>ROUND(D14*G14,0)</f>
        <v>15252142</v>
      </c>
      <c r="I14" s="124">
        <f>ROUND(E14*0.2,0)</f>
        <v>15760037</v>
      </c>
      <c r="J14" s="124">
        <f t="shared" si="0"/>
        <v>16686727</v>
      </c>
      <c r="K14" s="127">
        <f t="shared" si="1"/>
        <v>926690</v>
      </c>
      <c r="L14" s="128">
        <f t="shared" si="2"/>
        <v>5.8799988857894183</v>
      </c>
    </row>
    <row r="15" spans="2:12" ht="25.5" x14ac:dyDescent="0.2">
      <c r="B15" s="121" t="s">
        <v>241</v>
      </c>
      <c r="C15" s="129" t="s">
        <v>242</v>
      </c>
      <c r="D15" s="122">
        <v>265492750</v>
      </c>
      <c r="E15" s="122">
        <v>185137004</v>
      </c>
      <c r="F15" s="122">
        <v>298370703</v>
      </c>
      <c r="G15" s="123">
        <v>0.2</v>
      </c>
      <c r="H15" s="124">
        <f>ROUND(D15*G15,0)</f>
        <v>53098550</v>
      </c>
      <c r="I15" s="124">
        <f>ROUND(E15*0.2,0)</f>
        <v>37027401</v>
      </c>
      <c r="J15" s="124">
        <f t="shared" si="0"/>
        <v>59674141</v>
      </c>
      <c r="K15" s="127">
        <f t="shared" si="1"/>
        <v>22646740</v>
      </c>
      <c r="L15" s="128">
        <f t="shared" si="2"/>
        <v>61.162110729834914</v>
      </c>
    </row>
    <row r="16" spans="2:12" ht="25.5" x14ac:dyDescent="0.2">
      <c r="B16" s="121" t="s">
        <v>243</v>
      </c>
      <c r="C16" s="129" t="s">
        <v>244</v>
      </c>
      <c r="D16" s="131">
        <v>6384496</v>
      </c>
      <c r="E16" s="131">
        <v>3494069</v>
      </c>
      <c r="F16" s="131">
        <v>5000000</v>
      </c>
      <c r="G16" s="123">
        <v>0.8</v>
      </c>
      <c r="H16" s="124">
        <f>ROUND(D16*G16,0)</f>
        <v>5107597</v>
      </c>
      <c r="I16" s="124">
        <f>ROUND(E16*0.8,0)</f>
        <v>2795255</v>
      </c>
      <c r="J16" s="124">
        <f t="shared" si="0"/>
        <v>4000000</v>
      </c>
      <c r="K16" s="127">
        <f t="shared" si="1"/>
        <v>1204745</v>
      </c>
      <c r="L16" s="128">
        <f t="shared" si="2"/>
        <v>43.099645649502463</v>
      </c>
    </row>
    <row r="17" spans="2:12" ht="38.25" x14ac:dyDescent="0.2">
      <c r="B17" s="121" t="s">
        <v>245</v>
      </c>
      <c r="C17" s="132" t="s">
        <v>246</v>
      </c>
      <c r="D17" s="133">
        <v>0</v>
      </c>
      <c r="E17" s="131">
        <v>49000000</v>
      </c>
      <c r="F17" s="131">
        <v>60000000.142857097</v>
      </c>
      <c r="G17" s="123">
        <v>0.2</v>
      </c>
      <c r="H17" s="133">
        <f>D17*G17</f>
        <v>0</v>
      </c>
      <c r="I17" s="124">
        <f>ROUND(E17*0.2,0)</f>
        <v>9800000</v>
      </c>
      <c r="J17" s="124">
        <f t="shared" si="0"/>
        <v>12000000</v>
      </c>
      <c r="K17" s="127">
        <f t="shared" si="1"/>
        <v>2200000</v>
      </c>
      <c r="L17" s="128">
        <f t="shared" si="2"/>
        <v>22.448979591836736</v>
      </c>
    </row>
    <row r="18" spans="2:12" ht="25.5" x14ac:dyDescent="0.2">
      <c r="B18" s="121" t="s">
        <v>247</v>
      </c>
      <c r="C18" s="129" t="s">
        <v>248</v>
      </c>
      <c r="D18" s="133">
        <v>0</v>
      </c>
      <c r="E18" s="131">
        <v>25938195</v>
      </c>
      <c r="F18" s="131">
        <v>12493630.2857143</v>
      </c>
      <c r="G18" s="123">
        <v>0.2</v>
      </c>
      <c r="H18" s="133">
        <f>D18*G18</f>
        <v>0</v>
      </c>
      <c r="I18" s="124">
        <f>ROUND(E18*0.2,0)</f>
        <v>5187639</v>
      </c>
      <c r="J18" s="124">
        <f t="shared" si="0"/>
        <v>2498726</v>
      </c>
      <c r="K18" s="127">
        <f t="shared" si="1"/>
        <v>-2688913</v>
      </c>
      <c r="L18" s="128">
        <f t="shared" si="2"/>
        <v>-51.833078593171187</v>
      </c>
    </row>
    <row r="19" spans="2:12" x14ac:dyDescent="0.2">
      <c r="B19" s="134"/>
      <c r="D19" s="135"/>
      <c r="E19" s="135"/>
      <c r="F19" s="135"/>
      <c r="K19" s="136"/>
      <c r="L19" s="117"/>
    </row>
    <row r="20" spans="2:12" x14ac:dyDescent="0.2">
      <c r="B20" s="118" t="s">
        <v>249</v>
      </c>
      <c r="C20" s="137" t="s">
        <v>250</v>
      </c>
      <c r="D20" s="119">
        <f>SUM(D21:D22)</f>
        <v>816309383</v>
      </c>
      <c r="E20" s="119">
        <f>SUM(E21:E22)</f>
        <v>1150403236</v>
      </c>
      <c r="F20" s="119">
        <v>1298260702</v>
      </c>
      <c r="G20" s="116"/>
      <c r="H20" s="119">
        <f>SUM(H21:H22)</f>
        <v>163261877</v>
      </c>
      <c r="I20" s="138">
        <f>SUM(I21:I22)</f>
        <v>230080647</v>
      </c>
      <c r="J20" s="138">
        <f>SUM(J21:J22)</f>
        <v>259652140</v>
      </c>
      <c r="K20" s="139">
        <f>J20-I20</f>
        <v>29571493</v>
      </c>
      <c r="L20" s="114">
        <f>K20/H20%</f>
        <v>18.112919894948899</v>
      </c>
    </row>
    <row r="21" spans="2:12" x14ac:dyDescent="0.2">
      <c r="B21" s="121" t="s">
        <v>251</v>
      </c>
      <c r="C21" s="129" t="s">
        <v>252</v>
      </c>
      <c r="D21" s="122">
        <v>816309383</v>
      </c>
      <c r="E21" s="122">
        <v>755534900</v>
      </c>
      <c r="F21" s="122">
        <v>862515087</v>
      </c>
      <c r="G21" s="123">
        <v>0.2</v>
      </c>
      <c r="H21" s="124">
        <f>ROUND(D21*G21,0)</f>
        <v>163261877</v>
      </c>
      <c r="I21" s="124">
        <f>ROUND(E21*0.2,0)</f>
        <v>151106980</v>
      </c>
      <c r="J21" s="124">
        <f>ROUND(F21*G21,0)</f>
        <v>172503017</v>
      </c>
      <c r="K21" s="127">
        <f>J21-I21</f>
        <v>21396037</v>
      </c>
      <c r="L21" s="128">
        <f>K21/I21%</f>
        <v>14.159529228894653</v>
      </c>
    </row>
    <row r="22" spans="2:12" ht="25.5" x14ac:dyDescent="0.2">
      <c r="B22" s="121" t="s">
        <v>231</v>
      </c>
      <c r="C22" s="132" t="s">
        <v>253</v>
      </c>
      <c r="D22" s="133">
        <v>0</v>
      </c>
      <c r="E22" s="124">
        <v>394868336</v>
      </c>
      <c r="F22" s="122">
        <v>435745615</v>
      </c>
      <c r="G22" s="123">
        <v>0.2</v>
      </c>
      <c r="H22" s="133">
        <f>D22*G22</f>
        <v>0</v>
      </c>
      <c r="I22" s="124">
        <f>ROUND(E22*0.2,0)</f>
        <v>78973667</v>
      </c>
      <c r="J22" s="124">
        <f>ROUND(F22*G22,0)</f>
        <v>87149123</v>
      </c>
      <c r="K22" s="127">
        <f>J22-I22</f>
        <v>8175456</v>
      </c>
      <c r="L22" s="128">
        <f>K22/I22%</f>
        <v>10.352129147048471</v>
      </c>
    </row>
    <row r="24" spans="2:12" ht="25.5" x14ac:dyDescent="0.2">
      <c r="B24" s="140" t="s">
        <v>254</v>
      </c>
      <c r="C24" s="141" t="s">
        <v>255</v>
      </c>
      <c r="D24" s="138">
        <f>SUM(D25:D27)</f>
        <v>6833399298</v>
      </c>
      <c r="E24" s="138">
        <f>SUM(E25:E27)</f>
        <v>6793985467</v>
      </c>
      <c r="F24" s="138">
        <v>7670847065</v>
      </c>
      <c r="H24" s="138">
        <f>SUM(H25:H27)</f>
        <v>6833399298</v>
      </c>
      <c r="I24" s="138">
        <f>SUM(I25:I27)</f>
        <v>6793985467</v>
      </c>
      <c r="J24" s="138">
        <f>SUM(J25:J27)</f>
        <v>7670847065</v>
      </c>
      <c r="K24" s="139">
        <f>J24-I24</f>
        <v>876861598</v>
      </c>
      <c r="L24" s="114">
        <f>K24/H24%</f>
        <v>12.831997074379071</v>
      </c>
    </row>
    <row r="25" spans="2:12" ht="25.5" x14ac:dyDescent="0.2">
      <c r="B25" s="121" t="s">
        <v>229</v>
      </c>
      <c r="C25" s="132" t="s">
        <v>256</v>
      </c>
      <c r="D25" s="124">
        <v>2807463466</v>
      </c>
      <c r="E25" s="124">
        <v>2775914650</v>
      </c>
      <c r="F25" s="124">
        <v>3056081121</v>
      </c>
      <c r="G25" s="123">
        <v>1</v>
      </c>
      <c r="H25" s="124">
        <f t="shared" ref="H25:I27" si="3">D25</f>
        <v>2807463466</v>
      </c>
      <c r="I25" s="124">
        <f t="shared" si="3"/>
        <v>2775914650</v>
      </c>
      <c r="J25" s="124">
        <f>ROUND(F25,0)</f>
        <v>3056081121</v>
      </c>
      <c r="K25" s="133">
        <f>J25-I25</f>
        <v>280166471</v>
      </c>
      <c r="L25" s="133">
        <f>K25/I25%</f>
        <v>10.092762434176425</v>
      </c>
    </row>
    <row r="26" spans="2:12" ht="25.5" x14ac:dyDescent="0.2">
      <c r="B26" s="121" t="s">
        <v>231</v>
      </c>
      <c r="C26" s="132" t="s">
        <v>257</v>
      </c>
      <c r="D26" s="124">
        <v>3204843373</v>
      </c>
      <c r="E26" s="124">
        <v>3150493647</v>
      </c>
      <c r="F26" s="124">
        <v>3609900880</v>
      </c>
      <c r="G26" s="123">
        <v>1</v>
      </c>
      <c r="H26" s="124">
        <f t="shared" si="3"/>
        <v>3204843373</v>
      </c>
      <c r="I26" s="124">
        <f t="shared" si="3"/>
        <v>3150493647</v>
      </c>
      <c r="J26" s="124">
        <f>ROUND(F26,0)</f>
        <v>3609900880</v>
      </c>
      <c r="K26" s="127">
        <f>J26-I26</f>
        <v>459407233</v>
      </c>
      <c r="L26" s="128">
        <f>K26/I26%</f>
        <v>14.582071398158893</v>
      </c>
    </row>
    <row r="27" spans="2:12" ht="25.5" x14ac:dyDescent="0.2">
      <c r="B27" s="121" t="s">
        <v>233</v>
      </c>
      <c r="C27" s="132" t="s">
        <v>258</v>
      </c>
      <c r="D27" s="124">
        <v>821092459</v>
      </c>
      <c r="E27" s="124">
        <v>867577170</v>
      </c>
      <c r="F27" s="124">
        <v>1004865064</v>
      </c>
      <c r="G27" s="123">
        <v>0.05</v>
      </c>
      <c r="H27" s="124">
        <f t="shared" si="3"/>
        <v>821092459</v>
      </c>
      <c r="I27" s="124">
        <f t="shared" si="3"/>
        <v>867577170</v>
      </c>
      <c r="J27" s="124">
        <f>ROUND(F27,0)</f>
        <v>1004865064</v>
      </c>
      <c r="K27" s="127">
        <f>J27-I27</f>
        <v>137287894</v>
      </c>
      <c r="L27" s="128">
        <f>K27/I27%</f>
        <v>15.824286155432146</v>
      </c>
    </row>
    <row r="28" spans="2:12" x14ac:dyDescent="0.2">
      <c r="F28" s="106"/>
      <c r="G28" s="106"/>
    </row>
    <row r="29" spans="2:12" x14ac:dyDescent="0.2">
      <c r="J29" s="104">
        <f>J8+J20</f>
        <v>7276498522</v>
      </c>
    </row>
    <row r="40" spans="3:15" x14ac:dyDescent="0.2">
      <c r="C40" s="104" t="s">
        <v>259</v>
      </c>
      <c r="D40" s="104">
        <f>I8*0.45</f>
        <v>2761474993.6500001</v>
      </c>
      <c r="H40" s="106">
        <f>100-0.65</f>
        <v>99.35</v>
      </c>
    </row>
    <row r="41" spans="3:15" x14ac:dyDescent="0.2">
      <c r="C41" s="104" t="s">
        <v>260</v>
      </c>
      <c r="D41" s="104">
        <f>I8*0.45</f>
        <v>2761474993.6500001</v>
      </c>
    </row>
    <row r="42" spans="3:15" x14ac:dyDescent="0.2">
      <c r="C42" s="104" t="s">
        <v>261</v>
      </c>
      <c r="D42" s="104">
        <f>I8*0.1</f>
        <v>613661109.70000005</v>
      </c>
    </row>
    <row r="43" spans="3:15" x14ac:dyDescent="0.2">
      <c r="C43" s="104" t="s">
        <v>15</v>
      </c>
      <c r="D43" s="104">
        <f>SUM(D40:D42)</f>
        <v>6136611097</v>
      </c>
    </row>
    <row r="46" spans="3:15" x14ac:dyDescent="0.2">
      <c r="C46" s="748" t="s">
        <v>262</v>
      </c>
      <c r="D46" s="748"/>
      <c r="E46" s="748"/>
      <c r="F46" s="748"/>
      <c r="G46" s="748"/>
      <c r="H46" s="748"/>
      <c r="L46" s="104" t="s">
        <v>263</v>
      </c>
    </row>
    <row r="47" spans="3:15" x14ac:dyDescent="0.2">
      <c r="C47" s="142" t="s">
        <v>264</v>
      </c>
      <c r="D47" s="143" t="s">
        <v>265</v>
      </c>
      <c r="E47" s="143" t="s">
        <v>266</v>
      </c>
      <c r="F47" s="143" t="s">
        <v>267</v>
      </c>
      <c r="G47" s="143"/>
      <c r="K47" s="104" t="s">
        <v>268</v>
      </c>
      <c r="L47" s="104">
        <v>14066310</v>
      </c>
      <c r="M47" s="104">
        <v>1969283</v>
      </c>
      <c r="N47" s="104">
        <f t="shared" ref="N47:N52" si="4">M47/20*100</f>
        <v>9846415</v>
      </c>
      <c r="O47" s="104">
        <f t="shared" ref="O47:O52" si="5">N47/0.7*1</f>
        <v>14066307.142857144</v>
      </c>
    </row>
    <row r="48" spans="3:15" x14ac:dyDescent="0.2">
      <c r="C48" s="142"/>
      <c r="D48" s="144">
        <v>1</v>
      </c>
      <c r="E48" s="144">
        <v>2</v>
      </c>
      <c r="F48" s="143" t="s">
        <v>269</v>
      </c>
      <c r="G48" s="143"/>
      <c r="K48" s="104" t="s">
        <v>270</v>
      </c>
      <c r="L48" s="104">
        <v>4577305</v>
      </c>
      <c r="M48" s="104">
        <v>640824</v>
      </c>
      <c r="N48" s="104">
        <f t="shared" si="4"/>
        <v>3204120</v>
      </c>
      <c r="O48" s="104">
        <f t="shared" si="5"/>
        <v>4577314.2857142864</v>
      </c>
    </row>
    <row r="49" spans="3:15" x14ac:dyDescent="0.2">
      <c r="C49" s="132" t="s">
        <v>271</v>
      </c>
      <c r="D49" s="145">
        <v>13281494041</v>
      </c>
      <c r="E49" s="145">
        <v>13687589666.1077</v>
      </c>
      <c r="F49" s="145">
        <v>406095625.10769802</v>
      </c>
      <c r="G49" s="142"/>
      <c r="K49" s="104" t="s">
        <v>272</v>
      </c>
      <c r="L49" s="104">
        <v>3987612</v>
      </c>
      <c r="M49" s="104">
        <v>558266</v>
      </c>
      <c r="N49" s="104">
        <f t="shared" si="4"/>
        <v>2791330</v>
      </c>
      <c r="O49" s="104">
        <f t="shared" si="5"/>
        <v>3987614.2857142859</v>
      </c>
    </row>
    <row r="50" spans="3:15" x14ac:dyDescent="0.2">
      <c r="C50" s="132" t="s">
        <v>273</v>
      </c>
      <c r="D50" s="145">
        <v>860208332</v>
      </c>
      <c r="E50" s="145">
        <v>854616037.88893402</v>
      </c>
      <c r="F50" s="145">
        <v>-5592294.11106598</v>
      </c>
      <c r="G50" s="142"/>
      <c r="H50" s="106" t="e">
        <f>100+#REF!</f>
        <v>#REF!</v>
      </c>
      <c r="K50" s="104" t="s">
        <v>274</v>
      </c>
      <c r="L50" s="104">
        <v>8251471</v>
      </c>
      <c r="M50" s="104">
        <v>6223973</v>
      </c>
      <c r="N50" s="104">
        <f t="shared" si="4"/>
        <v>31119865.000000004</v>
      </c>
      <c r="O50" s="104">
        <f t="shared" si="5"/>
        <v>44456950.000000007</v>
      </c>
    </row>
    <row r="51" spans="3:15" x14ac:dyDescent="0.2">
      <c r="C51" s="132" t="s">
        <v>238</v>
      </c>
      <c r="D51" s="145">
        <v>668128734</v>
      </c>
      <c r="E51" s="145">
        <v>656547114</v>
      </c>
      <c r="F51" s="145">
        <v>-11581620</v>
      </c>
      <c r="G51" s="142"/>
      <c r="H51" s="106" t="e">
        <f>100+#REF!</f>
        <v>#REF!</v>
      </c>
      <c r="K51" s="104" t="s">
        <v>275</v>
      </c>
      <c r="L51" s="104">
        <v>4885080</v>
      </c>
      <c r="M51" s="104">
        <v>683911</v>
      </c>
      <c r="N51" s="104">
        <f t="shared" si="4"/>
        <v>3419555.0000000005</v>
      </c>
      <c r="O51" s="104">
        <f t="shared" si="5"/>
        <v>4885078.5714285728</v>
      </c>
    </row>
    <row r="52" spans="3:15" ht="25.5" x14ac:dyDescent="0.2">
      <c r="C52" s="132" t="s">
        <v>276</v>
      </c>
      <c r="D52" s="145">
        <v>361520662</v>
      </c>
      <c r="E52" s="145">
        <v>345098522.886365</v>
      </c>
      <c r="F52" s="145">
        <v>-16422139.113635</v>
      </c>
      <c r="G52" s="142"/>
      <c r="H52" s="106" t="e">
        <f>100+#REF!</f>
        <v>#REF!</v>
      </c>
      <c r="K52" s="104" t="s">
        <v>277</v>
      </c>
      <c r="L52" s="104">
        <v>8721412</v>
      </c>
      <c r="M52" s="104">
        <v>1220998</v>
      </c>
      <c r="N52" s="104">
        <f t="shared" si="4"/>
        <v>6104990</v>
      </c>
      <c r="O52" s="104">
        <f t="shared" si="5"/>
        <v>8721414.2857142854</v>
      </c>
    </row>
    <row r="53" spans="3:15" x14ac:dyDescent="0.2">
      <c r="C53" s="132" t="s">
        <v>278</v>
      </c>
      <c r="D53" s="145">
        <v>1178329502</v>
      </c>
      <c r="E53" s="145">
        <v>1455807748</v>
      </c>
      <c r="F53" s="145">
        <v>277478246</v>
      </c>
      <c r="G53" s="142"/>
      <c r="K53" s="104" t="s">
        <v>279</v>
      </c>
      <c r="L53" s="104">
        <v>8455886</v>
      </c>
    </row>
    <row r="54" spans="3:15" x14ac:dyDescent="0.2">
      <c r="C54" s="132" t="s">
        <v>280</v>
      </c>
      <c r="D54" s="145">
        <v>45966774</v>
      </c>
      <c r="E54" s="145">
        <v>45966774</v>
      </c>
      <c r="F54" s="145">
        <v>0</v>
      </c>
      <c r="G54" s="142"/>
      <c r="K54" s="138" t="s">
        <v>15</v>
      </c>
      <c r="L54" s="104">
        <f>SUM(L47:L53)</f>
        <v>52945076</v>
      </c>
    </row>
    <row r="55" spans="3:15" x14ac:dyDescent="0.2">
      <c r="C55" s="132" t="s">
        <v>281</v>
      </c>
      <c r="D55" s="145">
        <v>103500034</v>
      </c>
      <c r="E55" s="145">
        <v>138555969</v>
      </c>
      <c r="F55" s="145">
        <v>35055935</v>
      </c>
      <c r="G55" s="142"/>
      <c r="H55" s="106" t="e">
        <f>100+#REF!</f>
        <v>#REF!</v>
      </c>
    </row>
    <row r="56" spans="3:15" ht="25.5" x14ac:dyDescent="0.2">
      <c r="C56" s="132" t="s">
        <v>282</v>
      </c>
      <c r="D56" s="145">
        <v>15928163</v>
      </c>
      <c r="E56" s="145">
        <v>52945076</v>
      </c>
      <c r="F56" s="145">
        <v>37016913</v>
      </c>
      <c r="G56" s="142"/>
      <c r="H56" s="106" t="e">
        <f>100+#REF!</f>
        <v>#REF!</v>
      </c>
    </row>
    <row r="57" spans="3:15" ht="25.5" x14ac:dyDescent="0.2">
      <c r="C57" s="132" t="s">
        <v>283</v>
      </c>
      <c r="D57" s="145">
        <v>232065722</v>
      </c>
      <c r="E57" s="145">
        <v>172861114</v>
      </c>
      <c r="F57" s="145">
        <v>-59204608</v>
      </c>
      <c r="G57" s="142"/>
      <c r="H57" s="106" t="e">
        <f>100+#REF!</f>
        <v>#REF!</v>
      </c>
    </row>
    <row r="58" spans="3:15" x14ac:dyDescent="0.2">
      <c r="C58" s="132" t="s">
        <v>284</v>
      </c>
      <c r="D58" s="145">
        <v>444030923</v>
      </c>
      <c r="E58" s="145">
        <v>398941145</v>
      </c>
      <c r="F58" s="145">
        <v>-45089778</v>
      </c>
      <c r="G58" s="142"/>
      <c r="H58" s="106" t="e">
        <f>100+#REF!</f>
        <v>#REF!</v>
      </c>
      <c r="M58" s="106">
        <f>M50/L50%</f>
        <v>75.428647813220209</v>
      </c>
    </row>
    <row r="59" spans="3:15" x14ac:dyDescent="0.2">
      <c r="C59" s="146" t="s">
        <v>191</v>
      </c>
      <c r="D59" s="146">
        <v>17191172888</v>
      </c>
      <c r="E59" s="146">
        <v>17808929168.882999</v>
      </c>
      <c r="F59" s="146">
        <v>617756280.88299596</v>
      </c>
      <c r="G59" s="146"/>
    </row>
    <row r="61" spans="3:15" x14ac:dyDescent="0.2">
      <c r="L61" s="104">
        <v>5068766</v>
      </c>
    </row>
    <row r="62" spans="3:15" x14ac:dyDescent="0.2">
      <c r="F62" s="104">
        <f>400/7*12</f>
        <v>685.71428571428578</v>
      </c>
      <c r="L62" s="104">
        <f>L50*0.2</f>
        <v>1650294.2000000002</v>
      </c>
    </row>
    <row r="63" spans="3:15" x14ac:dyDescent="0.2">
      <c r="L63" s="104">
        <f>L61+L62</f>
        <v>6719060.2000000002</v>
      </c>
    </row>
    <row r="78" spans="1:1" x14ac:dyDescent="0.2">
      <c r="A78" s="104" t="s">
        <v>285</v>
      </c>
    </row>
    <row r="79" spans="1:1" x14ac:dyDescent="0.2">
      <c r="A79" s="104" t="s">
        <v>286</v>
      </c>
    </row>
    <row r="80" spans="1:1" x14ac:dyDescent="0.2">
      <c r="A80" s="104" t="s">
        <v>287</v>
      </c>
    </row>
    <row r="81" spans="1:18" x14ac:dyDescent="0.2">
      <c r="A81" s="138"/>
    </row>
    <row r="82" spans="1:18" x14ac:dyDescent="0.2">
      <c r="B82" s="147" t="s">
        <v>191</v>
      </c>
      <c r="C82" s="147" t="s">
        <v>268</v>
      </c>
      <c r="D82" s="147" t="s">
        <v>288</v>
      </c>
      <c r="E82" s="147" t="s">
        <v>272</v>
      </c>
      <c r="F82" s="147"/>
      <c r="G82" s="147"/>
      <c r="H82" s="147"/>
      <c r="I82" s="147"/>
      <c r="J82" s="147"/>
      <c r="K82" s="147" t="s">
        <v>279</v>
      </c>
      <c r="L82" s="147" t="s">
        <v>289</v>
      </c>
      <c r="M82" s="148" t="s">
        <v>290</v>
      </c>
      <c r="N82" s="147" t="s">
        <v>291</v>
      </c>
      <c r="O82" s="147" t="s">
        <v>292</v>
      </c>
      <c r="P82" s="147" t="s">
        <v>293</v>
      </c>
    </row>
    <row r="83" spans="1:18" x14ac:dyDescent="0.2">
      <c r="A83" s="149" t="s">
        <v>294</v>
      </c>
      <c r="B83" s="150">
        <v>21689429248</v>
      </c>
      <c r="C83" s="150">
        <v>1573293025</v>
      </c>
      <c r="D83" s="150">
        <v>2158469695</v>
      </c>
      <c r="E83" s="150">
        <v>1714753076</v>
      </c>
      <c r="F83" s="150"/>
      <c r="G83" s="150"/>
      <c r="H83" s="150">
        <v>1850673177</v>
      </c>
      <c r="I83" s="150">
        <v>1924957722</v>
      </c>
      <c r="J83" s="150"/>
      <c r="K83" s="150">
        <v>1807333619</v>
      </c>
      <c r="L83" s="150">
        <v>1824573776</v>
      </c>
      <c r="M83" s="151">
        <v>1704243722</v>
      </c>
      <c r="N83" s="150">
        <v>1537047088</v>
      </c>
      <c r="O83" s="150">
        <v>1683021813</v>
      </c>
      <c r="P83" s="150">
        <v>1659048808</v>
      </c>
      <c r="Q83" s="104" t="s">
        <v>295</v>
      </c>
      <c r="R83" s="104" t="e">
        <f>#REF!-Q83</f>
        <v>#REF!</v>
      </c>
    </row>
    <row r="84" spans="1:18" ht="25.5" x14ac:dyDescent="0.2">
      <c r="A84" s="152" t="s">
        <v>296</v>
      </c>
      <c r="B84" s="150">
        <v>1404627573</v>
      </c>
      <c r="C84" s="150">
        <v>101855752</v>
      </c>
      <c r="D84" s="150">
        <v>139832719</v>
      </c>
      <c r="E84" s="150">
        <v>111036267</v>
      </c>
      <c r="F84" s="150"/>
      <c r="G84" s="150"/>
      <c r="H84" s="150">
        <v>119857250</v>
      </c>
      <c r="I84" s="150">
        <v>124678190</v>
      </c>
      <c r="J84" s="150"/>
      <c r="K84" s="150">
        <v>117044587</v>
      </c>
      <c r="L84" s="150">
        <v>118163443</v>
      </c>
      <c r="M84" s="151">
        <v>110354228</v>
      </c>
      <c r="N84" s="150">
        <v>99503452</v>
      </c>
      <c r="O84" s="150">
        <v>108976963</v>
      </c>
      <c r="P84" s="150">
        <v>107421155</v>
      </c>
      <c r="Q84" s="104" t="s">
        <v>295</v>
      </c>
      <c r="R84" s="104" t="e">
        <f>#REF!-Q84</f>
        <v>#REF!</v>
      </c>
    </row>
    <row r="85" spans="1:18" ht="38.25" x14ac:dyDescent="0.2">
      <c r="A85" s="152" t="s">
        <v>297</v>
      </c>
      <c r="B85" s="150">
        <v>611672126</v>
      </c>
      <c r="C85" s="150">
        <v>48518433</v>
      </c>
      <c r="D85" s="150">
        <v>69506118</v>
      </c>
      <c r="E85" s="150">
        <v>57910429</v>
      </c>
      <c r="F85" s="150"/>
      <c r="G85" s="150"/>
      <c r="H85" s="150">
        <v>46060500</v>
      </c>
      <c r="I85" s="150">
        <v>49054539</v>
      </c>
      <c r="J85" s="150"/>
      <c r="K85" s="150">
        <v>50260290</v>
      </c>
      <c r="L85" s="150">
        <v>55123687</v>
      </c>
      <c r="M85" s="151">
        <v>55031134</v>
      </c>
      <c r="N85" s="150">
        <v>48020302</v>
      </c>
      <c r="O85" s="150">
        <v>46099818</v>
      </c>
      <c r="P85" s="150">
        <v>45876523</v>
      </c>
      <c r="Q85" s="104" t="s">
        <v>295</v>
      </c>
      <c r="R85" s="104" t="e">
        <f>#REF!-Q85</f>
        <v>#REF!</v>
      </c>
    </row>
    <row r="86" spans="1:18" ht="38.25" x14ac:dyDescent="0.2">
      <c r="A86" s="152" t="s">
        <v>298</v>
      </c>
      <c r="B86" s="150">
        <v>1005964586</v>
      </c>
      <c r="C86" s="150">
        <v>104571136</v>
      </c>
      <c r="D86" s="150">
        <v>51866506</v>
      </c>
      <c r="E86" s="150">
        <v>51866506</v>
      </c>
      <c r="F86" s="150"/>
      <c r="G86" s="150"/>
      <c r="H86" s="150">
        <v>51866506</v>
      </c>
      <c r="I86" s="150">
        <v>51866506</v>
      </c>
      <c r="J86" s="150"/>
      <c r="K86" s="150">
        <v>174049770</v>
      </c>
      <c r="L86" s="150">
        <v>51866506</v>
      </c>
      <c r="M86" s="151">
        <v>51866506</v>
      </c>
      <c r="N86" s="150">
        <v>130369828</v>
      </c>
      <c r="O86" s="150">
        <v>51866506</v>
      </c>
      <c r="P86" s="150">
        <v>51866506</v>
      </c>
      <c r="Q86" s="104" t="s">
        <v>295</v>
      </c>
      <c r="R86" s="104" t="e">
        <f>#REF!-Q86</f>
        <v>#REF!</v>
      </c>
    </row>
    <row r="87" spans="1:18" ht="38.25" x14ac:dyDescent="0.2">
      <c r="A87" s="152" t="s">
        <v>240</v>
      </c>
      <c r="B87" s="150">
        <v>78800184</v>
      </c>
      <c r="C87" s="150">
        <v>6566682</v>
      </c>
      <c r="D87" s="150">
        <v>6566682</v>
      </c>
      <c r="E87" s="150">
        <v>6566682</v>
      </c>
      <c r="F87" s="150"/>
      <c r="G87" s="150"/>
      <c r="H87" s="150">
        <v>6566682</v>
      </c>
      <c r="I87" s="150">
        <v>6566682</v>
      </c>
      <c r="J87" s="150"/>
      <c r="K87" s="150">
        <v>6566682</v>
      </c>
      <c r="L87" s="150">
        <v>6566682</v>
      </c>
      <c r="M87" s="151">
        <v>6566682</v>
      </c>
      <c r="N87" s="150">
        <v>6566682</v>
      </c>
      <c r="O87" s="150">
        <v>6566682</v>
      </c>
      <c r="P87" s="150">
        <v>6566682</v>
      </c>
      <c r="Q87" s="104" t="s">
        <v>295</v>
      </c>
      <c r="R87" s="104" t="e">
        <f>#REF!-Q87</f>
        <v>#REF!</v>
      </c>
    </row>
    <row r="88" spans="1:18" ht="25.5" x14ac:dyDescent="0.2">
      <c r="A88" s="152" t="s">
        <v>299</v>
      </c>
      <c r="B88" s="150">
        <v>185137004</v>
      </c>
      <c r="C88" s="150">
        <v>26108033</v>
      </c>
      <c r="D88" s="150">
        <v>15278371</v>
      </c>
      <c r="E88" s="150">
        <v>11923567</v>
      </c>
      <c r="F88" s="150"/>
      <c r="G88" s="150"/>
      <c r="H88" s="150">
        <v>13127161</v>
      </c>
      <c r="I88" s="150">
        <v>11839881</v>
      </c>
      <c r="J88" s="150"/>
      <c r="K88" s="150">
        <v>13651426</v>
      </c>
      <c r="L88" s="150">
        <v>14825485</v>
      </c>
      <c r="M88" s="151">
        <v>15330060</v>
      </c>
      <c r="N88" s="150">
        <v>16491811</v>
      </c>
      <c r="O88" s="150">
        <v>16454891</v>
      </c>
      <c r="P88" s="150">
        <v>18534723</v>
      </c>
      <c r="Q88" s="104" t="s">
        <v>295</v>
      </c>
      <c r="R88" s="104" t="e">
        <f>#REF!-Q88</f>
        <v>#REF!</v>
      </c>
    </row>
    <row r="89" spans="1:18" ht="38.25" x14ac:dyDescent="0.2">
      <c r="A89" s="152" t="s">
        <v>253</v>
      </c>
      <c r="B89" s="150">
        <v>394868336</v>
      </c>
      <c r="C89" s="150">
        <v>31050166</v>
      </c>
      <c r="D89" s="150">
        <v>33193187</v>
      </c>
      <c r="E89" s="150">
        <v>31243402</v>
      </c>
      <c r="F89" s="150"/>
      <c r="G89" s="150"/>
      <c r="H89" s="150">
        <v>33917392</v>
      </c>
      <c r="I89" s="150">
        <v>35148994</v>
      </c>
      <c r="J89" s="150"/>
      <c r="K89" s="150">
        <v>33093815</v>
      </c>
      <c r="L89" s="150">
        <v>34355529</v>
      </c>
      <c r="M89" s="151">
        <v>33807482</v>
      </c>
      <c r="N89" s="150">
        <v>30874524</v>
      </c>
      <c r="O89" s="150">
        <v>32491565</v>
      </c>
      <c r="P89" s="150">
        <v>31273514</v>
      </c>
      <c r="Q89" s="104" t="s">
        <v>295</v>
      </c>
      <c r="R89" s="104" t="e">
        <f>#REF!-Q89</f>
        <v>#REF!</v>
      </c>
    </row>
    <row r="90" spans="1:18" ht="25.5" x14ac:dyDescent="0.2">
      <c r="A90" s="152" t="s">
        <v>300</v>
      </c>
      <c r="B90" s="150">
        <v>755534900</v>
      </c>
      <c r="C90" s="150">
        <v>59410902</v>
      </c>
      <c r="D90" s="150">
        <v>63511324</v>
      </c>
      <c r="E90" s="150">
        <v>59780637</v>
      </c>
      <c r="F90" s="150"/>
      <c r="G90" s="150"/>
      <c r="H90" s="150">
        <v>64897008</v>
      </c>
      <c r="I90" s="150">
        <v>67253535</v>
      </c>
      <c r="J90" s="150"/>
      <c r="K90" s="150">
        <v>63321189</v>
      </c>
      <c r="L90" s="150">
        <v>65735333</v>
      </c>
      <c r="M90" s="151">
        <v>64686707</v>
      </c>
      <c r="N90" s="150">
        <v>59074831</v>
      </c>
      <c r="O90" s="150">
        <v>62168853</v>
      </c>
      <c r="P90" s="150">
        <v>59838253</v>
      </c>
      <c r="Q90" s="104" t="s">
        <v>295</v>
      </c>
      <c r="R90" s="104" t="e">
        <f>#REF!-Q90</f>
        <v>#REF!</v>
      </c>
    </row>
    <row r="91" spans="1:18" x14ac:dyDescent="0.2">
      <c r="A91" s="152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1"/>
      <c r="N91" s="150"/>
      <c r="O91" s="150"/>
      <c r="P91" s="150"/>
      <c r="Q91" s="104" t="s">
        <v>295</v>
      </c>
      <c r="R91" s="104" t="e">
        <f>#REF!-Q91</f>
        <v>#REF!</v>
      </c>
    </row>
    <row r="92" spans="1:18" ht="76.5" x14ac:dyDescent="0.2">
      <c r="A92" s="152" t="s">
        <v>301</v>
      </c>
      <c r="B92" s="153">
        <v>49000000</v>
      </c>
      <c r="C92" s="153">
        <v>2116100</v>
      </c>
      <c r="D92" s="153">
        <v>2147268</v>
      </c>
      <c r="E92" s="153">
        <v>2118320</v>
      </c>
      <c r="F92" s="153"/>
      <c r="G92" s="153"/>
      <c r="H92" s="153">
        <v>2921302</v>
      </c>
      <c r="I92" s="153">
        <v>2102687</v>
      </c>
      <c r="J92" s="153"/>
      <c r="K92" s="153">
        <v>2416574</v>
      </c>
      <c r="L92" s="153">
        <v>2414087</v>
      </c>
      <c r="M92" s="154">
        <v>2411029</v>
      </c>
      <c r="N92" s="153">
        <v>2105567</v>
      </c>
      <c r="O92" s="153">
        <v>8754173</v>
      </c>
      <c r="P92" s="153">
        <v>17386981</v>
      </c>
      <c r="Q92" s="104" t="s">
        <v>295</v>
      </c>
      <c r="R92" s="104" t="e">
        <f>#REF!-Q92</f>
        <v>#REF!</v>
      </c>
    </row>
    <row r="93" spans="1:18" x14ac:dyDescent="0.2">
      <c r="A93" s="155" t="s">
        <v>15</v>
      </c>
      <c r="B93" s="156">
        <f>SUM(B83:B92)</f>
        <v>26175033957</v>
      </c>
      <c r="C93" s="156">
        <f>SUM(C83:C92)</f>
        <v>1953490229</v>
      </c>
      <c r="D93" s="156">
        <f>SUM(D83:D92)</f>
        <v>2540371870</v>
      </c>
      <c r="E93" s="156">
        <f>SUM(E83:E92)</f>
        <v>2047198886</v>
      </c>
      <c r="F93" s="156"/>
      <c r="G93" s="156"/>
      <c r="H93" s="156">
        <f>SUM(H83:H92)</f>
        <v>2189886978</v>
      </c>
      <c r="I93" s="156">
        <f>SUM(I83:I92)</f>
        <v>2273468736</v>
      </c>
      <c r="J93" s="156"/>
      <c r="K93" s="156">
        <f t="shared" ref="K93:P93" si="6">SUM(K83:K92)</f>
        <v>2267737952</v>
      </c>
      <c r="L93" s="156">
        <f t="shared" si="6"/>
        <v>2173624528</v>
      </c>
      <c r="M93" s="157">
        <f t="shared" si="6"/>
        <v>2044297550</v>
      </c>
      <c r="N93" s="156">
        <f t="shared" si="6"/>
        <v>1930054085</v>
      </c>
      <c r="O93" s="156">
        <f t="shared" si="6"/>
        <v>2016401264</v>
      </c>
      <c r="P93" s="156">
        <f t="shared" si="6"/>
        <v>1997813145</v>
      </c>
      <c r="Q93" s="104" t="s">
        <v>295</v>
      </c>
      <c r="R93" s="104" t="e">
        <f>#REF!-Q93</f>
        <v>#REF!</v>
      </c>
    </row>
    <row r="94" spans="1:18" ht="25.5" x14ac:dyDescent="0.2">
      <c r="A94" s="152" t="s">
        <v>302</v>
      </c>
      <c r="B94" s="150">
        <v>241372190</v>
      </c>
      <c r="C94" s="150">
        <v>17502964</v>
      </c>
      <c r="D94" s="150">
        <v>24028953</v>
      </c>
      <c r="E94" s="150">
        <v>19080550</v>
      </c>
      <c r="F94" s="150"/>
      <c r="G94" s="150"/>
      <c r="H94" s="150">
        <v>20596354</v>
      </c>
      <c r="I94" s="150">
        <v>21424788</v>
      </c>
      <c r="J94" s="150"/>
      <c r="K94" s="150">
        <v>20113024</v>
      </c>
      <c r="L94" s="150">
        <v>20305289</v>
      </c>
      <c r="M94" s="151">
        <v>18963348</v>
      </c>
      <c r="N94" s="150">
        <v>17098743</v>
      </c>
      <c r="O94" s="150">
        <v>18726678</v>
      </c>
      <c r="P94" s="150">
        <v>18459327</v>
      </c>
      <c r="Q94" s="104" t="s">
        <v>295</v>
      </c>
      <c r="R94" s="104" t="e">
        <f>#REF!-Q94</f>
        <v>#REF!</v>
      </c>
    </row>
    <row r="95" spans="1:18" x14ac:dyDescent="0.2">
      <c r="A95" s="152" t="s">
        <v>236</v>
      </c>
      <c r="B95" s="150">
        <v>2029146107</v>
      </c>
      <c r="C95" s="150">
        <v>203193360</v>
      </c>
      <c r="D95" s="150">
        <v>208843145</v>
      </c>
      <c r="E95" s="150">
        <v>153681324</v>
      </c>
      <c r="F95" s="150"/>
      <c r="G95" s="150"/>
      <c r="H95" s="150">
        <v>144581621</v>
      </c>
      <c r="I95" s="150">
        <v>150472919</v>
      </c>
      <c r="J95" s="150"/>
      <c r="K95" s="150">
        <v>155366341</v>
      </c>
      <c r="L95" s="150">
        <v>187483635</v>
      </c>
      <c r="M95" s="151">
        <v>178690827</v>
      </c>
      <c r="N95" s="150">
        <v>126268654</v>
      </c>
      <c r="O95" s="150">
        <v>201638888</v>
      </c>
      <c r="P95" s="150">
        <v>156734601</v>
      </c>
      <c r="Q95" s="104" t="s">
        <v>295</v>
      </c>
      <c r="R95" s="104" t="e">
        <f>#REF!-Q95</f>
        <v>#REF!</v>
      </c>
    </row>
    <row r="96" spans="1:18" x14ac:dyDescent="0.2">
      <c r="A96" s="153" t="s">
        <v>303</v>
      </c>
      <c r="B96" s="150">
        <v>35593203</v>
      </c>
      <c r="C96" s="150">
        <v>3970827</v>
      </c>
      <c r="D96" s="150">
        <v>3082589</v>
      </c>
      <c r="E96" s="150">
        <v>3765449</v>
      </c>
      <c r="F96" s="150"/>
      <c r="G96" s="150"/>
      <c r="H96" s="150">
        <v>3310249</v>
      </c>
      <c r="I96" s="150">
        <v>2340626</v>
      </c>
      <c r="J96" s="150"/>
      <c r="K96" s="150">
        <v>3904199</v>
      </c>
      <c r="L96" s="150">
        <v>1893313</v>
      </c>
      <c r="M96" s="151">
        <v>3806844</v>
      </c>
      <c r="N96" s="150">
        <v>1916467</v>
      </c>
      <c r="O96" s="150">
        <v>3583085</v>
      </c>
      <c r="P96" s="150">
        <v>2248509</v>
      </c>
      <c r="Q96" s="104" t="s">
        <v>295</v>
      </c>
      <c r="R96" s="104" t="e">
        <f>#REF!-Q96</f>
        <v>#REF!</v>
      </c>
    </row>
    <row r="97" spans="1:18" x14ac:dyDescent="0.2">
      <c r="A97" s="153" t="s">
        <v>304</v>
      </c>
      <c r="B97" s="150">
        <v>397359418</v>
      </c>
      <c r="C97" s="150">
        <v>17160367</v>
      </c>
      <c r="D97" s="150">
        <v>25966540</v>
      </c>
      <c r="E97" s="150">
        <v>35872278</v>
      </c>
      <c r="F97" s="150"/>
      <c r="G97" s="150"/>
      <c r="H97" s="150">
        <v>35123952</v>
      </c>
      <c r="I97" s="150">
        <v>39434114</v>
      </c>
      <c r="J97" s="150"/>
      <c r="K97" s="150">
        <v>34185925</v>
      </c>
      <c r="L97" s="150">
        <v>39486794</v>
      </c>
      <c r="M97" s="151">
        <v>32348644</v>
      </c>
      <c r="N97" s="150">
        <v>40902745</v>
      </c>
      <c r="O97" s="150">
        <v>36194482</v>
      </c>
      <c r="P97" s="150">
        <v>26394193</v>
      </c>
      <c r="Q97" s="104" t="s">
        <v>295</v>
      </c>
      <c r="R97" s="104" t="e">
        <f>#REF!-Q97</f>
        <v>#REF!</v>
      </c>
    </row>
    <row r="98" spans="1:18" x14ac:dyDescent="0.2">
      <c r="A98" s="155" t="s">
        <v>15</v>
      </c>
      <c r="B98" s="156">
        <f>SUM(B94:B97)</f>
        <v>2703470918</v>
      </c>
      <c r="C98" s="156">
        <f>SUM(C94:C97)</f>
        <v>241827518</v>
      </c>
      <c r="D98" s="156">
        <f>SUM(D94:D97)</f>
        <v>261921227</v>
      </c>
      <c r="E98" s="156">
        <f>SUM(E94:E97)</f>
        <v>212399601</v>
      </c>
      <c r="F98" s="156"/>
      <c r="G98" s="156"/>
      <c r="H98" s="156">
        <f>SUM(H94:H97)</f>
        <v>203612176</v>
      </c>
      <c r="I98" s="156">
        <f>SUM(I94:I97)</f>
        <v>213672447</v>
      </c>
      <c r="J98" s="156"/>
      <c r="K98" s="156">
        <f t="shared" ref="K98:P98" si="7">SUM(K94:K97)</f>
        <v>213569489</v>
      </c>
      <c r="L98" s="156">
        <f t="shared" si="7"/>
        <v>249169031</v>
      </c>
      <c r="M98" s="157">
        <f t="shared" si="7"/>
        <v>233809663</v>
      </c>
      <c r="N98" s="156">
        <f t="shared" si="7"/>
        <v>186186609</v>
      </c>
      <c r="O98" s="156">
        <f t="shared" si="7"/>
        <v>260143133</v>
      </c>
      <c r="P98" s="156">
        <f t="shared" si="7"/>
        <v>203836630</v>
      </c>
    </row>
    <row r="99" spans="1:18" x14ac:dyDescent="0.2">
      <c r="A99" s="156" t="s">
        <v>305</v>
      </c>
      <c r="B99" s="158">
        <f>B93+B98</f>
        <v>28878504875</v>
      </c>
      <c r="C99" s="158">
        <f>C93+C98</f>
        <v>2195317747</v>
      </c>
      <c r="D99" s="158">
        <f>D93+D98</f>
        <v>2802293097</v>
      </c>
      <c r="E99" s="158">
        <f>E93+E98</f>
        <v>2259598487</v>
      </c>
      <c r="F99" s="158"/>
      <c r="G99" s="158"/>
      <c r="H99" s="158">
        <f>H93+H98</f>
        <v>2393499154</v>
      </c>
      <c r="I99" s="158">
        <f>I93+I98</f>
        <v>2487141183</v>
      </c>
      <c r="J99" s="158"/>
      <c r="K99" s="158">
        <f t="shared" ref="K99:P99" si="8">K93+K98</f>
        <v>2481307441</v>
      </c>
      <c r="L99" s="158">
        <f t="shared" si="8"/>
        <v>2422793559</v>
      </c>
      <c r="M99" s="159">
        <f t="shared" si="8"/>
        <v>2278107213</v>
      </c>
      <c r="N99" s="158">
        <f t="shared" si="8"/>
        <v>2116240694</v>
      </c>
      <c r="O99" s="158">
        <f t="shared" si="8"/>
        <v>2276544397</v>
      </c>
      <c r="P99" s="158">
        <f t="shared" si="8"/>
        <v>2201649775</v>
      </c>
    </row>
  </sheetData>
  <mergeCells count="1">
    <mergeCell ref="C46:H46"/>
  </mergeCells>
  <pageMargins left="0.70826771653543308" right="0.70826771653543308" top="1.1417322834645671" bottom="1.1417322834645671" header="0.74803149606299213" footer="0.74803149606299213"/>
  <pageSetup paperSize="0" fitToWidth="0" fitToHeight="0" orientation="landscape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5"/>
  <sheetViews>
    <sheetView workbookViewId="0">
      <selection activeCell="G12" sqref="G12"/>
    </sheetView>
  </sheetViews>
  <sheetFormatPr baseColWidth="10" defaultRowHeight="14.25" x14ac:dyDescent="0.2"/>
  <cols>
    <col min="1" max="1" width="3.5" style="160" customWidth="1"/>
    <col min="2" max="2" width="5.5" style="160" customWidth="1"/>
    <col min="3" max="3" width="23.25" style="160" customWidth="1"/>
    <col min="4" max="4" width="14.25" style="160" customWidth="1"/>
    <col min="5" max="5" width="13.5" style="160" customWidth="1"/>
    <col min="6" max="6" width="10.625" style="160" customWidth="1"/>
    <col min="7" max="7" width="13.75" style="160" customWidth="1"/>
    <col min="8" max="8" width="13.375" style="160" customWidth="1"/>
    <col min="9" max="9" width="11.875" style="160" customWidth="1"/>
    <col min="10" max="10" width="9.875" style="160" customWidth="1"/>
    <col min="11" max="11" width="15.5" style="162" customWidth="1"/>
    <col min="12" max="13" width="13.25" style="160" customWidth="1"/>
    <col min="14" max="14" width="12" style="160" customWidth="1"/>
    <col min="15" max="16" width="13" style="160" customWidth="1"/>
    <col min="17" max="1024" width="12.875" style="160" customWidth="1"/>
  </cols>
  <sheetData>
    <row r="1" spans="2:13" x14ac:dyDescent="0.2">
      <c r="C1" s="161" t="s">
        <v>0</v>
      </c>
    </row>
    <row r="2" spans="2:13" x14ac:dyDescent="0.2">
      <c r="C2" s="161" t="s">
        <v>163</v>
      </c>
    </row>
    <row r="4" spans="2:13" ht="36.75" customHeight="1" x14ac:dyDescent="0.2">
      <c r="B4" s="750" t="s">
        <v>207</v>
      </c>
      <c r="C4" s="751"/>
      <c r="D4" s="164" t="s">
        <v>520</v>
      </c>
      <c r="E4" s="164" t="s">
        <v>521</v>
      </c>
      <c r="F4" s="164" t="s">
        <v>211</v>
      </c>
      <c r="G4" s="164" t="s">
        <v>306</v>
      </c>
      <c r="H4" s="164" t="s">
        <v>522</v>
      </c>
      <c r="I4" s="164" t="s">
        <v>215</v>
      </c>
      <c r="J4" s="164" t="s">
        <v>216</v>
      </c>
      <c r="K4" s="162" t="s">
        <v>307</v>
      </c>
    </row>
    <row r="5" spans="2:13" x14ac:dyDescent="0.2">
      <c r="B5" s="165"/>
      <c r="C5" s="165"/>
      <c r="D5" s="166" t="s">
        <v>218</v>
      </c>
      <c r="E5" s="166" t="s">
        <v>219</v>
      </c>
      <c r="F5" s="166" t="s">
        <v>220</v>
      </c>
      <c r="G5" s="166" t="s">
        <v>222</v>
      </c>
      <c r="H5" s="166" t="s">
        <v>223</v>
      </c>
      <c r="I5" s="166" t="s">
        <v>224</v>
      </c>
      <c r="J5" s="166" t="s">
        <v>225</v>
      </c>
    </row>
    <row r="6" spans="2:13" x14ac:dyDescent="0.2">
      <c r="B6" s="167" t="s">
        <v>308</v>
      </c>
      <c r="C6" s="167" t="s">
        <v>191</v>
      </c>
      <c r="D6" s="168">
        <f>D8+D20</f>
        <v>38593704623.489998</v>
      </c>
      <c r="E6" s="168">
        <f>E8+E20</f>
        <v>40924086034</v>
      </c>
      <c r="G6" s="168">
        <f>G8+G20</f>
        <v>8887166883.2980003</v>
      </c>
      <c r="H6" s="168">
        <f>H8+H20</f>
        <v>9419705157.4366913</v>
      </c>
      <c r="I6" s="168">
        <f>H6-G6</f>
        <v>532538274.13869095</v>
      </c>
      <c r="J6" s="169">
        <f>I6/G6%</f>
        <v>5.9922164299571206</v>
      </c>
      <c r="K6" s="168">
        <f>K8+K20</f>
        <v>9134144470</v>
      </c>
      <c r="M6" s="160">
        <v>9419705157.4366913</v>
      </c>
    </row>
    <row r="7" spans="2:13" x14ac:dyDescent="0.2">
      <c r="B7" s="167"/>
      <c r="C7" s="167"/>
      <c r="D7" s="170"/>
      <c r="E7" s="170"/>
      <c r="G7" s="171"/>
      <c r="H7" s="171"/>
      <c r="I7" s="171"/>
      <c r="J7" s="172"/>
    </row>
    <row r="8" spans="2:13" x14ac:dyDescent="0.2">
      <c r="B8" s="167" t="s">
        <v>227</v>
      </c>
      <c r="C8" s="167" t="s">
        <v>228</v>
      </c>
      <c r="D8" s="173">
        <f>SUM(D9:D18)</f>
        <v>37143598267.489998</v>
      </c>
      <c r="E8" s="173">
        <f>SUM(E9:E18)</f>
        <v>39806329666</v>
      </c>
      <c r="G8" s="174">
        <f>SUM(G9:G18)</f>
        <v>8597145612.0979996</v>
      </c>
      <c r="H8" s="174">
        <f>SUM(H9:H18)</f>
        <v>9196153883.8366909</v>
      </c>
      <c r="I8" s="168">
        <f t="shared" ref="I8:I18" si="0">H8-G8</f>
        <v>599008271.73869133</v>
      </c>
      <c r="J8" s="169">
        <f t="shared" ref="J8:J18" si="1">I8/G8%</f>
        <v>6.967525022441869</v>
      </c>
      <c r="K8" s="162">
        <v>8944386320</v>
      </c>
    </row>
    <row r="9" spans="2:13" x14ac:dyDescent="0.2">
      <c r="B9" s="163" t="s">
        <v>229</v>
      </c>
      <c r="C9" s="163" t="s">
        <v>230</v>
      </c>
      <c r="D9" s="175">
        <v>29389965690</v>
      </c>
      <c r="E9" s="175">
        <v>31881085944</v>
      </c>
      <c r="F9" s="176">
        <v>0.2</v>
      </c>
      <c r="G9" s="177">
        <f>D9*0.2</f>
        <v>5877993138</v>
      </c>
      <c r="H9" s="177">
        <f>E9*F9</f>
        <v>6376217188.8000002</v>
      </c>
      <c r="I9" s="178">
        <f t="shared" si="0"/>
        <v>498224050.80000019</v>
      </c>
      <c r="J9" s="179">
        <f t="shared" si="1"/>
        <v>8.476091058682691</v>
      </c>
      <c r="K9" s="162">
        <v>6203144141</v>
      </c>
    </row>
    <row r="10" spans="2:13" x14ac:dyDescent="0.2">
      <c r="B10" s="163" t="s">
        <v>231</v>
      </c>
      <c r="C10" s="163" t="s">
        <v>232</v>
      </c>
      <c r="D10" s="175">
        <v>1693378078</v>
      </c>
      <c r="E10" s="175">
        <v>1720265994</v>
      </c>
      <c r="F10" s="176">
        <v>1</v>
      </c>
      <c r="G10" s="177">
        <f>D10</f>
        <v>1693378078</v>
      </c>
      <c r="H10" s="177">
        <f>E10*F10</f>
        <v>1720265994</v>
      </c>
      <c r="I10" s="180">
        <f t="shared" si="0"/>
        <v>26887916</v>
      </c>
      <c r="J10" s="181">
        <f t="shared" si="1"/>
        <v>1.5878270983498581</v>
      </c>
      <c r="K10" s="162">
        <v>1713861007</v>
      </c>
    </row>
    <row r="11" spans="2:13" ht="29.25" customHeight="1" x14ac:dyDescent="0.2">
      <c r="B11" s="163" t="s">
        <v>233</v>
      </c>
      <c r="C11" s="182" t="s">
        <v>234</v>
      </c>
      <c r="D11" s="175">
        <v>728268008</v>
      </c>
      <c r="E11" s="175">
        <v>771012202</v>
      </c>
      <c r="F11" s="176">
        <v>0.2</v>
      </c>
      <c r="G11" s="177">
        <f>D11*0.2</f>
        <v>145653601.59999999</v>
      </c>
      <c r="H11" s="177">
        <f>E11*F11</f>
        <v>154202440.40000001</v>
      </c>
      <c r="I11" s="180">
        <f t="shared" si="0"/>
        <v>8548838.8000000119</v>
      </c>
      <c r="J11" s="181">
        <f t="shared" si="1"/>
        <v>5.869294480940602</v>
      </c>
      <c r="K11" s="162">
        <v>155723653</v>
      </c>
    </row>
    <row r="12" spans="2:13" ht="24.75" customHeight="1" x14ac:dyDescent="0.2">
      <c r="B12" s="163" t="s">
        <v>235</v>
      </c>
      <c r="C12" s="182" t="s">
        <v>236</v>
      </c>
      <c r="D12" s="180">
        <v>3395450331</v>
      </c>
      <c r="E12" s="180">
        <v>3244440838</v>
      </c>
      <c r="F12" s="176">
        <v>0.2</v>
      </c>
      <c r="G12" s="177">
        <v>489446660</v>
      </c>
      <c r="H12" s="177">
        <f>ISR!C119</f>
        <v>504130059.43669099</v>
      </c>
      <c r="I12" s="180">
        <f t="shared" si="0"/>
        <v>14683399.436690986</v>
      </c>
      <c r="J12" s="181">
        <f t="shared" si="1"/>
        <v>2.9999999257714798</v>
      </c>
      <c r="K12" s="162">
        <v>504130059.43669099</v>
      </c>
    </row>
    <row r="13" spans="2:13" ht="27" customHeight="1" x14ac:dyDescent="0.2">
      <c r="B13" s="163" t="s">
        <v>237</v>
      </c>
      <c r="C13" s="182" t="s">
        <v>238</v>
      </c>
      <c r="D13" s="175">
        <v>1351220253</v>
      </c>
      <c r="E13" s="175">
        <v>1491133804</v>
      </c>
      <c r="F13" s="176">
        <v>0.2</v>
      </c>
      <c r="G13" s="177">
        <f>D13*0.2</f>
        <v>270244050.60000002</v>
      </c>
      <c r="H13" s="177">
        <f t="shared" ref="H13:H18" si="2">E13*F13</f>
        <v>298226760.80000001</v>
      </c>
      <c r="I13" s="180">
        <f t="shared" si="0"/>
        <v>27982710.199999988</v>
      </c>
      <c r="J13" s="181">
        <f t="shared" si="1"/>
        <v>10.354607303240291</v>
      </c>
      <c r="K13" s="162">
        <v>297309035</v>
      </c>
    </row>
    <row r="14" spans="2:13" ht="32.25" customHeight="1" x14ac:dyDescent="0.2">
      <c r="B14" s="163" t="s">
        <v>239</v>
      </c>
      <c r="C14" s="182" t="s">
        <v>240</v>
      </c>
      <c r="D14" s="175">
        <v>90099982</v>
      </c>
      <c r="E14" s="175">
        <v>94659036</v>
      </c>
      <c r="F14" s="176">
        <v>0.2</v>
      </c>
      <c r="G14" s="177">
        <f>D14*0.2</f>
        <v>18019996.400000002</v>
      </c>
      <c r="H14" s="177">
        <f t="shared" si="2"/>
        <v>18931807.199999999</v>
      </c>
      <c r="I14" s="180">
        <f t="shared" si="0"/>
        <v>911810.79999999702</v>
      </c>
      <c r="J14" s="181">
        <f t="shared" si="1"/>
        <v>5.0599943516081769</v>
      </c>
      <c r="K14" s="162">
        <v>18931808</v>
      </c>
    </row>
    <row r="15" spans="2:13" ht="34.5" customHeight="1" x14ac:dyDescent="0.2">
      <c r="B15" s="163" t="s">
        <v>241</v>
      </c>
      <c r="C15" s="182" t="s">
        <v>242</v>
      </c>
      <c r="D15" s="175">
        <v>377301955</v>
      </c>
      <c r="E15" s="175">
        <v>472832986</v>
      </c>
      <c r="F15" s="176">
        <v>0.2</v>
      </c>
      <c r="G15" s="177">
        <f>D15*0.2</f>
        <v>75460391</v>
      </c>
      <c r="H15" s="177">
        <f t="shared" si="2"/>
        <v>94566597.200000003</v>
      </c>
      <c r="I15" s="180">
        <f t="shared" si="0"/>
        <v>19106206.200000003</v>
      </c>
      <c r="J15" s="181">
        <f t="shared" si="1"/>
        <v>25.31951656598228</v>
      </c>
      <c r="K15" s="162">
        <v>94566598</v>
      </c>
    </row>
    <row r="16" spans="2:13" ht="29.25" customHeight="1" x14ac:dyDescent="0.2">
      <c r="B16" s="163" t="s">
        <v>243</v>
      </c>
      <c r="C16" s="182" t="s">
        <v>309</v>
      </c>
      <c r="D16" s="183">
        <v>5611504</v>
      </c>
      <c r="E16" s="183">
        <v>5722106</v>
      </c>
      <c r="F16" s="176">
        <v>0.8</v>
      </c>
      <c r="G16" s="177">
        <f>D16*0.8</f>
        <v>4489203.2</v>
      </c>
      <c r="H16" s="177">
        <f t="shared" si="2"/>
        <v>4577684.8</v>
      </c>
      <c r="I16" s="180">
        <f t="shared" si="0"/>
        <v>88481.599999999627</v>
      </c>
      <c r="J16" s="181">
        <f t="shared" si="1"/>
        <v>1.9709867443736926</v>
      </c>
      <c r="K16" s="162">
        <v>4577685</v>
      </c>
    </row>
    <row r="17" spans="2:11" ht="41.25" customHeight="1" x14ac:dyDescent="0.2">
      <c r="B17" s="163" t="s">
        <v>245</v>
      </c>
      <c r="C17" s="184" t="s">
        <v>246</v>
      </c>
      <c r="D17" s="183">
        <v>85000000</v>
      </c>
      <c r="E17" s="183">
        <v>90000000</v>
      </c>
      <c r="F17" s="176">
        <v>0.2</v>
      </c>
      <c r="G17" s="177">
        <f>D17*0.2</f>
        <v>17000000</v>
      </c>
      <c r="H17" s="177">
        <f t="shared" si="2"/>
        <v>18000000</v>
      </c>
      <c r="I17" s="180">
        <f t="shared" si="0"/>
        <v>1000000</v>
      </c>
      <c r="J17" s="181">
        <f t="shared" si="1"/>
        <v>5.882352941176471</v>
      </c>
      <c r="K17" s="162">
        <v>18000000</v>
      </c>
    </row>
    <row r="18" spans="2:11" ht="28.5" customHeight="1" x14ac:dyDescent="0.2">
      <c r="B18" s="163" t="s">
        <v>247</v>
      </c>
      <c r="C18" s="182" t="s">
        <v>248</v>
      </c>
      <c r="D18" s="183">
        <v>27302466.489999998</v>
      </c>
      <c r="E18" s="183">
        <v>35176756</v>
      </c>
      <c r="F18" s="176">
        <v>0.2</v>
      </c>
      <c r="G18" s="177">
        <f>D18*0.2</f>
        <v>5460493.2980000004</v>
      </c>
      <c r="H18" s="177">
        <f t="shared" si="2"/>
        <v>7035351.2000000002</v>
      </c>
      <c r="I18" s="180">
        <f t="shared" si="0"/>
        <v>1574857.9019999998</v>
      </c>
      <c r="J18" s="181">
        <f t="shared" si="1"/>
        <v>28.840945607914556</v>
      </c>
      <c r="K18" s="162">
        <v>6268208</v>
      </c>
    </row>
    <row r="19" spans="2:11" x14ac:dyDescent="0.2">
      <c r="D19" s="185"/>
      <c r="E19" s="185"/>
      <c r="I19" s="186"/>
      <c r="J19" s="172"/>
    </row>
    <row r="20" spans="2:11" x14ac:dyDescent="0.2">
      <c r="B20" s="167" t="s">
        <v>249</v>
      </c>
      <c r="C20" s="187" t="s">
        <v>250</v>
      </c>
      <c r="D20" s="173">
        <f>SUM(D21:D22)</f>
        <v>1450106356</v>
      </c>
      <c r="E20" s="173">
        <f>SUM(E21:E22)</f>
        <v>1117756368</v>
      </c>
      <c r="F20" s="171"/>
      <c r="G20" s="188">
        <f>SUM(G21:G22)</f>
        <v>290021271.19999999</v>
      </c>
      <c r="H20" s="188">
        <f>SUM(H21:H22)</f>
        <v>223551273.60000002</v>
      </c>
      <c r="I20" s="189">
        <f>H20-G20</f>
        <v>-66469997.599999964</v>
      </c>
      <c r="J20" s="169">
        <f>I20/G20%</f>
        <v>-22.919007742077632</v>
      </c>
      <c r="K20" s="162">
        <v>189758150</v>
      </c>
    </row>
    <row r="21" spans="2:11" x14ac:dyDescent="0.2">
      <c r="B21" s="163" t="s">
        <v>251</v>
      </c>
      <c r="C21" s="182" t="s">
        <v>252</v>
      </c>
      <c r="D21" s="175">
        <v>948790750</v>
      </c>
      <c r="E21" s="175">
        <v>1117756368</v>
      </c>
      <c r="F21" s="176">
        <v>0.2</v>
      </c>
      <c r="G21" s="177">
        <f>D21*0.2</f>
        <v>189758150</v>
      </c>
      <c r="H21" s="177">
        <f>E21*F21</f>
        <v>223551273.60000002</v>
      </c>
      <c r="I21" s="180">
        <f>H21-G21</f>
        <v>33793123.600000024</v>
      </c>
      <c r="J21" s="181">
        <f>I21/G21%</f>
        <v>17.80852290138791</v>
      </c>
      <c r="K21" s="162">
        <v>223551274</v>
      </c>
    </row>
    <row r="22" spans="2:11" ht="22.5" x14ac:dyDescent="0.2">
      <c r="B22" s="163" t="s">
        <v>231</v>
      </c>
      <c r="C22" s="184" t="s">
        <v>253</v>
      </c>
      <c r="D22" s="177">
        <v>501315606</v>
      </c>
      <c r="E22" s="175">
        <v>0</v>
      </c>
      <c r="F22" s="176">
        <v>0.2</v>
      </c>
      <c r="G22" s="177">
        <f>D22*0.2</f>
        <v>100263121.2</v>
      </c>
      <c r="H22" s="177">
        <f>E22*F22</f>
        <v>0</v>
      </c>
      <c r="I22" s="180">
        <f>H22-G22</f>
        <v>-100263121.2</v>
      </c>
      <c r="J22" s="181">
        <v>0</v>
      </c>
    </row>
    <row r="24" spans="2:11" x14ac:dyDescent="0.2">
      <c r="F24" s="162"/>
    </row>
    <row r="26" spans="2:11" x14ac:dyDescent="0.2">
      <c r="E26" s="162"/>
    </row>
    <row r="28" spans="2:11" x14ac:dyDescent="0.2">
      <c r="H28" s="162"/>
    </row>
    <row r="29" spans="2:11" x14ac:dyDescent="0.2">
      <c r="E29" s="162"/>
    </row>
    <row r="36" spans="3:13" x14ac:dyDescent="0.2">
      <c r="C36" s="177" t="s">
        <v>259</v>
      </c>
      <c r="D36" s="177">
        <f>FPART!G9</f>
        <v>3911410720.98</v>
      </c>
    </row>
    <row r="37" spans="3:13" x14ac:dyDescent="0.2">
      <c r="C37" s="177" t="s">
        <v>260</v>
      </c>
      <c r="D37" s="177">
        <f>FPART!G10</f>
        <v>3911410720.98</v>
      </c>
    </row>
    <row r="38" spans="3:13" x14ac:dyDescent="0.2">
      <c r="C38" s="177" t="s">
        <v>261</v>
      </c>
      <c r="D38" s="177">
        <f>FPART!G11</f>
        <v>869202382.44000006</v>
      </c>
    </row>
    <row r="39" spans="3:13" x14ac:dyDescent="0.2">
      <c r="C39" s="177" t="s">
        <v>15</v>
      </c>
      <c r="D39" s="177">
        <f>SUM(D36:D38)</f>
        <v>8692023824.3999996</v>
      </c>
    </row>
    <row r="42" spans="3:13" x14ac:dyDescent="0.2">
      <c r="C42" s="749" t="s">
        <v>262</v>
      </c>
      <c r="D42" s="749"/>
      <c r="E42" s="749"/>
      <c r="F42" s="749"/>
      <c r="J42" s="160" t="s">
        <v>263</v>
      </c>
    </row>
    <row r="43" spans="3:13" x14ac:dyDescent="0.2">
      <c r="C43" s="190" t="s">
        <v>264</v>
      </c>
      <c r="D43" s="191" t="s">
        <v>266</v>
      </c>
      <c r="E43" s="191" t="s">
        <v>267</v>
      </c>
      <c r="F43" s="191"/>
      <c r="I43" s="160" t="s">
        <v>268</v>
      </c>
      <c r="J43" s="160">
        <v>14066310</v>
      </c>
      <c r="K43" s="160">
        <v>1969283</v>
      </c>
      <c r="M43" s="160">
        <f t="shared" ref="M43:M48" si="3">L43/0.7*1</f>
        <v>0</v>
      </c>
    </row>
    <row r="44" spans="3:13" x14ac:dyDescent="0.2">
      <c r="C44" s="190"/>
      <c r="D44" s="192">
        <v>2</v>
      </c>
      <c r="E44" s="191" t="s">
        <v>269</v>
      </c>
      <c r="F44" s="191"/>
      <c r="I44" s="160" t="s">
        <v>270</v>
      </c>
      <c r="J44" s="160">
        <v>4577305</v>
      </c>
      <c r="K44" s="160">
        <v>640824</v>
      </c>
      <c r="M44" s="160">
        <f t="shared" si="3"/>
        <v>0</v>
      </c>
    </row>
    <row r="45" spans="3:13" x14ac:dyDescent="0.2">
      <c r="C45" s="184" t="s">
        <v>271</v>
      </c>
      <c r="D45" s="193">
        <v>13687589666.1077</v>
      </c>
      <c r="E45" s="193">
        <v>406095625.10769802</v>
      </c>
      <c r="F45" s="190"/>
      <c r="I45" s="160" t="s">
        <v>272</v>
      </c>
      <c r="J45" s="160">
        <v>3987612</v>
      </c>
      <c r="K45" s="160">
        <v>558266</v>
      </c>
      <c r="M45" s="160">
        <f t="shared" si="3"/>
        <v>0</v>
      </c>
    </row>
    <row r="46" spans="3:13" x14ac:dyDescent="0.2">
      <c r="C46" s="184" t="s">
        <v>273</v>
      </c>
      <c r="D46" s="193">
        <v>854616037.88893402</v>
      </c>
      <c r="E46" s="193">
        <v>-5592294.11106598</v>
      </c>
      <c r="F46" s="190"/>
      <c r="I46" s="160" t="s">
        <v>274</v>
      </c>
      <c r="J46" s="160">
        <v>8251471</v>
      </c>
      <c r="K46" s="160">
        <v>6223973</v>
      </c>
      <c r="M46" s="160">
        <f t="shared" si="3"/>
        <v>0</v>
      </c>
    </row>
    <row r="47" spans="3:13" ht="22.5" x14ac:dyDescent="0.2">
      <c r="C47" s="184" t="s">
        <v>238</v>
      </c>
      <c r="D47" s="193">
        <v>656547114</v>
      </c>
      <c r="E47" s="193">
        <v>-11581620</v>
      </c>
      <c r="F47" s="190"/>
      <c r="I47" s="160" t="s">
        <v>275</v>
      </c>
      <c r="J47" s="160">
        <v>4885080</v>
      </c>
      <c r="K47" s="160">
        <v>683911</v>
      </c>
      <c r="M47" s="160">
        <f t="shared" si="3"/>
        <v>0</v>
      </c>
    </row>
    <row r="48" spans="3:13" ht="22.5" x14ac:dyDescent="0.2">
      <c r="C48" s="184" t="s">
        <v>276</v>
      </c>
      <c r="D48" s="193">
        <v>345098522.886365</v>
      </c>
      <c r="E48" s="193">
        <v>-16422139.113635</v>
      </c>
      <c r="F48" s="190"/>
      <c r="I48" s="160" t="s">
        <v>277</v>
      </c>
      <c r="J48" s="160">
        <v>8721412</v>
      </c>
      <c r="K48" s="160">
        <v>1220998</v>
      </c>
      <c r="M48" s="160">
        <f t="shared" si="3"/>
        <v>0</v>
      </c>
    </row>
    <row r="49" spans="3:11" x14ac:dyDescent="0.2">
      <c r="C49" s="184" t="s">
        <v>278</v>
      </c>
      <c r="D49" s="193">
        <v>1455807748</v>
      </c>
      <c r="E49" s="193">
        <v>277478246</v>
      </c>
      <c r="F49" s="190"/>
      <c r="I49" s="160" t="s">
        <v>279</v>
      </c>
      <c r="J49" s="160">
        <v>8455886</v>
      </c>
    </row>
    <row r="50" spans="3:11" ht="22.5" x14ac:dyDescent="0.2">
      <c r="C50" s="184" t="s">
        <v>280</v>
      </c>
      <c r="D50" s="193">
        <v>45966774</v>
      </c>
      <c r="E50" s="193">
        <v>0</v>
      </c>
      <c r="F50" s="190"/>
      <c r="I50" s="188" t="s">
        <v>15</v>
      </c>
      <c r="J50" s="160">
        <f>SUM(J43:J49)</f>
        <v>52945076</v>
      </c>
    </row>
    <row r="51" spans="3:11" x14ac:dyDescent="0.2">
      <c r="C51" s="184" t="s">
        <v>281</v>
      </c>
      <c r="D51" s="193">
        <v>138555969</v>
      </c>
      <c r="E51" s="193">
        <v>35055935</v>
      </c>
      <c r="F51" s="190"/>
    </row>
    <row r="52" spans="3:11" ht="22.5" x14ac:dyDescent="0.2">
      <c r="C52" s="184" t="s">
        <v>282</v>
      </c>
      <c r="D52" s="193">
        <v>52945076</v>
      </c>
      <c r="E52" s="193">
        <v>37016913</v>
      </c>
      <c r="F52" s="190"/>
    </row>
    <row r="53" spans="3:11" ht="22.5" x14ac:dyDescent="0.2">
      <c r="C53" s="184" t="s">
        <v>283</v>
      </c>
      <c r="D53" s="193">
        <v>172861114</v>
      </c>
      <c r="E53" s="193">
        <v>-59204608</v>
      </c>
      <c r="F53" s="190"/>
    </row>
    <row r="54" spans="3:11" x14ac:dyDescent="0.2">
      <c r="C54" s="184" t="s">
        <v>284</v>
      </c>
      <c r="D54" s="193">
        <v>398941145</v>
      </c>
      <c r="E54" s="193">
        <v>-45089778</v>
      </c>
      <c r="F54" s="190"/>
      <c r="K54" s="162">
        <f>K46/J46%</f>
        <v>75.428647813220209</v>
      </c>
    </row>
    <row r="55" spans="3:11" x14ac:dyDescent="0.2">
      <c r="C55" s="194" t="s">
        <v>191</v>
      </c>
      <c r="D55" s="194">
        <v>17808929168.882999</v>
      </c>
      <c r="E55" s="194">
        <v>617756280.88299596</v>
      </c>
      <c r="F55" s="194"/>
    </row>
    <row r="57" spans="3:11" x14ac:dyDescent="0.2">
      <c r="J57" s="160">
        <v>5068766</v>
      </c>
    </row>
    <row r="58" spans="3:11" x14ac:dyDescent="0.2">
      <c r="E58" s="160">
        <f>400/7*12</f>
        <v>685.71428571428578</v>
      </c>
      <c r="J58" s="160">
        <f>J46*0.2</f>
        <v>1650294.2000000002</v>
      </c>
    </row>
    <row r="59" spans="3:11" x14ac:dyDescent="0.2">
      <c r="J59" s="160">
        <f>J57+J58</f>
        <v>6719060.2000000002</v>
      </c>
    </row>
    <row r="74" spans="1:16" x14ac:dyDescent="0.2">
      <c r="A74" s="160" t="s">
        <v>285</v>
      </c>
    </row>
    <row r="75" spans="1:16" x14ac:dyDescent="0.2">
      <c r="A75" s="160" t="s">
        <v>286</v>
      </c>
    </row>
    <row r="76" spans="1:16" x14ac:dyDescent="0.2">
      <c r="A76" s="160" t="s">
        <v>287</v>
      </c>
    </row>
    <row r="77" spans="1:16" x14ac:dyDescent="0.2">
      <c r="A77" s="188"/>
    </row>
    <row r="78" spans="1:16" x14ac:dyDescent="0.2">
      <c r="B78" s="195" t="s">
        <v>191</v>
      </c>
      <c r="C78" s="195" t="s">
        <v>268</v>
      </c>
      <c r="D78" s="195" t="s">
        <v>272</v>
      </c>
      <c r="E78" s="195"/>
      <c r="F78" s="195"/>
      <c r="G78" s="195"/>
      <c r="H78" s="195"/>
      <c r="I78" s="195" t="s">
        <v>279</v>
      </c>
      <c r="J78" s="195" t="s">
        <v>289</v>
      </c>
      <c r="K78" s="196" t="s">
        <v>290</v>
      </c>
      <c r="L78" s="195"/>
      <c r="M78" s="195" t="s">
        <v>292</v>
      </c>
      <c r="N78" s="195" t="s">
        <v>293</v>
      </c>
    </row>
    <row r="79" spans="1:16" x14ac:dyDescent="0.2">
      <c r="A79" s="197" t="s">
        <v>294</v>
      </c>
      <c r="B79" s="198">
        <v>21689429248</v>
      </c>
      <c r="C79" s="198">
        <v>1573293025</v>
      </c>
      <c r="D79" s="198">
        <v>1714753076</v>
      </c>
      <c r="E79" s="198"/>
      <c r="F79" s="198"/>
      <c r="G79" s="198">
        <v>1924957722</v>
      </c>
      <c r="H79" s="198"/>
      <c r="I79" s="198">
        <v>1807333619</v>
      </c>
      <c r="J79" s="198">
        <v>1824573776</v>
      </c>
      <c r="K79" s="199">
        <v>1704243722</v>
      </c>
      <c r="L79" s="198"/>
      <c r="M79" s="198">
        <v>1683021813</v>
      </c>
      <c r="N79" s="198">
        <v>1659048808</v>
      </c>
      <c r="O79" s="160" t="s">
        <v>295</v>
      </c>
      <c r="P79" s="160" t="e">
        <f>#REF!-O79</f>
        <v>#REF!</v>
      </c>
    </row>
    <row r="80" spans="1:16" ht="112.5" x14ac:dyDescent="0.2">
      <c r="A80" s="200" t="s">
        <v>296</v>
      </c>
      <c r="B80" s="198">
        <v>1404627573</v>
      </c>
      <c r="C80" s="198">
        <v>101855752</v>
      </c>
      <c r="D80" s="198">
        <v>111036267</v>
      </c>
      <c r="E80" s="198"/>
      <c r="F80" s="198"/>
      <c r="G80" s="198">
        <v>124678190</v>
      </c>
      <c r="H80" s="198"/>
      <c r="I80" s="198">
        <v>117044587</v>
      </c>
      <c r="J80" s="198">
        <v>118163443</v>
      </c>
      <c r="K80" s="199">
        <v>110354228</v>
      </c>
      <c r="L80" s="198"/>
      <c r="M80" s="198">
        <v>108976963</v>
      </c>
      <c r="N80" s="198">
        <v>107421155</v>
      </c>
      <c r="O80" s="160" t="s">
        <v>295</v>
      </c>
      <c r="P80" s="160" t="e">
        <f>#REF!-O80</f>
        <v>#REF!</v>
      </c>
    </row>
    <row r="81" spans="1:16" ht="180" x14ac:dyDescent="0.2">
      <c r="A81" s="200" t="s">
        <v>297</v>
      </c>
      <c r="B81" s="198">
        <v>611672126</v>
      </c>
      <c r="C81" s="198">
        <v>48518433</v>
      </c>
      <c r="D81" s="198">
        <v>57910429</v>
      </c>
      <c r="E81" s="198"/>
      <c r="F81" s="198"/>
      <c r="G81" s="198">
        <v>49054539</v>
      </c>
      <c r="H81" s="198"/>
      <c r="I81" s="198">
        <v>50260290</v>
      </c>
      <c r="J81" s="198">
        <v>55123687</v>
      </c>
      <c r="K81" s="199">
        <v>55031134</v>
      </c>
      <c r="L81" s="198"/>
      <c r="M81" s="198">
        <v>46099818</v>
      </c>
      <c r="N81" s="198">
        <v>45876523</v>
      </c>
      <c r="O81" s="160" t="s">
        <v>295</v>
      </c>
      <c r="P81" s="160" t="e">
        <f>#REF!-O81</f>
        <v>#REF!</v>
      </c>
    </row>
    <row r="82" spans="1:16" ht="135" x14ac:dyDescent="0.2">
      <c r="A82" s="200" t="s">
        <v>298</v>
      </c>
      <c r="B82" s="198">
        <v>1005964586</v>
      </c>
      <c r="C82" s="198">
        <v>104571136</v>
      </c>
      <c r="D82" s="198">
        <v>51866506</v>
      </c>
      <c r="E82" s="198"/>
      <c r="F82" s="198"/>
      <c r="G82" s="198">
        <v>51866506</v>
      </c>
      <c r="H82" s="198"/>
      <c r="I82" s="198">
        <v>174049770</v>
      </c>
      <c r="J82" s="198">
        <v>51866506</v>
      </c>
      <c r="K82" s="199">
        <v>51866506</v>
      </c>
      <c r="L82" s="198"/>
      <c r="M82" s="198">
        <v>51866506</v>
      </c>
      <c r="N82" s="198">
        <v>51866506</v>
      </c>
      <c r="O82" s="160" t="s">
        <v>295</v>
      </c>
      <c r="P82" s="160" t="e">
        <f>#REF!-O82</f>
        <v>#REF!</v>
      </c>
    </row>
    <row r="83" spans="1:16" ht="191.25" x14ac:dyDescent="0.2">
      <c r="A83" s="200" t="s">
        <v>240</v>
      </c>
      <c r="B83" s="198">
        <v>78800184</v>
      </c>
      <c r="C83" s="198">
        <v>6566682</v>
      </c>
      <c r="D83" s="198">
        <v>6566682</v>
      </c>
      <c r="E83" s="198"/>
      <c r="F83" s="198"/>
      <c r="G83" s="198">
        <v>6566682</v>
      </c>
      <c r="H83" s="198"/>
      <c r="I83" s="198">
        <v>6566682</v>
      </c>
      <c r="J83" s="198">
        <v>6566682</v>
      </c>
      <c r="K83" s="199">
        <v>6566682</v>
      </c>
      <c r="L83" s="198"/>
      <c r="M83" s="198">
        <v>6566682</v>
      </c>
      <c r="N83" s="198">
        <v>6566682</v>
      </c>
      <c r="O83" s="160" t="s">
        <v>295</v>
      </c>
      <c r="P83" s="160" t="e">
        <f>#REF!-O83</f>
        <v>#REF!</v>
      </c>
    </row>
    <row r="84" spans="1:16" ht="135" x14ac:dyDescent="0.2">
      <c r="A84" s="200" t="s">
        <v>299</v>
      </c>
      <c r="B84" s="198">
        <v>185137004</v>
      </c>
      <c r="C84" s="198">
        <v>26108033</v>
      </c>
      <c r="D84" s="198">
        <v>11923567</v>
      </c>
      <c r="E84" s="198"/>
      <c r="F84" s="198"/>
      <c r="G84" s="198">
        <v>11839881</v>
      </c>
      <c r="H84" s="198"/>
      <c r="I84" s="198">
        <v>13651426</v>
      </c>
      <c r="J84" s="198">
        <v>14825485</v>
      </c>
      <c r="K84" s="199">
        <v>15330060</v>
      </c>
      <c r="L84" s="198"/>
      <c r="M84" s="198">
        <v>16454891</v>
      </c>
      <c r="N84" s="198">
        <v>18534723</v>
      </c>
      <c r="O84" s="160" t="s">
        <v>295</v>
      </c>
      <c r="P84" s="160" t="e">
        <f>#REF!-O84</f>
        <v>#REF!</v>
      </c>
    </row>
    <row r="85" spans="1:16" ht="168.75" x14ac:dyDescent="0.2">
      <c r="A85" s="200" t="s">
        <v>253</v>
      </c>
      <c r="B85" s="198">
        <v>394868336</v>
      </c>
      <c r="C85" s="198">
        <v>31050166</v>
      </c>
      <c r="D85" s="198">
        <v>31243402</v>
      </c>
      <c r="E85" s="198"/>
      <c r="F85" s="198"/>
      <c r="G85" s="198">
        <v>35148994</v>
      </c>
      <c r="H85" s="198"/>
      <c r="I85" s="198">
        <v>33093815</v>
      </c>
      <c r="J85" s="198">
        <v>34355529</v>
      </c>
      <c r="K85" s="199">
        <v>33807482</v>
      </c>
      <c r="L85" s="198"/>
      <c r="M85" s="198">
        <v>32491565</v>
      </c>
      <c r="N85" s="198">
        <v>31273514</v>
      </c>
      <c r="O85" s="160" t="s">
        <v>295</v>
      </c>
      <c r="P85" s="160" t="e">
        <f>#REF!-O85</f>
        <v>#REF!</v>
      </c>
    </row>
    <row r="86" spans="1:16" ht="112.5" x14ac:dyDescent="0.2">
      <c r="A86" s="200" t="s">
        <v>300</v>
      </c>
      <c r="B86" s="198">
        <v>755534900</v>
      </c>
      <c r="C86" s="198">
        <v>59410902</v>
      </c>
      <c r="D86" s="198">
        <v>59780637</v>
      </c>
      <c r="E86" s="198"/>
      <c r="F86" s="198"/>
      <c r="G86" s="198">
        <v>67253535</v>
      </c>
      <c r="H86" s="198"/>
      <c r="I86" s="198">
        <v>63321189</v>
      </c>
      <c r="J86" s="198">
        <v>65735333</v>
      </c>
      <c r="K86" s="199">
        <v>64686707</v>
      </c>
      <c r="L86" s="198"/>
      <c r="M86" s="198">
        <v>62168853</v>
      </c>
      <c r="N86" s="198">
        <v>59838253</v>
      </c>
      <c r="O86" s="160" t="s">
        <v>295</v>
      </c>
      <c r="P86" s="160" t="e">
        <f>#REF!-O86</f>
        <v>#REF!</v>
      </c>
    </row>
    <row r="87" spans="1:16" x14ac:dyDescent="0.2">
      <c r="A87" s="200"/>
      <c r="B87" s="198"/>
      <c r="C87" s="198"/>
      <c r="D87" s="198"/>
      <c r="E87" s="198"/>
      <c r="F87" s="198"/>
      <c r="G87" s="198"/>
      <c r="H87" s="198"/>
      <c r="I87" s="198"/>
      <c r="J87" s="198"/>
      <c r="K87" s="199"/>
      <c r="L87" s="198"/>
      <c r="M87" s="198"/>
      <c r="N87" s="198"/>
      <c r="O87" s="160" t="s">
        <v>295</v>
      </c>
      <c r="P87" s="160" t="e">
        <f>#REF!-O87</f>
        <v>#REF!</v>
      </c>
    </row>
    <row r="88" spans="1:16" ht="337.5" x14ac:dyDescent="0.2">
      <c r="A88" s="200" t="s">
        <v>301</v>
      </c>
      <c r="B88" s="201">
        <v>49000000</v>
      </c>
      <c r="C88" s="201">
        <v>2116100</v>
      </c>
      <c r="D88" s="201">
        <v>2118320</v>
      </c>
      <c r="E88" s="201"/>
      <c r="F88" s="201"/>
      <c r="G88" s="201">
        <v>2102687</v>
      </c>
      <c r="H88" s="201"/>
      <c r="I88" s="201">
        <v>2416574</v>
      </c>
      <c r="J88" s="201">
        <v>2414087</v>
      </c>
      <c r="K88" s="202">
        <v>2411029</v>
      </c>
      <c r="L88" s="201"/>
      <c r="M88" s="201">
        <v>8754173</v>
      </c>
      <c r="N88" s="201">
        <v>17386981</v>
      </c>
      <c r="O88" s="160" t="s">
        <v>295</v>
      </c>
      <c r="P88" s="160" t="e">
        <f>#REF!-O88</f>
        <v>#REF!</v>
      </c>
    </row>
    <row r="89" spans="1:16" ht="33.75" x14ac:dyDescent="0.2">
      <c r="A89" s="203" t="s">
        <v>15</v>
      </c>
      <c r="B89" s="204">
        <f>SUM(B79:B88)</f>
        <v>26175033957</v>
      </c>
      <c r="C89" s="204">
        <f>SUM(C79:C88)</f>
        <v>1953490229</v>
      </c>
      <c r="D89" s="204">
        <f>SUM(D79:D88)</f>
        <v>2047198886</v>
      </c>
      <c r="E89" s="204"/>
      <c r="F89" s="204"/>
      <c r="G89" s="204">
        <f>SUM(G79:G88)</f>
        <v>2273468736</v>
      </c>
      <c r="H89" s="204"/>
      <c r="I89" s="204">
        <f>SUM(I79:I88)</f>
        <v>2267737952</v>
      </c>
      <c r="J89" s="204">
        <f>SUM(J79:J88)</f>
        <v>2173624528</v>
      </c>
      <c r="K89" s="205">
        <f>SUM(K79:K88)</f>
        <v>2044297550</v>
      </c>
      <c r="L89" s="204"/>
      <c r="M89" s="204">
        <f>SUM(M79:M88)</f>
        <v>2016401264</v>
      </c>
      <c r="N89" s="204">
        <f>SUM(N79:N88)</f>
        <v>1997813145</v>
      </c>
      <c r="O89" s="160" t="s">
        <v>295</v>
      </c>
      <c r="P89" s="160" t="e">
        <f>#REF!-O89</f>
        <v>#REF!</v>
      </c>
    </row>
    <row r="90" spans="1:16" ht="101.25" x14ac:dyDescent="0.2">
      <c r="A90" s="200" t="s">
        <v>302</v>
      </c>
      <c r="B90" s="198">
        <v>241372190</v>
      </c>
      <c r="C90" s="198">
        <v>17502964</v>
      </c>
      <c r="D90" s="198">
        <v>19080550</v>
      </c>
      <c r="E90" s="198"/>
      <c r="F90" s="198"/>
      <c r="G90" s="198">
        <v>21424788</v>
      </c>
      <c r="H90" s="198"/>
      <c r="I90" s="198">
        <v>20113024</v>
      </c>
      <c r="J90" s="198">
        <v>20305289</v>
      </c>
      <c r="K90" s="199">
        <v>18963348</v>
      </c>
      <c r="L90" s="198"/>
      <c r="M90" s="198">
        <v>18726678</v>
      </c>
      <c r="N90" s="198">
        <v>18459327</v>
      </c>
      <c r="O90" s="160" t="s">
        <v>295</v>
      </c>
      <c r="P90" s="160" t="e">
        <f>#REF!-O90</f>
        <v>#REF!</v>
      </c>
    </row>
    <row r="91" spans="1:16" ht="56.25" x14ac:dyDescent="0.2">
      <c r="A91" s="200" t="s">
        <v>236</v>
      </c>
      <c r="B91" s="198">
        <v>2029146107</v>
      </c>
      <c r="C91" s="198">
        <v>203193360</v>
      </c>
      <c r="D91" s="198">
        <v>153681324</v>
      </c>
      <c r="E91" s="198"/>
      <c r="F91" s="198"/>
      <c r="G91" s="198">
        <v>150472919</v>
      </c>
      <c r="H91" s="198"/>
      <c r="I91" s="198">
        <v>155366341</v>
      </c>
      <c r="J91" s="198">
        <v>187483635</v>
      </c>
      <c r="K91" s="199">
        <v>178690827</v>
      </c>
      <c r="L91" s="198"/>
      <c r="M91" s="198">
        <v>201638888</v>
      </c>
      <c r="N91" s="198">
        <v>156734601</v>
      </c>
      <c r="O91" s="160" t="s">
        <v>295</v>
      </c>
      <c r="P91" s="160" t="e">
        <f>#REF!-O91</f>
        <v>#REF!</v>
      </c>
    </row>
    <row r="92" spans="1:16" x14ac:dyDescent="0.2">
      <c r="A92" s="201" t="s">
        <v>303</v>
      </c>
      <c r="B92" s="198">
        <v>35593203</v>
      </c>
      <c r="C92" s="198">
        <v>3970827</v>
      </c>
      <c r="D92" s="198">
        <v>3765449</v>
      </c>
      <c r="E92" s="198"/>
      <c r="F92" s="198"/>
      <c r="G92" s="198">
        <v>2340626</v>
      </c>
      <c r="H92" s="198"/>
      <c r="I92" s="198">
        <v>3904199</v>
      </c>
      <c r="J92" s="198">
        <v>1893313</v>
      </c>
      <c r="K92" s="199">
        <v>3806844</v>
      </c>
      <c r="L92" s="198"/>
      <c r="M92" s="198">
        <v>3583085</v>
      </c>
      <c r="N92" s="198">
        <v>2248509</v>
      </c>
      <c r="O92" s="160" t="s">
        <v>295</v>
      </c>
      <c r="P92" s="160" t="e">
        <f>#REF!-O92</f>
        <v>#REF!</v>
      </c>
    </row>
    <row r="93" spans="1:16" x14ac:dyDescent="0.2">
      <c r="A93" s="201" t="s">
        <v>304</v>
      </c>
      <c r="B93" s="198">
        <v>397359418</v>
      </c>
      <c r="C93" s="198">
        <v>17160367</v>
      </c>
      <c r="D93" s="198">
        <v>35872278</v>
      </c>
      <c r="E93" s="198"/>
      <c r="F93" s="198"/>
      <c r="G93" s="198">
        <v>39434114</v>
      </c>
      <c r="H93" s="198"/>
      <c r="I93" s="198">
        <v>34185925</v>
      </c>
      <c r="J93" s="198">
        <v>39486794</v>
      </c>
      <c r="K93" s="199">
        <v>32348644</v>
      </c>
      <c r="L93" s="198"/>
      <c r="M93" s="198">
        <v>36194482</v>
      </c>
      <c r="N93" s="198">
        <v>26394193</v>
      </c>
      <c r="O93" s="160" t="s">
        <v>295</v>
      </c>
      <c r="P93" s="160" t="e">
        <f>#REF!-O93</f>
        <v>#REF!</v>
      </c>
    </row>
    <row r="94" spans="1:16" ht="33.75" x14ac:dyDescent="0.2">
      <c r="A94" s="203" t="s">
        <v>15</v>
      </c>
      <c r="B94" s="204">
        <f>SUM(B90:B93)</f>
        <v>2703470918</v>
      </c>
      <c r="C94" s="204">
        <f>SUM(C90:C93)</f>
        <v>241827518</v>
      </c>
      <c r="D94" s="204">
        <f>SUM(D90:D93)</f>
        <v>212399601</v>
      </c>
      <c r="E94" s="204"/>
      <c r="F94" s="204"/>
      <c r="G94" s="204">
        <f>SUM(G90:G93)</f>
        <v>213672447</v>
      </c>
      <c r="H94" s="204"/>
      <c r="I94" s="204">
        <f>SUM(I90:I93)</f>
        <v>213569489</v>
      </c>
      <c r="J94" s="204">
        <f>SUM(J90:J93)</f>
        <v>249169031</v>
      </c>
      <c r="K94" s="205">
        <f>SUM(K90:K93)</f>
        <v>233809663</v>
      </c>
      <c r="L94" s="204"/>
      <c r="M94" s="204">
        <f>SUM(M90:M93)</f>
        <v>260143133</v>
      </c>
      <c r="N94" s="204">
        <f>SUM(N90:N93)</f>
        <v>203836630</v>
      </c>
    </row>
    <row r="95" spans="1:16" x14ac:dyDescent="0.2">
      <c r="A95" s="204" t="s">
        <v>305</v>
      </c>
      <c r="B95" s="206">
        <f>B89+B94</f>
        <v>28878504875</v>
      </c>
      <c r="C95" s="206">
        <f>C89+C94</f>
        <v>2195317747</v>
      </c>
      <c r="D95" s="206">
        <f>D89+D94</f>
        <v>2259598487</v>
      </c>
      <c r="E95" s="206"/>
      <c r="F95" s="206"/>
      <c r="G95" s="206">
        <f>G89+G94</f>
        <v>2487141183</v>
      </c>
      <c r="H95" s="206"/>
      <c r="I95" s="206">
        <f>I89+I94</f>
        <v>2481307441</v>
      </c>
      <c r="J95" s="206">
        <f>J89+J94</f>
        <v>2422793559</v>
      </c>
      <c r="K95" s="207">
        <f>K89+K94</f>
        <v>2278107213</v>
      </c>
      <c r="L95" s="206"/>
      <c r="M95" s="206">
        <f>M89+M94</f>
        <v>2276544397</v>
      </c>
      <c r="N95" s="206">
        <f>N89+N94</f>
        <v>2201649775</v>
      </c>
    </row>
  </sheetData>
  <mergeCells count="2">
    <mergeCell ref="C42:F42"/>
    <mergeCell ref="B4:C4"/>
  </mergeCells>
  <pageMargins left="0.70866141732283472" right="0.70866141732283472" top="1.1417322834645669" bottom="1.1417322834645669" header="0.74803149606299213" footer="0.74803149606299213"/>
  <pageSetup scale="75" fitToWidth="0" fitToHeight="0" orientation="landscape" r:id="rId1"/>
  <headerFooter alignWithMargins="0"/>
  <ignoredErrors>
    <ignoredError sqref="H1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44"/>
  <sheetViews>
    <sheetView showGridLines="0" topLeftCell="C4" workbookViewId="0">
      <selection activeCell="I15" sqref="I15:M129"/>
    </sheetView>
  </sheetViews>
  <sheetFormatPr baseColWidth="10" defaultRowHeight="11.25" x14ac:dyDescent="0.15"/>
  <cols>
    <col min="1" max="1" width="4.125" style="360" customWidth="1"/>
    <col min="2" max="2" width="11.875" style="360" customWidth="1"/>
    <col min="3" max="3" width="8.625" style="360" customWidth="1"/>
    <col min="4" max="4" width="9.375" style="360" customWidth="1"/>
    <col min="5" max="5" width="12" style="360" customWidth="1"/>
    <col min="6" max="6" width="10.75" style="360" customWidth="1"/>
    <col min="7" max="7" width="12" style="360" customWidth="1"/>
    <col min="8" max="8" width="11.375" style="360" customWidth="1"/>
    <col min="9" max="10" width="9.625" style="360" customWidth="1"/>
    <col min="11" max="11" width="10.875" style="360" customWidth="1"/>
    <col min="12" max="12" width="11.625" style="370" bestFit="1" customWidth="1"/>
    <col min="13" max="13" width="9.5" style="363" customWidth="1"/>
    <col min="14" max="14" width="15.125" style="360" customWidth="1"/>
    <col min="15" max="16" width="8.875" style="360" customWidth="1"/>
    <col min="17" max="1024" width="12.875" style="360" customWidth="1"/>
    <col min="1025" max="16384" width="11" style="395"/>
  </cols>
  <sheetData>
    <row r="1" spans="1:16" s="360" customFormat="1" hidden="1" x14ac:dyDescent="0.15">
      <c r="A1" s="757" t="s">
        <v>310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</row>
    <row r="2" spans="1:16" s="360" customFormat="1" hidden="1" x14ac:dyDescent="0.15">
      <c r="A2" s="757" t="s">
        <v>311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</row>
    <row r="3" spans="1:16" s="360" customFormat="1" hidden="1" x14ac:dyDescent="0.15">
      <c r="A3" s="757" t="s">
        <v>312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</row>
    <row r="4" spans="1:16" s="360" customFormat="1" x14ac:dyDescent="0.15">
      <c r="A4" s="361"/>
      <c r="B4" s="361"/>
      <c r="C4" s="362" t="s">
        <v>0</v>
      </c>
      <c r="D4" s="361"/>
      <c r="E4" s="361"/>
      <c r="F4" s="361"/>
      <c r="G4" s="361"/>
      <c r="H4" s="361"/>
      <c r="I4" s="361"/>
      <c r="J4" s="361"/>
      <c r="K4" s="361"/>
      <c r="L4" s="361"/>
      <c r="M4" s="361"/>
    </row>
    <row r="5" spans="1:16" s="360" customFormat="1" x14ac:dyDescent="0.15">
      <c r="A5" s="361"/>
      <c r="B5" s="361"/>
      <c r="C5" s="362" t="s">
        <v>163</v>
      </c>
      <c r="D5" s="361"/>
      <c r="E5" s="361"/>
      <c r="F5" s="361"/>
      <c r="G5" s="361"/>
      <c r="H5" s="361"/>
      <c r="I5" s="361"/>
      <c r="J5" s="361"/>
      <c r="K5" s="361"/>
      <c r="L5" s="361"/>
      <c r="M5" s="361"/>
    </row>
    <row r="6" spans="1:16" s="360" customFormat="1" x14ac:dyDescent="0.15">
      <c r="A6" s="757" t="s">
        <v>523</v>
      </c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</row>
    <row r="7" spans="1:16" s="360" customFormat="1" x14ac:dyDescent="0.15">
      <c r="B7" s="758" t="s">
        <v>313</v>
      </c>
      <c r="C7" s="758"/>
      <c r="D7" s="758"/>
      <c r="E7" s="758"/>
      <c r="F7" s="363"/>
      <c r="G7" s="364"/>
      <c r="H7" s="365"/>
      <c r="I7" s="363"/>
      <c r="K7" s="366"/>
      <c r="L7" s="363"/>
      <c r="M7" s="363"/>
    </row>
    <row r="8" spans="1:16" s="360" customFormat="1" x14ac:dyDescent="0.15">
      <c r="B8" s="362" t="s">
        <v>314</v>
      </c>
      <c r="G8" s="367">
        <f>'FONDOS PART 2024'!H9+'FONDOS PART 2024'!H10+'FONDOS PART 2024'!H11+'FONDOS PART 2024'!H13+'FONDOS PART 2024'!H14+'FONDOS PART 2024'!H15+'FONDOS PART 2024'!H16+'FONDOS PART 2024'!H17+'FONDOS PART 2024'!H18</f>
        <v>8692023824.3999996</v>
      </c>
      <c r="H8" s="368" t="s">
        <v>487</v>
      </c>
      <c r="I8" s="365"/>
      <c r="J8" s="369"/>
      <c r="K8" s="366"/>
      <c r="L8" s="370"/>
      <c r="M8" s="363"/>
    </row>
    <row r="9" spans="1:16" s="360" customFormat="1" x14ac:dyDescent="0.15">
      <c r="B9" s="362" t="s">
        <v>315</v>
      </c>
      <c r="G9" s="371">
        <f>G8*0.45</f>
        <v>3911410720.98</v>
      </c>
      <c r="H9" s="372" t="s">
        <v>316</v>
      </c>
      <c r="I9" s="368"/>
      <c r="J9" s="373"/>
      <c r="K9" s="366"/>
      <c r="M9" s="363"/>
    </row>
    <row r="10" spans="1:16" s="360" customFormat="1" x14ac:dyDescent="0.15">
      <c r="B10" s="362" t="s">
        <v>317</v>
      </c>
      <c r="G10" s="371">
        <f>G8*0.45</f>
        <v>3911410720.98</v>
      </c>
      <c r="H10" s="372" t="s">
        <v>318</v>
      </c>
      <c r="J10" s="371"/>
      <c r="K10" s="372"/>
      <c r="L10" s="370"/>
      <c r="M10" s="363"/>
    </row>
    <row r="11" spans="1:16" s="360" customFormat="1" x14ac:dyDescent="0.15">
      <c r="B11" s="362" t="s">
        <v>319</v>
      </c>
      <c r="G11" s="371">
        <f>G8*0.1</f>
        <v>869202382.44000006</v>
      </c>
      <c r="H11" s="372" t="s">
        <v>320</v>
      </c>
      <c r="I11" s="374"/>
      <c r="J11" s="375"/>
      <c r="K11" s="372"/>
      <c r="L11" s="370"/>
      <c r="M11" s="363"/>
    </row>
    <row r="12" spans="1:16" s="360" customFormat="1" ht="23.25" customHeight="1" x14ac:dyDescent="0.15">
      <c r="A12" s="376" t="s">
        <v>7</v>
      </c>
      <c r="B12" s="752" t="s">
        <v>171</v>
      </c>
      <c r="C12" s="458" t="s">
        <v>10</v>
      </c>
      <c r="D12" s="754" t="s">
        <v>10</v>
      </c>
      <c r="E12" s="458" t="s">
        <v>186</v>
      </c>
      <c r="F12" s="752" t="s">
        <v>188</v>
      </c>
      <c r="G12" s="458" t="s">
        <v>186</v>
      </c>
      <c r="H12" s="457" t="s">
        <v>321</v>
      </c>
      <c r="I12" s="754" t="s">
        <v>328</v>
      </c>
      <c r="J12" s="429" t="s">
        <v>322</v>
      </c>
      <c r="K12" s="429" t="s">
        <v>186</v>
      </c>
      <c r="L12" s="430" t="s">
        <v>186</v>
      </c>
      <c r="M12" s="431" t="s">
        <v>323</v>
      </c>
    </row>
    <row r="13" spans="1:16" s="360" customFormat="1" ht="22.5" x14ac:dyDescent="0.15">
      <c r="A13" s="377" t="s">
        <v>21</v>
      </c>
      <c r="B13" s="753"/>
      <c r="C13" s="460" t="s">
        <v>324</v>
      </c>
      <c r="D13" s="755"/>
      <c r="E13" s="432" t="s">
        <v>325</v>
      </c>
      <c r="F13" s="753"/>
      <c r="G13" s="432" t="s">
        <v>326</v>
      </c>
      <c r="H13" s="432" t="s">
        <v>327</v>
      </c>
      <c r="I13" s="755"/>
      <c r="J13" s="459" t="s">
        <v>329</v>
      </c>
      <c r="K13" s="432" t="s">
        <v>330</v>
      </c>
      <c r="L13" s="433" t="s">
        <v>331</v>
      </c>
      <c r="M13" s="434" t="s">
        <v>332</v>
      </c>
    </row>
    <row r="14" spans="1:16" s="360" customFormat="1" x14ac:dyDescent="0.15">
      <c r="A14" s="378" t="s">
        <v>33</v>
      </c>
      <c r="B14" s="756"/>
      <c r="C14" s="435">
        <v>4</v>
      </c>
      <c r="D14" s="435" t="s">
        <v>333</v>
      </c>
      <c r="E14" s="435" t="s">
        <v>334</v>
      </c>
      <c r="F14" s="435">
        <v>7</v>
      </c>
      <c r="G14" s="435" t="s">
        <v>335</v>
      </c>
      <c r="H14" s="435" t="s">
        <v>336</v>
      </c>
      <c r="I14" s="435" t="s">
        <v>337</v>
      </c>
      <c r="J14" s="435" t="s">
        <v>338</v>
      </c>
      <c r="K14" s="435" t="s">
        <v>339</v>
      </c>
      <c r="L14" s="435" t="s">
        <v>340</v>
      </c>
      <c r="M14" s="436" t="s">
        <v>341</v>
      </c>
    </row>
    <row r="15" spans="1:16" s="360" customFormat="1" x14ac:dyDescent="0.15">
      <c r="A15" s="379"/>
      <c r="B15" s="439"/>
      <c r="C15" s="437">
        <v>4748846</v>
      </c>
      <c r="D15" s="442">
        <v>100</v>
      </c>
      <c r="E15" s="437">
        <f t="shared" ref="E15:M15" si="0">SUM(E16:E128)</f>
        <v>3911410720.9800005</v>
      </c>
      <c r="F15" s="428">
        <f t="shared" si="0"/>
        <v>99.999999999999915</v>
      </c>
      <c r="G15" s="437">
        <f t="shared" si="0"/>
        <v>3911410720.9799986</v>
      </c>
      <c r="H15" s="438">
        <f t="shared" si="0"/>
        <v>7822821441.9599981</v>
      </c>
      <c r="I15" s="382">
        <f t="shared" si="0"/>
        <v>5.8065046959684583</v>
      </c>
      <c r="J15" s="382">
        <f t="shared" si="0"/>
        <v>100.00000000000006</v>
      </c>
      <c r="K15" s="383">
        <f t="shared" si="0"/>
        <v>869202382.44000041</v>
      </c>
      <c r="L15" s="383">
        <f t="shared" si="0"/>
        <v>8692023824.3999977</v>
      </c>
      <c r="M15" s="384">
        <f t="shared" si="0"/>
        <v>100.00000000000001</v>
      </c>
      <c r="N15" s="380"/>
      <c r="O15" s="381"/>
      <c r="P15" s="381"/>
    </row>
    <row r="16" spans="1:16" s="360" customFormat="1" x14ac:dyDescent="0.15">
      <c r="A16" s="385">
        <v>1</v>
      </c>
      <c r="B16" s="440" t="s">
        <v>43</v>
      </c>
      <c r="C16" s="443">
        <f>'COEFIC 2023'!E8</f>
        <v>11301</v>
      </c>
      <c r="D16" s="444">
        <f>'COEFIC 2023'!I8</f>
        <v>0.23797360453465957</v>
      </c>
      <c r="E16" s="445">
        <f t="shared" ref="E16:E47" si="1">$G$9*D16%</f>
        <v>9308125.0808712225</v>
      </c>
      <c r="F16" s="446">
        <f>'COEFIC 2023'!P8</f>
        <v>0.39190942225476838</v>
      </c>
      <c r="G16" s="447">
        <f t="shared" ref="G16:G47" si="2">$G$10*F16%</f>
        <v>15329187.158603789</v>
      </c>
      <c r="H16" s="445">
        <f t="shared" ref="H16:H47" si="3">E16+G16</f>
        <v>24637312.239475012</v>
      </c>
      <c r="I16" s="448">
        <f>(C16/H16%)</f>
        <v>4.5869451546313673E-2</v>
      </c>
      <c r="J16" s="449">
        <f t="shared" ref="J16:J47" si="4">I16/$I$15%</f>
        <v>0.78996666580088204</v>
      </c>
      <c r="K16" s="450">
        <f>$G$11*J16%</f>
        <v>6866409.0796231003</v>
      </c>
      <c r="L16" s="451">
        <f t="shared" ref="L16:L29" si="5">H16+K16</f>
        <v>31503721.319098111</v>
      </c>
      <c r="M16" s="446">
        <f>(L16/$L$129%)</f>
        <v>0.36244402863533093</v>
      </c>
      <c r="N16" s="386"/>
      <c r="O16" s="387"/>
      <c r="P16" s="388"/>
    </row>
    <row r="17" spans="1:16" s="360" customFormat="1" x14ac:dyDescent="0.15">
      <c r="A17" s="385">
        <v>2</v>
      </c>
      <c r="B17" s="440" t="s">
        <v>46</v>
      </c>
      <c r="C17" s="443">
        <f>'COEFIC 2023'!E9</f>
        <v>14754</v>
      </c>
      <c r="D17" s="444">
        <f>'COEFIC 2023'!I9</f>
        <v>0.31068600666351365</v>
      </c>
      <c r="E17" s="445">
        <f t="shared" si="1"/>
        <v>12152205.77322131</v>
      </c>
      <c r="F17" s="446">
        <f>'COEFIC 2023'!P9</f>
        <v>1.2675015186709291</v>
      </c>
      <c r="G17" s="447">
        <f t="shared" si="2"/>
        <v>49577190.289879039</v>
      </c>
      <c r="H17" s="445">
        <f t="shared" si="3"/>
        <v>61729396.063100353</v>
      </c>
      <c r="I17" s="448">
        <f>(C17/H17%)</f>
        <v>2.3901092414573971E-2</v>
      </c>
      <c r="J17" s="449">
        <f t="shared" si="4"/>
        <v>0.41162616179693873</v>
      </c>
      <c r="K17" s="450">
        <f t="shared" ref="K17:K47" si="6">$G$11*J17%</f>
        <v>3577864.4050853206</v>
      </c>
      <c r="L17" s="451">
        <f t="shared" si="5"/>
        <v>65307260.468185671</v>
      </c>
      <c r="M17" s="446">
        <f t="shared" ref="M17:M47" si="7">(L17/$L$129%)</f>
        <v>0.75134700258019338</v>
      </c>
      <c r="N17" s="386"/>
      <c r="O17" s="387"/>
      <c r="P17" s="388"/>
    </row>
    <row r="18" spans="1:16" s="360" customFormat="1" x14ac:dyDescent="0.15">
      <c r="A18" s="385">
        <v>3</v>
      </c>
      <c r="B18" s="440" t="s">
        <v>49</v>
      </c>
      <c r="C18" s="443">
        <f>'COEFIC 2023'!E10</f>
        <v>23000</v>
      </c>
      <c r="D18" s="444">
        <f>'COEFIC 2023'!I10</f>
        <v>0.48432819257562787</v>
      </c>
      <c r="E18" s="445">
        <f t="shared" si="1"/>
        <v>18944064.849131767</v>
      </c>
      <c r="F18" s="446">
        <f>'COEFIC 2023'!P10</f>
        <v>0.6143607387492529</v>
      </c>
      <c r="G18" s="447">
        <f t="shared" si="2"/>
        <v>24030171.800930206</v>
      </c>
      <c r="H18" s="445">
        <f t="shared" si="3"/>
        <v>42974236.650061972</v>
      </c>
      <c r="I18" s="448">
        <f t="shared" ref="I18:I47" si="8">(C18/H18%)</f>
        <v>5.3520438739350668E-2</v>
      </c>
      <c r="J18" s="449">
        <f t="shared" si="4"/>
        <v>0.92173246284482802</v>
      </c>
      <c r="K18" s="450">
        <f t="shared" si="6"/>
        <v>8011720.5267701335</v>
      </c>
      <c r="L18" s="451">
        <f t="shared" si="5"/>
        <v>50985957.17683211</v>
      </c>
      <c r="M18" s="446">
        <f t="shared" si="7"/>
        <v>0.58658326538067929</v>
      </c>
      <c r="N18" s="386"/>
      <c r="O18" s="387"/>
      <c r="P18" s="388"/>
    </row>
    <row r="19" spans="1:16" s="360" customFormat="1" x14ac:dyDescent="0.15">
      <c r="A19" s="385">
        <v>4</v>
      </c>
      <c r="B19" s="440" t="s">
        <v>52</v>
      </c>
      <c r="C19" s="443">
        <f>'COEFIC 2023'!E11</f>
        <v>14943</v>
      </c>
      <c r="D19" s="444">
        <f>'COEFIC 2023'!I11</f>
        <v>0.31466592094163509</v>
      </c>
      <c r="E19" s="445">
        <f t="shared" si="1"/>
        <v>12307876.566981567</v>
      </c>
      <c r="F19" s="446">
        <f>'COEFIC 2023'!P11</f>
        <v>0.39045222807652885</v>
      </c>
      <c r="G19" s="447">
        <f t="shared" si="2"/>
        <v>15272190.309290631</v>
      </c>
      <c r="H19" s="445">
        <f t="shared" si="3"/>
        <v>27580066.876272198</v>
      </c>
      <c r="I19" s="448">
        <f t="shared" si="8"/>
        <v>5.4180434249983006E-2</v>
      </c>
      <c r="J19" s="449">
        <f t="shared" si="4"/>
        <v>0.93309894828124873</v>
      </c>
      <c r="K19" s="450">
        <f t="shared" si="6"/>
        <v>8110518.2889831979</v>
      </c>
      <c r="L19" s="451">
        <f t="shared" si="5"/>
        <v>35690585.165255398</v>
      </c>
      <c r="M19" s="446">
        <f t="shared" si="7"/>
        <v>0.41061306188629881</v>
      </c>
      <c r="N19" s="386"/>
      <c r="O19" s="387"/>
      <c r="P19" s="388"/>
    </row>
    <row r="20" spans="1:16" s="360" customFormat="1" x14ac:dyDescent="0.15">
      <c r="A20" s="385">
        <v>5</v>
      </c>
      <c r="B20" s="440" t="s">
        <v>54</v>
      </c>
      <c r="C20" s="443">
        <f>'COEFIC 2023'!E12</f>
        <v>10892</v>
      </c>
      <c r="D20" s="444">
        <f>'COEFIC 2023'!I12</f>
        <v>0.22936098580581471</v>
      </c>
      <c r="E20" s="445">
        <f t="shared" si="1"/>
        <v>8971250.1885540523</v>
      </c>
      <c r="F20" s="446">
        <f>'COEFIC 2023'!P12</f>
        <v>0.41290602770742135</v>
      </c>
      <c r="G20" s="447">
        <f t="shared" si="2"/>
        <v>16150450.635320729</v>
      </c>
      <c r="H20" s="445">
        <f t="shared" si="3"/>
        <v>25121700.823874779</v>
      </c>
      <c r="I20" s="448">
        <f t="shared" si="8"/>
        <v>4.3356937001847527E-2</v>
      </c>
      <c r="J20" s="449">
        <f t="shared" si="4"/>
        <v>0.74669597756376371</v>
      </c>
      <c r="K20" s="450">
        <f t="shared" si="6"/>
        <v>6490299.2265678821</v>
      </c>
      <c r="L20" s="451">
        <f t="shared" si="5"/>
        <v>31612000.050442662</v>
      </c>
      <c r="M20" s="446">
        <f t="shared" si="7"/>
        <v>0.36368975383733271</v>
      </c>
      <c r="N20" s="386"/>
      <c r="O20" s="387"/>
      <c r="P20" s="388"/>
    </row>
    <row r="21" spans="1:16" s="360" customFormat="1" x14ac:dyDescent="0.15">
      <c r="A21" s="385">
        <v>6</v>
      </c>
      <c r="B21" s="440" t="s">
        <v>57</v>
      </c>
      <c r="C21" s="443">
        <f>'COEFIC 2023'!E13</f>
        <v>126191</v>
      </c>
      <c r="D21" s="444">
        <f>'COEFIC 2023'!I13</f>
        <v>2.6572982151874371</v>
      </c>
      <c r="E21" s="445">
        <f t="shared" si="1"/>
        <v>103937847.27725162</v>
      </c>
      <c r="F21" s="446">
        <f>'COEFIC 2023'!P13</f>
        <v>2.3148565147498155</v>
      </c>
      <c r="G21" s="447">
        <f t="shared" si="2"/>
        <v>90543545.893228263</v>
      </c>
      <c r="H21" s="445">
        <f t="shared" si="3"/>
        <v>194481393.17047989</v>
      </c>
      <c r="I21" s="448">
        <f t="shared" si="8"/>
        <v>6.4885898821890164E-2</v>
      </c>
      <c r="J21" s="449">
        <f t="shared" si="4"/>
        <v>1.1174691526029661</v>
      </c>
      <c r="K21" s="450">
        <f t="shared" si="6"/>
        <v>9713068.497457061</v>
      </c>
      <c r="L21" s="451">
        <f t="shared" si="5"/>
        <v>204194461.66793695</v>
      </c>
      <c r="M21" s="446">
        <f t="shared" si="7"/>
        <v>2.3492165437320613</v>
      </c>
      <c r="N21" s="386"/>
      <c r="O21" s="387"/>
      <c r="P21" s="388"/>
    </row>
    <row r="22" spans="1:16" s="360" customFormat="1" x14ac:dyDescent="0.15">
      <c r="A22" s="385">
        <v>7</v>
      </c>
      <c r="B22" s="440" t="s">
        <v>44</v>
      </c>
      <c r="C22" s="443">
        <f>'COEFIC 2023'!E14</f>
        <v>3529</v>
      </c>
      <c r="D22" s="444">
        <f>'COEFIC 2023'!I14</f>
        <v>7.4312790939103937E-2</v>
      </c>
      <c r="E22" s="445">
        <f t="shared" si="1"/>
        <v>2906678.4718515654</v>
      </c>
      <c r="F22" s="446">
        <f>'COEFIC 2023'!P14</f>
        <v>0.37653818456552185</v>
      </c>
      <c r="G22" s="447">
        <f t="shared" si="2"/>
        <v>14727954.919679282</v>
      </c>
      <c r="H22" s="445">
        <f t="shared" si="3"/>
        <v>17634633.391530849</v>
      </c>
      <c r="I22" s="448">
        <f t="shared" si="8"/>
        <v>2.001175710119852E-2</v>
      </c>
      <c r="J22" s="449">
        <f t="shared" si="4"/>
        <v>0.3446437770918015</v>
      </c>
      <c r="K22" s="450">
        <f t="shared" si="6"/>
        <v>2995651.9214131418</v>
      </c>
      <c r="L22" s="452">
        <f t="shared" si="5"/>
        <v>20630285.312943991</v>
      </c>
      <c r="M22" s="446">
        <f t="shared" si="7"/>
        <v>0.23734731668626186</v>
      </c>
      <c r="N22" s="386"/>
      <c r="O22" s="387"/>
      <c r="P22" s="388"/>
    </row>
    <row r="23" spans="1:16" s="360" customFormat="1" x14ac:dyDescent="0.15">
      <c r="A23" s="385">
        <v>8</v>
      </c>
      <c r="B23" s="440" t="s">
        <v>59</v>
      </c>
      <c r="C23" s="443">
        <f>'COEFIC 2023'!E15</f>
        <v>24676</v>
      </c>
      <c r="D23" s="444">
        <f>'COEFIC 2023'!I15</f>
        <v>0.51962097739113877</v>
      </c>
      <c r="E23" s="445">
        <f t="shared" si="1"/>
        <v>20324510.618138064</v>
      </c>
      <c r="F23" s="446">
        <f>'COEFIC 2023'!P15</f>
        <v>2.3668185263996966</v>
      </c>
      <c r="G23" s="447">
        <f t="shared" si="2"/>
        <v>92575993.587738574</v>
      </c>
      <c r="H23" s="445">
        <f t="shared" si="3"/>
        <v>112900504.20587663</v>
      </c>
      <c r="I23" s="448">
        <f t="shared" si="8"/>
        <v>2.1856412576336023E-2</v>
      </c>
      <c r="J23" s="449">
        <f t="shared" si="4"/>
        <v>0.37641255317525624</v>
      </c>
      <c r="K23" s="450">
        <f t="shared" si="6"/>
        <v>3271786.8800025592</v>
      </c>
      <c r="L23" s="451">
        <f t="shared" si="5"/>
        <v>116172291.08587919</v>
      </c>
      <c r="M23" s="446">
        <f t="shared" si="7"/>
        <v>1.3365390320234019</v>
      </c>
      <c r="N23" s="386"/>
      <c r="O23" s="387"/>
      <c r="P23" s="388"/>
    </row>
    <row r="24" spans="1:16" s="360" customFormat="1" x14ac:dyDescent="0.15">
      <c r="A24" s="385">
        <v>9</v>
      </c>
      <c r="B24" s="440" t="s">
        <v>342</v>
      </c>
      <c r="C24" s="443">
        <f>'COEFIC 2023'!E16</f>
        <v>36268</v>
      </c>
      <c r="D24" s="444">
        <f>'COEFIC 2023'!I16</f>
        <v>0.76372238644925527</v>
      </c>
      <c r="E24" s="445">
        <f t="shared" si="1"/>
        <v>29872319.302100476</v>
      </c>
      <c r="F24" s="446">
        <f>'COEFIC 2023'!P16</f>
        <v>0.92206001121936687</v>
      </c>
      <c r="G24" s="447">
        <f t="shared" si="2"/>
        <v>36065554.132703707</v>
      </c>
      <c r="H24" s="445">
        <f t="shared" si="3"/>
        <v>65937873.434804186</v>
      </c>
      <c r="I24" s="448">
        <f t="shared" si="8"/>
        <v>5.5003290386457251E-2</v>
      </c>
      <c r="J24" s="449">
        <f t="shared" si="4"/>
        <v>0.9472702299654876</v>
      </c>
      <c r="K24" s="450">
        <f t="shared" si="6"/>
        <v>8233695.4070048863</v>
      </c>
      <c r="L24" s="451">
        <f t="shared" si="5"/>
        <v>74171568.841809079</v>
      </c>
      <c r="M24" s="446">
        <f t="shared" si="7"/>
        <v>0.85332910194742906</v>
      </c>
      <c r="N24" s="386"/>
      <c r="O24" s="387"/>
      <c r="P24" s="388"/>
    </row>
    <row r="25" spans="1:16" s="360" customFormat="1" x14ac:dyDescent="0.15">
      <c r="A25" s="385">
        <v>10</v>
      </c>
      <c r="B25" s="440" t="s">
        <v>64</v>
      </c>
      <c r="C25" s="443">
        <f>'COEFIC 2023'!E17</f>
        <v>20332</v>
      </c>
      <c r="D25" s="444">
        <f>'COEFIC 2023'!I17</f>
        <v>0.428146122236855</v>
      </c>
      <c r="E25" s="445">
        <f t="shared" si="1"/>
        <v>16746553.326632483</v>
      </c>
      <c r="F25" s="446">
        <f>'COEFIC 2023'!P17</f>
        <v>2.5709050555810502</v>
      </c>
      <c r="G25" s="447">
        <f t="shared" si="2"/>
        <v>100558655.97021402</v>
      </c>
      <c r="H25" s="445">
        <f t="shared" si="3"/>
        <v>117305209.29684651</v>
      </c>
      <c r="I25" s="448">
        <f t="shared" si="8"/>
        <v>1.733256359361577E-2</v>
      </c>
      <c r="J25" s="449">
        <f t="shared" si="4"/>
        <v>0.29850253295498103</v>
      </c>
      <c r="K25" s="450">
        <f t="shared" si="6"/>
        <v>2594591.1280884412</v>
      </c>
      <c r="L25" s="451">
        <f t="shared" si="5"/>
        <v>119899800.42493495</v>
      </c>
      <c r="M25" s="446">
        <f t="shared" si="7"/>
        <v>1.379423283313556</v>
      </c>
      <c r="N25" s="386"/>
      <c r="O25" s="387"/>
      <c r="P25" s="388"/>
    </row>
    <row r="26" spans="1:16" s="360" customFormat="1" x14ac:dyDescent="0.15">
      <c r="A26" s="385">
        <v>11</v>
      </c>
      <c r="B26" s="440" t="s">
        <v>343</v>
      </c>
      <c r="C26" s="443">
        <f>'COEFIC 2023'!E18</f>
        <v>11681</v>
      </c>
      <c r="D26" s="444">
        <f>'COEFIC 2023'!I18</f>
        <v>0.24597554858590909</v>
      </c>
      <c r="E26" s="445">
        <f t="shared" si="1"/>
        <v>9621113.9783786163</v>
      </c>
      <c r="F26" s="446">
        <f>'COEFIC 2023'!P18</f>
        <v>0.48150914529440353</v>
      </c>
      <c r="G26" s="447">
        <f t="shared" si="2"/>
        <v>18833800.331544466</v>
      </c>
      <c r="H26" s="445">
        <f t="shared" si="3"/>
        <v>28454914.309923083</v>
      </c>
      <c r="I26" s="448">
        <f t="shared" si="8"/>
        <v>4.1050905558083106E-2</v>
      </c>
      <c r="J26" s="449">
        <f t="shared" si="4"/>
        <v>0.7069813546622179</v>
      </c>
      <c r="K26" s="450">
        <f t="shared" si="6"/>
        <v>6145098.7781305844</v>
      </c>
      <c r="L26" s="451">
        <f t="shared" si="5"/>
        <v>34600013.088053666</v>
      </c>
      <c r="M26" s="446">
        <f t="shared" si="7"/>
        <v>0.3980662477123626</v>
      </c>
      <c r="N26" s="386"/>
      <c r="O26" s="387"/>
      <c r="P26" s="388"/>
    </row>
    <row r="27" spans="1:16" s="360" customFormat="1" x14ac:dyDescent="0.15">
      <c r="A27" s="385">
        <v>12</v>
      </c>
      <c r="B27" s="440" t="s">
        <v>70</v>
      </c>
      <c r="C27" s="443">
        <f>'COEFIC 2023'!E19</f>
        <v>45538</v>
      </c>
      <c r="D27" s="444">
        <f>'COEFIC 2023'!I19</f>
        <v>0.95892770580473663</v>
      </c>
      <c r="E27" s="445">
        <f t="shared" si="1"/>
        <v>37507601.09129402</v>
      </c>
      <c r="F27" s="446">
        <f>'COEFIC 2023'!P19</f>
        <v>1.0229413737008273</v>
      </c>
      <c r="G27" s="447">
        <f t="shared" si="2"/>
        <v>40011438.560274251</v>
      </c>
      <c r="H27" s="445">
        <f t="shared" si="3"/>
        <v>77519039.651568264</v>
      </c>
      <c r="I27" s="448">
        <f t="shared" si="8"/>
        <v>5.874427779895585E-2</v>
      </c>
      <c r="J27" s="449">
        <f t="shared" si="4"/>
        <v>1.0116977575122408</v>
      </c>
      <c r="K27" s="450">
        <f t="shared" si="6"/>
        <v>8793701.0113884509</v>
      </c>
      <c r="L27" s="451">
        <f t="shared" si="5"/>
        <v>86312740.662956715</v>
      </c>
      <c r="M27" s="446">
        <f t="shared" si="7"/>
        <v>0.99301086152872808</v>
      </c>
      <c r="N27" s="386"/>
      <c r="O27" s="387"/>
      <c r="P27" s="388"/>
    </row>
    <row r="28" spans="1:16" s="360" customFormat="1" x14ac:dyDescent="0.15">
      <c r="A28" s="385">
        <v>13</v>
      </c>
      <c r="B28" s="440" t="s">
        <v>73</v>
      </c>
      <c r="C28" s="443">
        <f>'COEFIC 2023'!E20</f>
        <v>9176</v>
      </c>
      <c r="D28" s="444">
        <f>'COEFIC 2023'!I20</f>
        <v>0.19322589109017221</v>
      </c>
      <c r="E28" s="445">
        <f t="shared" si="1"/>
        <v>7557858.2198101347</v>
      </c>
      <c r="F28" s="446">
        <f>'COEFIC 2023'!P20</f>
        <v>0.96514801886169921</v>
      </c>
      <c r="G28" s="447">
        <f t="shared" si="2"/>
        <v>37750903.083082579</v>
      </c>
      <c r="H28" s="445">
        <f t="shared" si="3"/>
        <v>45308761.302892715</v>
      </c>
      <c r="I28" s="448">
        <f t="shared" si="8"/>
        <v>2.0252153747169786E-2</v>
      </c>
      <c r="J28" s="449">
        <f t="shared" si="4"/>
        <v>0.34878390370081253</v>
      </c>
      <c r="K28" s="450">
        <f t="shared" si="6"/>
        <v>3031638.0005346979</v>
      </c>
      <c r="L28" s="451">
        <f t="shared" si="5"/>
        <v>48340399.303427413</v>
      </c>
      <c r="M28" s="446">
        <f t="shared" si="7"/>
        <v>0.55614664984842366</v>
      </c>
      <c r="N28" s="386"/>
      <c r="O28" s="387"/>
      <c r="P28" s="388"/>
    </row>
    <row r="29" spans="1:16" s="360" customFormat="1" x14ac:dyDescent="0.15">
      <c r="A29" s="385">
        <v>14</v>
      </c>
      <c r="B29" s="440" t="s">
        <v>75</v>
      </c>
      <c r="C29" s="443">
        <f>'COEFIC 2023'!E21</f>
        <v>17022</v>
      </c>
      <c r="D29" s="444">
        <f>'COEFIC 2023'!I21</f>
        <v>0.35844497800097119</v>
      </c>
      <c r="E29" s="445">
        <f t="shared" si="1"/>
        <v>14020255.298344389</v>
      </c>
      <c r="F29" s="446">
        <f>'COEFIC 2023'!P21</f>
        <v>0.57115855003271865</v>
      </c>
      <c r="G29" s="447">
        <f t="shared" si="2"/>
        <v>22340356.759773675</v>
      </c>
      <c r="H29" s="445">
        <f t="shared" si="3"/>
        <v>36360612.05811806</v>
      </c>
      <c r="I29" s="448">
        <f t="shared" si="8"/>
        <v>4.6814393478284637E-2</v>
      </c>
      <c r="J29" s="449">
        <f t="shared" si="4"/>
        <v>0.80624051696347643</v>
      </c>
      <c r="K29" s="450">
        <f t="shared" si="6"/>
        <v>7007861.7816431103</v>
      </c>
      <c r="L29" s="451">
        <f t="shared" si="5"/>
        <v>43368473.839761168</v>
      </c>
      <c r="M29" s="446">
        <f t="shared" si="7"/>
        <v>0.49894563931150815</v>
      </c>
      <c r="N29" s="386"/>
      <c r="O29" s="387"/>
      <c r="P29" s="388"/>
    </row>
    <row r="30" spans="1:16" s="360" customFormat="1" ht="22.5" x14ac:dyDescent="0.15">
      <c r="A30" s="385">
        <v>15</v>
      </c>
      <c r="B30" s="441" t="s">
        <v>77</v>
      </c>
      <c r="C30" s="443">
        <f>'COEFIC 2023'!E22</f>
        <v>19633</v>
      </c>
      <c r="D30" s="444">
        <f>'COEFIC 2023'!I22</f>
        <v>0.41342675673205659</v>
      </c>
      <c r="E30" s="445">
        <f t="shared" si="1"/>
        <v>16170818.486217566</v>
      </c>
      <c r="F30" s="446">
        <f>'COEFIC 2023'!P22</f>
        <v>2.4541796257109025</v>
      </c>
      <c r="G30" s="447">
        <f t="shared" si="2"/>
        <v>95993044.992163077</v>
      </c>
      <c r="H30" s="445">
        <f t="shared" si="3"/>
        <v>112163863.47838065</v>
      </c>
      <c r="I30" s="448">
        <f t="shared" si="8"/>
        <v>1.7503854977128367E-2</v>
      </c>
      <c r="J30" s="449">
        <f t="shared" si="4"/>
        <v>0.30145252425752023</v>
      </c>
      <c r="K30" s="450">
        <f t="shared" si="6"/>
        <v>2620232.5227718847</v>
      </c>
      <c r="L30" s="451">
        <f>H30+K30</f>
        <v>114784096.00115253</v>
      </c>
      <c r="M30" s="446">
        <f t="shared" si="7"/>
        <v>1.320568124525084</v>
      </c>
      <c r="N30" s="386"/>
      <c r="O30" s="387"/>
      <c r="P30" s="388"/>
    </row>
    <row r="31" spans="1:16" s="360" customFormat="1" x14ac:dyDescent="0.15">
      <c r="A31" s="385">
        <v>16</v>
      </c>
      <c r="B31" s="440" t="s">
        <v>79</v>
      </c>
      <c r="C31" s="443">
        <f>'COEFIC 2023'!E23</f>
        <v>20965</v>
      </c>
      <c r="D31" s="444">
        <f>'COEFIC 2023'!I23</f>
        <v>0.44147567640643642</v>
      </c>
      <c r="E31" s="445">
        <f t="shared" si="1"/>
        <v>17267926.937480327</v>
      </c>
      <c r="F31" s="446">
        <f>'COEFIC 2023'!P23</f>
        <v>0.50820227003137264</v>
      </c>
      <c r="G31" s="447">
        <f t="shared" si="2"/>
        <v>19877878.074270841</v>
      </c>
      <c r="H31" s="445">
        <f t="shared" si="3"/>
        <v>37145805.011751167</v>
      </c>
      <c r="I31" s="448">
        <f t="shared" si="8"/>
        <v>5.6439751388797935E-2</v>
      </c>
      <c r="J31" s="449">
        <f t="shared" si="4"/>
        <v>0.97200905439695728</v>
      </c>
      <c r="K31" s="450">
        <f t="shared" si="6"/>
        <v>8448725.8583508693</v>
      </c>
      <c r="L31" s="451">
        <f t="shared" ref="L31:L62" si="9">H31+K31</f>
        <v>45594530.870102033</v>
      </c>
      <c r="M31" s="446">
        <f t="shared" si="7"/>
        <v>0.52455598133671</v>
      </c>
      <c r="N31" s="386"/>
      <c r="O31" s="387"/>
      <c r="P31" s="388"/>
    </row>
    <row r="32" spans="1:16" s="360" customFormat="1" x14ac:dyDescent="0.15">
      <c r="A32" s="385">
        <v>17</v>
      </c>
      <c r="B32" s="440" t="s">
        <v>81</v>
      </c>
      <c r="C32" s="443">
        <f>'COEFIC 2023'!E24</f>
        <v>35070</v>
      </c>
      <c r="D32" s="444">
        <f>'COEFIC 2023'!I24</f>
        <v>0.73849520494031606</v>
      </c>
      <c r="E32" s="445">
        <f t="shared" si="1"/>
        <v>28885580.619958743</v>
      </c>
      <c r="F32" s="446">
        <f>'COEFIC 2023'!P24</f>
        <v>0.66896812392176042</v>
      </c>
      <c r="G32" s="447">
        <f t="shared" si="2"/>
        <v>26166090.91901451</v>
      </c>
      <c r="H32" s="445">
        <f t="shared" si="3"/>
        <v>55051671.538973257</v>
      </c>
      <c r="I32" s="448">
        <f t="shared" si="8"/>
        <v>6.3703787768138079E-2</v>
      </c>
      <c r="J32" s="449">
        <f t="shared" si="4"/>
        <v>1.0971107594620315</v>
      </c>
      <c r="K32" s="450">
        <f t="shared" si="6"/>
        <v>9536112.8592495564</v>
      </c>
      <c r="L32" s="451">
        <f t="shared" si="9"/>
        <v>64587784.398222812</v>
      </c>
      <c r="M32" s="446">
        <f t="shared" si="7"/>
        <v>0.74306957393413786</v>
      </c>
      <c r="N32" s="386"/>
      <c r="O32" s="387"/>
      <c r="P32" s="388"/>
    </row>
    <row r="33" spans="1:16" s="360" customFormat="1" x14ac:dyDescent="0.15">
      <c r="A33" s="385">
        <v>18</v>
      </c>
      <c r="B33" s="440" t="s">
        <v>82</v>
      </c>
      <c r="C33" s="443">
        <f>'COEFIC 2023'!E25</f>
        <v>9484</v>
      </c>
      <c r="D33" s="444">
        <f>'COEFIC 2023'!I25</f>
        <v>0.19971167732118497</v>
      </c>
      <c r="E33" s="445">
        <f t="shared" si="1"/>
        <v>7811543.9577898122</v>
      </c>
      <c r="F33" s="446">
        <f>'COEFIC 2023'!P25</f>
        <v>0.28026543034401025</v>
      </c>
      <c r="G33" s="447">
        <f t="shared" si="2"/>
        <v>10962332.08967635</v>
      </c>
      <c r="H33" s="445">
        <f t="shared" si="3"/>
        <v>18773876.047466163</v>
      </c>
      <c r="I33" s="448">
        <f t="shared" si="8"/>
        <v>5.0517005524173673E-2</v>
      </c>
      <c r="J33" s="449">
        <f t="shared" si="4"/>
        <v>0.87000714146065139</v>
      </c>
      <c r="K33" s="450">
        <f t="shared" si="6"/>
        <v>7562122.8009741241</v>
      </c>
      <c r="L33" s="451">
        <f t="shared" si="9"/>
        <v>26335998.848440286</v>
      </c>
      <c r="M33" s="446">
        <f t="shared" si="7"/>
        <v>0.3029904125954031</v>
      </c>
      <c r="N33" s="386"/>
      <c r="O33" s="387"/>
      <c r="P33" s="388"/>
    </row>
    <row r="34" spans="1:16" s="360" customFormat="1" x14ac:dyDescent="0.15">
      <c r="A34" s="385">
        <v>19</v>
      </c>
      <c r="B34" s="440" t="s">
        <v>344</v>
      </c>
      <c r="C34" s="443">
        <f>'COEFIC 2023'!E26</f>
        <v>20198</v>
      </c>
      <c r="D34" s="444">
        <f>'COEFIC 2023'!I26</f>
        <v>0.42532438407141443</v>
      </c>
      <c r="E34" s="445">
        <f t="shared" si="1"/>
        <v>16636183.557511456</v>
      </c>
      <c r="F34" s="446">
        <f>'COEFIC 2023'!P26</f>
        <v>0.62493143387391448</v>
      </c>
      <c r="G34" s="447">
        <f t="shared" si="2"/>
        <v>24443635.10331833</v>
      </c>
      <c r="H34" s="445">
        <f t="shared" si="3"/>
        <v>41079818.660829782</v>
      </c>
      <c r="I34" s="448">
        <f t="shared" si="8"/>
        <v>4.9167695132157664E-2</v>
      </c>
      <c r="J34" s="449">
        <f t="shared" si="4"/>
        <v>0.84676923048551944</v>
      </c>
      <c r="K34" s="450">
        <f t="shared" si="6"/>
        <v>7360138.3251489894</v>
      </c>
      <c r="L34" s="451">
        <f t="shared" si="9"/>
        <v>48439956.985978775</v>
      </c>
      <c r="M34" s="446">
        <f t="shared" si="7"/>
        <v>0.55729204112395014</v>
      </c>
      <c r="N34" s="386"/>
      <c r="O34" s="387"/>
      <c r="P34" s="388"/>
    </row>
    <row r="35" spans="1:16" s="360" customFormat="1" x14ac:dyDescent="0.15">
      <c r="A35" s="385">
        <v>20</v>
      </c>
      <c r="B35" s="440" t="s">
        <v>87</v>
      </c>
      <c r="C35" s="443">
        <f>'COEFIC 2023'!E27</f>
        <v>29910</v>
      </c>
      <c r="D35" s="444">
        <f>'COEFIC 2023'!I27</f>
        <v>0.62983722782334906</v>
      </c>
      <c r="E35" s="445">
        <f t="shared" si="1"/>
        <v>24635520.853805706</v>
      </c>
      <c r="F35" s="446">
        <f>'COEFIC 2023'!P27</f>
        <v>0.53262041220293821</v>
      </c>
      <c r="G35" s="447">
        <f t="shared" si="2"/>
        <v>20832971.905033596</v>
      </c>
      <c r="H35" s="445">
        <f t="shared" si="3"/>
        <v>45468492.758839302</v>
      </c>
      <c r="I35" s="448">
        <f t="shared" si="8"/>
        <v>6.5781815462060467E-2</v>
      </c>
      <c r="J35" s="449">
        <f t="shared" si="4"/>
        <v>1.1328986870144744</v>
      </c>
      <c r="K35" s="450">
        <f t="shared" si="6"/>
        <v>9847182.3781612907</v>
      </c>
      <c r="L35" s="451">
        <f t="shared" si="9"/>
        <v>55315675.137000591</v>
      </c>
      <c r="M35" s="446">
        <f t="shared" si="7"/>
        <v>0.636395806713277</v>
      </c>
      <c r="N35" s="386"/>
      <c r="O35" s="387"/>
      <c r="P35" s="388"/>
    </row>
    <row r="36" spans="1:16" s="360" customFormat="1" x14ac:dyDescent="0.15">
      <c r="A36" s="385">
        <v>21</v>
      </c>
      <c r="B36" s="440" t="s">
        <v>88</v>
      </c>
      <c r="C36" s="443">
        <f>'COEFIC 2023'!E28</f>
        <v>13539</v>
      </c>
      <c r="D36" s="444">
        <f>'COEFIC 2023'!I28</f>
        <v>0.28510084344701853</v>
      </c>
      <c r="E36" s="445">
        <f t="shared" si="1"/>
        <v>11151464.956191089</v>
      </c>
      <c r="F36" s="446">
        <f>'COEFIC 2023'!P28</f>
        <v>0.29534014984136081</v>
      </c>
      <c r="G36" s="447">
        <f t="shared" si="2"/>
        <v>11551966.284253383</v>
      </c>
      <c r="H36" s="445">
        <f t="shared" si="3"/>
        <v>22703431.240444474</v>
      </c>
      <c r="I36" s="448">
        <f t="shared" si="8"/>
        <v>5.9634157747403743E-2</v>
      </c>
      <c r="J36" s="449">
        <f t="shared" si="4"/>
        <v>1.0270233276278691</v>
      </c>
      <c r="K36" s="450">
        <f t="shared" si="6"/>
        <v>8926911.2319560051</v>
      </c>
      <c r="L36" s="451">
        <f t="shared" si="9"/>
        <v>31630342.472400479</v>
      </c>
      <c r="M36" s="446">
        <f t="shared" si="7"/>
        <v>0.36390077974255775</v>
      </c>
      <c r="N36" s="386"/>
      <c r="O36" s="387"/>
      <c r="P36" s="388"/>
    </row>
    <row r="37" spans="1:16" s="360" customFormat="1" x14ac:dyDescent="0.15">
      <c r="A37" s="385">
        <v>22</v>
      </c>
      <c r="B37" s="440" t="s">
        <v>91</v>
      </c>
      <c r="C37" s="443">
        <f>'COEFIC 2023'!E29</f>
        <v>25138</v>
      </c>
      <c r="D37" s="444">
        <f>'COEFIC 2023'!I29</f>
        <v>0.52934965673765799</v>
      </c>
      <c r="E37" s="445">
        <f t="shared" si="1"/>
        <v>20705039.225107584</v>
      </c>
      <c r="F37" s="446">
        <f>'COEFIC 2023'!P29</f>
        <v>0.58909725889407172</v>
      </c>
      <c r="G37" s="447">
        <f t="shared" si="2"/>
        <v>23042013.341382027</v>
      </c>
      <c r="H37" s="445">
        <f t="shared" si="3"/>
        <v>43747052.566489607</v>
      </c>
      <c r="I37" s="448">
        <f t="shared" si="8"/>
        <v>5.7462156934558362E-2</v>
      </c>
      <c r="J37" s="449">
        <f t="shared" si="4"/>
        <v>0.9896169889340688</v>
      </c>
      <c r="K37" s="450">
        <f t="shared" si="6"/>
        <v>8601774.4448459167</v>
      </c>
      <c r="L37" s="451">
        <f t="shared" si="9"/>
        <v>52348827.011335522</v>
      </c>
      <c r="M37" s="446">
        <f t="shared" si="7"/>
        <v>0.60226281092768541</v>
      </c>
      <c r="N37" s="386"/>
      <c r="O37" s="387"/>
      <c r="P37" s="388"/>
    </row>
    <row r="38" spans="1:16" s="360" customFormat="1" x14ac:dyDescent="0.15">
      <c r="A38" s="385">
        <v>23</v>
      </c>
      <c r="B38" s="440" t="s">
        <v>60</v>
      </c>
      <c r="C38" s="443">
        <f>'COEFIC 2023'!E30</f>
        <v>10417</v>
      </c>
      <c r="D38" s="444">
        <f>'COEFIC 2023'!I30</f>
        <v>0.21935855574175284</v>
      </c>
      <c r="E38" s="445">
        <f t="shared" si="1"/>
        <v>8580014.0666698106</v>
      </c>
      <c r="F38" s="446">
        <f>'COEFIC 2023'!P30</f>
        <v>0.33156680672772304</v>
      </c>
      <c r="G38" s="447">
        <f t="shared" si="2"/>
        <v>12968939.625559196</v>
      </c>
      <c r="H38" s="445">
        <f t="shared" si="3"/>
        <v>21548953.692229006</v>
      </c>
      <c r="I38" s="448">
        <f t="shared" si="8"/>
        <v>4.834109418387484E-2</v>
      </c>
      <c r="J38" s="449">
        <f t="shared" si="4"/>
        <v>0.83253345540973678</v>
      </c>
      <c r="K38" s="450">
        <f t="shared" si="6"/>
        <v>7236400.6290314868</v>
      </c>
      <c r="L38" s="451">
        <f t="shared" si="9"/>
        <v>28785354.321260493</v>
      </c>
      <c r="M38" s="446">
        <f t="shared" si="7"/>
        <v>0.33116975865223797</v>
      </c>
      <c r="N38" s="386"/>
      <c r="O38" s="387"/>
      <c r="P38" s="388"/>
    </row>
    <row r="39" spans="1:16" s="360" customFormat="1" x14ac:dyDescent="0.15">
      <c r="A39" s="385">
        <v>24</v>
      </c>
      <c r="B39" s="440" t="s">
        <v>95</v>
      </c>
      <c r="C39" s="443">
        <f>'COEFIC 2023'!E31</f>
        <v>20586</v>
      </c>
      <c r="D39" s="444">
        <f>'COEFIC 2023'!I31</f>
        <v>0.43349479010269021</v>
      </c>
      <c r="E39" s="445">
        <f t="shared" si="1"/>
        <v>16955761.694966372</v>
      </c>
      <c r="F39" s="446">
        <f>'COEFIC 2023'!P31</f>
        <v>0.37830699446529953</v>
      </c>
      <c r="G39" s="447">
        <f t="shared" si="2"/>
        <v>14797140.339732941</v>
      </c>
      <c r="H39" s="445">
        <f t="shared" si="3"/>
        <v>31752902.034699313</v>
      </c>
      <c r="I39" s="448">
        <f t="shared" si="8"/>
        <v>6.4831869469769376E-2</v>
      </c>
      <c r="J39" s="449">
        <f t="shared" si="4"/>
        <v>1.1165386556009005</v>
      </c>
      <c r="K39" s="450">
        <f t="shared" si="6"/>
        <v>9704980.5953465756</v>
      </c>
      <c r="L39" s="451">
        <f t="shared" si="9"/>
        <v>41457882.630045891</v>
      </c>
      <c r="M39" s="446">
        <f t="shared" si="7"/>
        <v>0.47696466861568559</v>
      </c>
      <c r="N39" s="386"/>
      <c r="O39" s="387"/>
      <c r="P39" s="388"/>
    </row>
    <row r="40" spans="1:16" s="360" customFormat="1" x14ac:dyDescent="0.15">
      <c r="A40" s="385">
        <v>25</v>
      </c>
      <c r="B40" s="440" t="s">
        <v>97</v>
      </c>
      <c r="C40" s="443">
        <f>'COEFIC 2023'!E32</f>
        <v>40560</v>
      </c>
      <c r="D40" s="444">
        <f>'COEFIC 2023'!I32</f>
        <v>0.8541022387333681</v>
      </c>
      <c r="E40" s="445">
        <f t="shared" si="1"/>
        <v>33407446.533947155</v>
      </c>
      <c r="F40" s="446">
        <f>'COEFIC 2023'!P32</f>
        <v>0.57696638894395824</v>
      </c>
      <c r="G40" s="447">
        <f t="shared" si="2"/>
        <v>22567525.193605147</v>
      </c>
      <c r="H40" s="445">
        <f t="shared" si="3"/>
        <v>55974971.727552302</v>
      </c>
      <c r="I40" s="448">
        <f t="shared" si="8"/>
        <v>7.2460956652945191E-2</v>
      </c>
      <c r="J40" s="449">
        <f t="shared" si="4"/>
        <v>1.2479272892564075</v>
      </c>
      <c r="K40" s="450">
        <f t="shared" si="6"/>
        <v>10847013.729335604</v>
      </c>
      <c r="L40" s="451">
        <f t="shared" si="9"/>
        <v>66821985.456887908</v>
      </c>
      <c r="M40" s="446">
        <f t="shared" si="7"/>
        <v>0.76877361138043787</v>
      </c>
      <c r="N40" s="386"/>
      <c r="O40" s="387"/>
      <c r="P40" s="388"/>
    </row>
    <row r="41" spans="1:16" s="360" customFormat="1" x14ac:dyDescent="0.15">
      <c r="A41" s="385">
        <v>26</v>
      </c>
      <c r="B41" s="440" t="s">
        <v>345</v>
      </c>
      <c r="C41" s="443">
        <f>'COEFIC 2023'!E33</f>
        <v>4773</v>
      </c>
      <c r="D41" s="444">
        <f>'COEFIC 2023'!I33</f>
        <v>0.10050862883319442</v>
      </c>
      <c r="E41" s="445">
        <f t="shared" si="1"/>
        <v>3931305.2836915618</v>
      </c>
      <c r="F41" s="446">
        <f>'COEFIC 2023'!P33</f>
        <v>0.94812774970318459</v>
      </c>
      <c r="G41" s="447">
        <f t="shared" si="2"/>
        <v>37085170.450476781</v>
      </c>
      <c r="H41" s="445">
        <f t="shared" si="3"/>
        <v>41016475.734168343</v>
      </c>
      <c r="I41" s="448">
        <f t="shared" si="8"/>
        <v>1.1636787204571803E-2</v>
      </c>
      <c r="J41" s="449">
        <f t="shared" si="4"/>
        <v>0.20040950302944549</v>
      </c>
      <c r="K41" s="450">
        <f t="shared" si="6"/>
        <v>1741964.1749681043</v>
      </c>
      <c r="L41" s="451">
        <f t="shared" si="9"/>
        <v>42758439.909136444</v>
      </c>
      <c r="M41" s="446">
        <f t="shared" si="7"/>
        <v>0.49192732064431521</v>
      </c>
      <c r="N41" s="386"/>
      <c r="O41" s="387"/>
      <c r="P41" s="388"/>
    </row>
    <row r="42" spans="1:16" s="360" customFormat="1" x14ac:dyDescent="0.15">
      <c r="A42" s="385">
        <v>27</v>
      </c>
      <c r="B42" s="440" t="s">
        <v>71</v>
      </c>
      <c r="C42" s="443">
        <f>'COEFIC 2023'!E34</f>
        <v>4944</v>
      </c>
      <c r="D42" s="444">
        <f>'COEFIC 2023'!I34</f>
        <v>0.10410950365625671</v>
      </c>
      <c r="E42" s="445">
        <f t="shared" si="1"/>
        <v>4072150.2875698903</v>
      </c>
      <c r="F42" s="446">
        <f>'COEFIC 2023'!P34</f>
        <v>0.23628668401264072</v>
      </c>
      <c r="G42" s="447">
        <f t="shared" si="2"/>
        <v>9242142.6907185651</v>
      </c>
      <c r="H42" s="445">
        <f t="shared" si="3"/>
        <v>13314292.978288455</v>
      </c>
      <c r="I42" s="448">
        <f t="shared" si="8"/>
        <v>3.7133026951278257E-2</v>
      </c>
      <c r="J42" s="449">
        <f t="shared" si="4"/>
        <v>0.63950739550870017</v>
      </c>
      <c r="K42" s="450">
        <f t="shared" si="6"/>
        <v>5558613.5176416161</v>
      </c>
      <c r="L42" s="451">
        <f t="shared" si="9"/>
        <v>18872906.495930072</v>
      </c>
      <c r="M42" s="446">
        <f t="shared" si="7"/>
        <v>0.21712902400187395</v>
      </c>
      <c r="N42" s="386"/>
      <c r="O42" s="387"/>
      <c r="P42" s="388"/>
    </row>
    <row r="43" spans="1:16" s="360" customFormat="1" x14ac:dyDescent="0.15">
      <c r="A43" s="385">
        <v>28</v>
      </c>
      <c r="B43" s="440" t="s">
        <v>72</v>
      </c>
      <c r="C43" s="443">
        <f>'COEFIC 2023'!E35</f>
        <v>5233</v>
      </c>
      <c r="D43" s="444">
        <f>'COEFIC 2023'!I35</f>
        <v>0.11019519268470698</v>
      </c>
      <c r="E43" s="445">
        <f t="shared" si="1"/>
        <v>4310186.5806741975</v>
      </c>
      <c r="F43" s="446">
        <f>'COEFIC 2023'!P35</f>
        <v>0.25822216015596905</v>
      </c>
      <c r="G43" s="447">
        <f t="shared" si="2"/>
        <v>10100129.25628672</v>
      </c>
      <c r="H43" s="445">
        <f t="shared" si="3"/>
        <v>14410315.836960917</v>
      </c>
      <c r="I43" s="448">
        <f t="shared" si="8"/>
        <v>3.6314263054373276E-2</v>
      </c>
      <c r="J43" s="449">
        <f t="shared" si="4"/>
        <v>0.62540659063940485</v>
      </c>
      <c r="K43" s="450">
        <f t="shared" si="6"/>
        <v>5436048.9857744854</v>
      </c>
      <c r="L43" s="451">
        <f t="shared" si="9"/>
        <v>19846364.822735403</v>
      </c>
      <c r="M43" s="446">
        <f t="shared" si="7"/>
        <v>0.22832846784224478</v>
      </c>
      <c r="N43" s="386"/>
      <c r="O43" s="387"/>
      <c r="P43" s="388"/>
    </row>
    <row r="44" spans="1:16" s="360" customFormat="1" x14ac:dyDescent="0.15">
      <c r="A44" s="385">
        <v>29</v>
      </c>
      <c r="B44" s="440" t="s">
        <v>61</v>
      </c>
      <c r="C44" s="443">
        <f>'COEFIC 2023'!E36</f>
        <v>12342</v>
      </c>
      <c r="D44" s="444">
        <f>'COEFIC 2023'!I36</f>
        <v>0.25989471968558259</v>
      </c>
      <c r="E44" s="445">
        <f t="shared" si="1"/>
        <v>10165549.929042796</v>
      </c>
      <c r="F44" s="446">
        <f>'COEFIC 2023'!P36</f>
        <v>0.80482357884115929</v>
      </c>
      <c r="G44" s="447">
        <f t="shared" si="2"/>
        <v>31479955.74776803</v>
      </c>
      <c r="H44" s="445">
        <f t="shared" si="3"/>
        <v>41645505.676810823</v>
      </c>
      <c r="I44" s="448">
        <f t="shared" si="8"/>
        <v>2.9635850974604229E-2</v>
      </c>
      <c r="J44" s="449">
        <f t="shared" si="4"/>
        <v>0.51039054519633531</v>
      </c>
      <c r="K44" s="450">
        <f t="shared" si="6"/>
        <v>4436326.7785950517</v>
      </c>
      <c r="L44" s="451">
        <f t="shared" si="9"/>
        <v>46081832.455405876</v>
      </c>
      <c r="M44" s="446">
        <f t="shared" si="7"/>
        <v>0.53016228885666761</v>
      </c>
      <c r="N44" s="386"/>
      <c r="O44" s="387"/>
      <c r="P44" s="388"/>
    </row>
    <row r="45" spans="1:16" s="360" customFormat="1" x14ac:dyDescent="0.15">
      <c r="A45" s="385">
        <v>30</v>
      </c>
      <c r="B45" s="440" t="s">
        <v>104</v>
      </c>
      <c r="C45" s="443">
        <f>'COEFIC 2023'!E37</f>
        <v>11850</v>
      </c>
      <c r="D45" s="444">
        <f>'COEFIC 2023'!I37</f>
        <v>0.24953430791396478</v>
      </c>
      <c r="E45" s="445">
        <f t="shared" si="1"/>
        <v>9760311.6722700633</v>
      </c>
      <c r="F45" s="446">
        <f>'COEFIC 2023'!P37</f>
        <v>0.37167013004425603</v>
      </c>
      <c r="G45" s="447">
        <f t="shared" si="2"/>
        <v>14537545.313231338</v>
      </c>
      <c r="H45" s="445">
        <f t="shared" si="3"/>
        <v>24297856.985501401</v>
      </c>
      <c r="I45" s="448">
        <f t="shared" si="8"/>
        <v>4.8769733096506937E-2</v>
      </c>
      <c r="J45" s="449">
        <f t="shared" si="4"/>
        <v>0.83991550252888769</v>
      </c>
      <c r="K45" s="450">
        <f t="shared" si="6"/>
        <v>7300565.5584639907</v>
      </c>
      <c r="L45" s="451">
        <f t="shared" si="9"/>
        <v>31598422.543965392</v>
      </c>
      <c r="M45" s="446">
        <f t="shared" si="7"/>
        <v>0.36353354733408827</v>
      </c>
      <c r="N45" s="386"/>
      <c r="O45" s="387"/>
      <c r="P45" s="388"/>
    </row>
    <row r="46" spans="1:16" s="360" customFormat="1" x14ac:dyDescent="0.15">
      <c r="A46" s="385">
        <v>31</v>
      </c>
      <c r="B46" s="440" t="s">
        <v>48</v>
      </c>
      <c r="C46" s="443">
        <f>'COEFIC 2023'!E38</f>
        <v>16112</v>
      </c>
      <c r="D46" s="444">
        <f>'COEFIC 2023'!I38</f>
        <v>0.33928242777297896</v>
      </c>
      <c r="E46" s="445">
        <f t="shared" si="1"/>
        <v>13270729.254313525</v>
      </c>
      <c r="F46" s="446">
        <f>'COEFIC 2023'!P38</f>
        <v>0.55583300952537551</v>
      </c>
      <c r="G46" s="447">
        <f t="shared" si="2"/>
        <v>21740911.925321322</v>
      </c>
      <c r="H46" s="445">
        <f t="shared" si="3"/>
        <v>35011641.179634847</v>
      </c>
      <c r="I46" s="448">
        <f t="shared" si="8"/>
        <v>4.6018979565493306E-2</v>
      </c>
      <c r="J46" s="449">
        <f t="shared" si="4"/>
        <v>0.79254184703312069</v>
      </c>
      <c r="K46" s="450">
        <f t="shared" si="6"/>
        <v>6888792.6162458658</v>
      </c>
      <c r="L46" s="451">
        <f t="shared" si="9"/>
        <v>41900433.795880713</v>
      </c>
      <c r="M46" s="446">
        <f t="shared" si="7"/>
        <v>0.48205613148757176</v>
      </c>
      <c r="N46" s="386"/>
      <c r="O46" s="387"/>
      <c r="P46" s="388"/>
    </row>
    <row r="47" spans="1:16" s="360" customFormat="1" x14ac:dyDescent="0.15">
      <c r="A47" s="385">
        <v>32</v>
      </c>
      <c r="B47" s="440" t="s">
        <v>83</v>
      </c>
      <c r="C47" s="443">
        <f>'COEFIC 2023'!E39</f>
        <v>15715</v>
      </c>
      <c r="D47" s="444">
        <f>'COEFIC 2023'!I39</f>
        <v>0.33092250201417356</v>
      </c>
      <c r="E47" s="445">
        <f t="shared" si="1"/>
        <v>12943738.221917642</v>
      </c>
      <c r="F47" s="446">
        <f>'COEFIC 2023'!P39</f>
        <v>0.35285067758515876</v>
      </c>
      <c r="G47" s="447">
        <f t="shared" si="2"/>
        <v>13801439.232116474</v>
      </c>
      <c r="H47" s="445">
        <f t="shared" si="3"/>
        <v>26745177.454034116</v>
      </c>
      <c r="I47" s="448">
        <f t="shared" si="8"/>
        <v>5.8758256612837033E-2</v>
      </c>
      <c r="J47" s="449">
        <f t="shared" si="4"/>
        <v>1.0119385015504034</v>
      </c>
      <c r="K47" s="450">
        <f t="shared" si="6"/>
        <v>8795793.5643037427</v>
      </c>
      <c r="L47" s="451">
        <f t="shared" si="9"/>
        <v>35540971.018337861</v>
      </c>
      <c r="M47" s="446">
        <f t="shared" si="7"/>
        <v>0.40889178097474005</v>
      </c>
      <c r="N47" s="386"/>
      <c r="O47" s="387"/>
      <c r="P47" s="388"/>
    </row>
    <row r="48" spans="1:16" s="360" customFormat="1" x14ac:dyDescent="0.15">
      <c r="A48" s="385">
        <v>33</v>
      </c>
      <c r="B48" s="440" t="s">
        <v>108</v>
      </c>
      <c r="C48" s="443">
        <f>'COEFIC 2023'!E40</f>
        <v>21466</v>
      </c>
      <c r="D48" s="444">
        <f>'COEFIC 2023'!I40</f>
        <v>0.45202560790558383</v>
      </c>
      <c r="E48" s="445">
        <f t="shared" ref="E48:E79" si="10">$G$9*D48%</f>
        <v>17680578.089194026</v>
      </c>
      <c r="F48" s="446">
        <f>'COEFIC 2023'!P40</f>
        <v>0.49576725952589529</v>
      </c>
      <c r="G48" s="447">
        <f t="shared" ref="G48:G79" si="11">$G$10*F48%</f>
        <v>19391493.74020461</v>
      </c>
      <c r="H48" s="445">
        <f t="shared" ref="H48:H79" si="12">E48+G48</f>
        <v>37072071.829398632</v>
      </c>
      <c r="I48" s="448">
        <f t="shared" ref="I48:I79" si="13">(C48/H48%)</f>
        <v>5.7903426867492155E-2</v>
      </c>
      <c r="J48" s="449">
        <f t="shared" ref="J48:J79" si="14">I48/$I$15%</f>
        <v>0.99721656830305083</v>
      </c>
      <c r="K48" s="450">
        <f t="shared" ref="K48:K79" si="15">$G$11*J48%</f>
        <v>8667830.1697765291</v>
      </c>
      <c r="L48" s="451">
        <f t="shared" si="9"/>
        <v>45739901.999175161</v>
      </c>
      <c r="M48" s="446">
        <f t="shared" ref="M48:M79" si="16">(L48/$L$129%)</f>
        <v>0.52622844717447081</v>
      </c>
      <c r="N48" s="386"/>
      <c r="O48" s="387"/>
      <c r="P48" s="388"/>
    </row>
    <row r="49" spans="1:16" s="360" customFormat="1" x14ac:dyDescent="0.15">
      <c r="A49" s="385">
        <v>34</v>
      </c>
      <c r="B49" s="440" t="s">
        <v>110</v>
      </c>
      <c r="C49" s="443">
        <f>'COEFIC 2023'!E41</f>
        <v>125712</v>
      </c>
      <c r="D49" s="444">
        <f>'COEFIC 2023'!I41</f>
        <v>2.6472115541333623</v>
      </c>
      <c r="E49" s="445">
        <f t="shared" si="10"/>
        <v>103543316.5353936</v>
      </c>
      <c r="F49" s="446">
        <f>'COEFIC 2023'!P41</f>
        <v>1.9717994179898699</v>
      </c>
      <c r="G49" s="447">
        <f t="shared" si="11"/>
        <v>77125173.831477016</v>
      </c>
      <c r="H49" s="445">
        <f t="shared" si="12"/>
        <v>180668490.36687061</v>
      </c>
      <c r="I49" s="448">
        <f t="shared" si="13"/>
        <v>6.9581585446762531E-2</v>
      </c>
      <c r="J49" s="449">
        <f t="shared" si="14"/>
        <v>1.1983385718274551</v>
      </c>
      <c r="K49" s="450">
        <f t="shared" si="15"/>
        <v>10415987.41602171</v>
      </c>
      <c r="L49" s="451">
        <f t="shared" si="9"/>
        <v>191084477.78289232</v>
      </c>
      <c r="M49" s="446">
        <f t="shared" si="16"/>
        <v>2.1983887946382006</v>
      </c>
      <c r="N49" s="386"/>
      <c r="O49" s="387"/>
      <c r="P49" s="388"/>
    </row>
    <row r="50" spans="1:16" s="360" customFormat="1" x14ac:dyDescent="0.15">
      <c r="A50" s="385">
        <v>35</v>
      </c>
      <c r="B50" s="440" t="s">
        <v>112</v>
      </c>
      <c r="C50" s="443">
        <f>'COEFIC 2023'!E42</f>
        <v>30627</v>
      </c>
      <c r="D50" s="444">
        <f>'COEFIC 2023'!I42</f>
        <v>0.64493563278320676</v>
      </c>
      <c r="E50" s="445">
        <f t="shared" si="10"/>
        <v>25226081.484102555</v>
      </c>
      <c r="F50" s="446">
        <f>'COEFIC 2023'!P42</f>
        <v>1.3912005894388211</v>
      </c>
      <c r="G50" s="447">
        <f t="shared" si="11"/>
        <v>54415569.005647004</v>
      </c>
      <c r="H50" s="445">
        <f t="shared" si="12"/>
        <v>79641650.489749551</v>
      </c>
      <c r="I50" s="448">
        <f t="shared" si="13"/>
        <v>3.8456008648316393E-2</v>
      </c>
      <c r="J50" s="449">
        <f t="shared" si="14"/>
        <v>0.66229187199343809</v>
      </c>
      <c r="K50" s="450">
        <f t="shared" si="15"/>
        <v>5756656.730073439</v>
      </c>
      <c r="L50" s="451">
        <f t="shared" si="9"/>
        <v>85398307.219822988</v>
      </c>
      <c r="M50" s="446">
        <f t="shared" si="16"/>
        <v>0.98249048719925658</v>
      </c>
      <c r="N50" s="386"/>
      <c r="O50" s="387"/>
      <c r="P50" s="388"/>
    </row>
    <row r="51" spans="1:16" s="360" customFormat="1" x14ac:dyDescent="0.15">
      <c r="A51" s="385">
        <v>36</v>
      </c>
      <c r="B51" s="440" t="s">
        <v>114</v>
      </c>
      <c r="C51" s="443">
        <f>'COEFIC 2023'!E43</f>
        <v>11644</v>
      </c>
      <c r="D51" s="444">
        <f>'COEFIC 2023'!I43</f>
        <v>0.24519641192828742</v>
      </c>
      <c r="E51" s="445">
        <f t="shared" si="10"/>
        <v>9590638.7436213195</v>
      </c>
      <c r="F51" s="446">
        <f>'COEFIC 2023'!P43</f>
        <v>0.38634093434527844</v>
      </c>
      <c r="G51" s="447">
        <f t="shared" si="11"/>
        <v>15111380.725515524</v>
      </c>
      <c r="H51" s="445">
        <f t="shared" si="12"/>
        <v>24702019.469136842</v>
      </c>
      <c r="I51" s="448">
        <f t="shared" si="13"/>
        <v>4.7137846419999095E-2</v>
      </c>
      <c r="J51" s="449">
        <f t="shared" si="14"/>
        <v>0.81181104447788688</v>
      </c>
      <c r="K51" s="450">
        <f t="shared" si="15"/>
        <v>7056280.9395128423</v>
      </c>
      <c r="L51" s="451">
        <f t="shared" si="9"/>
        <v>31758300.408649683</v>
      </c>
      <c r="M51" s="446">
        <f t="shared" si="16"/>
        <v>0.36537291027089347</v>
      </c>
      <c r="N51" s="386"/>
      <c r="O51" s="387"/>
      <c r="P51" s="388"/>
    </row>
    <row r="52" spans="1:16" s="360" customFormat="1" x14ac:dyDescent="0.15">
      <c r="A52" s="385">
        <v>37</v>
      </c>
      <c r="B52" s="440" t="s">
        <v>92</v>
      </c>
      <c r="C52" s="443">
        <f>'COEFIC 2023'!E44</f>
        <v>7945</v>
      </c>
      <c r="D52" s="444">
        <f>'COEFIC 2023'!I44</f>
        <v>0.16730380391362448</v>
      </c>
      <c r="E52" s="445">
        <f t="shared" si="10"/>
        <v>6543938.9228848647</v>
      </c>
      <c r="F52" s="446">
        <f>'COEFIC 2023'!P44</f>
        <v>0.29726517420617776</v>
      </c>
      <c r="G52" s="447">
        <f t="shared" si="11"/>
        <v>11627261.893640311</v>
      </c>
      <c r="H52" s="445">
        <f t="shared" si="12"/>
        <v>18171200.816525176</v>
      </c>
      <c r="I52" s="448">
        <f t="shared" si="13"/>
        <v>4.3723032287303169E-2</v>
      </c>
      <c r="J52" s="449">
        <f t="shared" si="14"/>
        <v>0.75300089428431383</v>
      </c>
      <c r="K52" s="450">
        <f t="shared" si="15"/>
        <v>6545101.7129137618</v>
      </c>
      <c r="L52" s="451">
        <f t="shared" si="9"/>
        <v>24716302.529438939</v>
      </c>
      <c r="M52" s="446">
        <f t="shared" si="16"/>
        <v>0.28435612958234252</v>
      </c>
      <c r="N52" s="386"/>
      <c r="O52" s="387"/>
      <c r="P52" s="388"/>
    </row>
    <row r="53" spans="1:16" s="360" customFormat="1" x14ac:dyDescent="0.15">
      <c r="A53" s="385">
        <v>38</v>
      </c>
      <c r="B53" s="440" t="s">
        <v>51</v>
      </c>
      <c r="C53" s="443">
        <f>'COEFIC 2023'!E45</f>
        <v>41973</v>
      </c>
      <c r="D53" s="444">
        <f>'COEFIC 2023'!I45</f>
        <v>0.88385683595551423</v>
      </c>
      <c r="E53" s="445">
        <f t="shared" si="10"/>
        <v>34571271.039678596</v>
      </c>
      <c r="F53" s="446">
        <f>'COEFIC 2023'!P45</f>
        <v>1.9184634861274525</v>
      </c>
      <c r="G53" s="447">
        <f t="shared" si="11"/>
        <v>75038986.474475831</v>
      </c>
      <c r="H53" s="445">
        <f t="shared" si="12"/>
        <v>109610257.51415443</v>
      </c>
      <c r="I53" s="448">
        <f t="shared" si="13"/>
        <v>3.8292948992095788E-2</v>
      </c>
      <c r="J53" s="449">
        <f t="shared" si="14"/>
        <v>0.65948364803154547</v>
      </c>
      <c r="K53" s="450">
        <f t="shared" si="15"/>
        <v>5732247.5804924173</v>
      </c>
      <c r="L53" s="451">
        <f t="shared" si="9"/>
        <v>115342505.09464686</v>
      </c>
      <c r="M53" s="446">
        <f t="shared" si="16"/>
        <v>1.3269925097404902</v>
      </c>
      <c r="N53" s="386"/>
      <c r="O53" s="387"/>
      <c r="P53" s="388"/>
    </row>
    <row r="54" spans="1:16" s="360" customFormat="1" x14ac:dyDescent="0.15">
      <c r="A54" s="385">
        <v>39</v>
      </c>
      <c r="B54" s="440" t="s">
        <v>105</v>
      </c>
      <c r="C54" s="443">
        <f>'COEFIC 2023'!E46</f>
        <v>9015</v>
      </c>
      <c r="D54" s="444">
        <f>'COEFIC 2023'!I46</f>
        <v>0.18983559374214284</v>
      </c>
      <c r="E54" s="445">
        <f t="shared" si="10"/>
        <v>7425249.7658662135</v>
      </c>
      <c r="F54" s="446">
        <f>'COEFIC 2023'!P46</f>
        <v>0.31996796117075799</v>
      </c>
      <c r="G54" s="447">
        <f t="shared" si="11"/>
        <v>12515261.136934152</v>
      </c>
      <c r="H54" s="445">
        <f t="shared" si="12"/>
        <v>19940510.902800366</v>
      </c>
      <c r="I54" s="448">
        <f t="shared" si="13"/>
        <v>4.5209473538283154E-2</v>
      </c>
      <c r="J54" s="449">
        <f t="shared" si="14"/>
        <v>0.77860048179540364</v>
      </c>
      <c r="K54" s="450">
        <f t="shared" si="15"/>
        <v>6767613.9374549668</v>
      </c>
      <c r="L54" s="451">
        <f t="shared" si="9"/>
        <v>26708124.840255335</v>
      </c>
      <c r="M54" s="446">
        <f t="shared" si="16"/>
        <v>0.30727164789034589</v>
      </c>
      <c r="N54" s="386"/>
      <c r="O54" s="387"/>
      <c r="P54" s="388"/>
    </row>
    <row r="55" spans="1:16" s="360" customFormat="1" x14ac:dyDescent="0.15">
      <c r="A55" s="385">
        <v>40</v>
      </c>
      <c r="B55" s="440" t="s">
        <v>96</v>
      </c>
      <c r="C55" s="443">
        <f>'COEFIC 2023'!E47</f>
        <v>18385</v>
      </c>
      <c r="D55" s="444">
        <f>'COEFIC 2023'!I47</f>
        <v>0.38714668784795297</v>
      </c>
      <c r="E55" s="445">
        <f t="shared" si="10"/>
        <v>15142897.054403808</v>
      </c>
      <c r="F55" s="446">
        <f>'COEFIC 2023'!P47</f>
        <v>0.4670133881314788</v>
      </c>
      <c r="G55" s="447">
        <f t="shared" si="11"/>
        <v>18266811.731786601</v>
      </c>
      <c r="H55" s="445">
        <f t="shared" si="12"/>
        <v>33409708.786190409</v>
      </c>
      <c r="I55" s="448">
        <f t="shared" si="13"/>
        <v>5.5028914252611701E-2</v>
      </c>
      <c r="J55" s="449">
        <f t="shared" si="14"/>
        <v>0.94771152584822815</v>
      </c>
      <c r="K55" s="450">
        <f t="shared" si="15"/>
        <v>8237531.1613312764</v>
      </c>
      <c r="L55" s="451">
        <f t="shared" si="9"/>
        <v>41647239.947521687</v>
      </c>
      <c r="M55" s="446">
        <f t="shared" si="16"/>
        <v>0.47914318677556728</v>
      </c>
      <c r="N55" s="386"/>
      <c r="O55" s="387"/>
      <c r="P55" s="388"/>
    </row>
    <row r="56" spans="1:16" s="360" customFormat="1" x14ac:dyDescent="0.15">
      <c r="A56" s="385">
        <v>41</v>
      </c>
      <c r="B56" s="440" t="s">
        <v>98</v>
      </c>
      <c r="C56" s="443">
        <f>'COEFIC 2023'!E48</f>
        <v>16043</v>
      </c>
      <c r="D56" s="444">
        <f>'COEFIC 2023'!I48</f>
        <v>0.3378294431952521</v>
      </c>
      <c r="E56" s="445">
        <f t="shared" si="10"/>
        <v>13213897.059766131</v>
      </c>
      <c r="F56" s="446">
        <f>'COEFIC 2023'!P48</f>
        <v>0.51242411214883699</v>
      </c>
      <c r="G56" s="447">
        <f t="shared" si="11"/>
        <v>20043011.659476187</v>
      </c>
      <c r="H56" s="445">
        <f t="shared" si="12"/>
        <v>33256908.719242319</v>
      </c>
      <c r="I56" s="448">
        <f t="shared" si="13"/>
        <v>4.8239600786219743E-2</v>
      </c>
      <c r="J56" s="449">
        <f t="shared" si="14"/>
        <v>0.83078552954091656</v>
      </c>
      <c r="K56" s="450">
        <f t="shared" si="15"/>
        <v>7221207.6157364165</v>
      </c>
      <c r="L56" s="451">
        <f t="shared" si="9"/>
        <v>40478116.334978737</v>
      </c>
      <c r="M56" s="446">
        <f t="shared" si="16"/>
        <v>0.46569265285893191</v>
      </c>
      <c r="N56" s="386"/>
      <c r="O56" s="387"/>
      <c r="P56" s="388"/>
    </row>
    <row r="57" spans="1:16" s="360" customFormat="1" x14ac:dyDescent="0.15">
      <c r="A57" s="385">
        <v>42</v>
      </c>
      <c r="B57" s="440" t="s">
        <v>122</v>
      </c>
      <c r="C57" s="443">
        <f>'COEFIC 2023'!E49</f>
        <v>14302</v>
      </c>
      <c r="D57" s="444">
        <f>'COEFIC 2023'!I49</f>
        <v>0.30116790479202737</v>
      </c>
      <c r="E57" s="445">
        <f t="shared" si="10"/>
        <v>11779913.716186197</v>
      </c>
      <c r="F57" s="446">
        <f>'COEFIC 2023'!P49</f>
        <v>0.39561419725385255</v>
      </c>
      <c r="G57" s="447">
        <f t="shared" si="11"/>
        <v>15474096.125106152</v>
      </c>
      <c r="H57" s="445">
        <f t="shared" si="12"/>
        <v>27254009.841292351</v>
      </c>
      <c r="I57" s="448">
        <f t="shared" si="13"/>
        <v>5.2476681718706744E-2</v>
      </c>
      <c r="J57" s="449">
        <f t="shared" si="14"/>
        <v>0.90375681182419565</v>
      </c>
      <c r="K57" s="450">
        <f t="shared" si="15"/>
        <v>7855475.7398396973</v>
      </c>
      <c r="L57" s="451">
        <f t="shared" si="9"/>
        <v>35109485.581132047</v>
      </c>
      <c r="M57" s="446">
        <f t="shared" si="16"/>
        <v>0.40392762710306562</v>
      </c>
      <c r="N57" s="386"/>
      <c r="O57" s="387"/>
      <c r="P57" s="388"/>
    </row>
    <row r="58" spans="1:16" s="360" customFormat="1" x14ac:dyDescent="0.15">
      <c r="A58" s="385">
        <v>43</v>
      </c>
      <c r="B58" s="440" t="s">
        <v>346</v>
      </c>
      <c r="C58" s="443">
        <f>'COEFIC 2023'!E50</f>
        <v>68781</v>
      </c>
      <c r="D58" s="444">
        <f>'COEFIC 2023'!I50</f>
        <v>1.4483729310236635</v>
      </c>
      <c r="E58" s="445">
        <f t="shared" si="10"/>
        <v>56651814.103831835</v>
      </c>
      <c r="F58" s="446">
        <f>'COEFIC 2023'!P50</f>
        <v>1.9015322371627141</v>
      </c>
      <c r="G58" s="447">
        <f t="shared" si="11"/>
        <v>74376735.787273228</v>
      </c>
      <c r="H58" s="445">
        <f t="shared" si="12"/>
        <v>131028549.89110506</v>
      </c>
      <c r="I58" s="448">
        <f t="shared" si="13"/>
        <v>5.2493139897497432E-2</v>
      </c>
      <c r="J58" s="449">
        <f t="shared" si="14"/>
        <v>0.90404025564543489</v>
      </c>
      <c r="K58" s="450">
        <f t="shared" si="15"/>
        <v>7857939.4402867872</v>
      </c>
      <c r="L58" s="451">
        <f t="shared" si="9"/>
        <v>138886489.33139184</v>
      </c>
      <c r="M58" s="446">
        <f t="shared" si="16"/>
        <v>1.5978613512484137</v>
      </c>
      <c r="N58" s="386"/>
      <c r="O58" s="387"/>
      <c r="P58" s="388"/>
    </row>
    <row r="59" spans="1:16" s="360" customFormat="1" x14ac:dyDescent="0.15">
      <c r="A59" s="385">
        <v>44</v>
      </c>
      <c r="B59" s="440" t="s">
        <v>102</v>
      </c>
      <c r="C59" s="443">
        <f>'COEFIC 2023'!E51</f>
        <v>12946</v>
      </c>
      <c r="D59" s="444">
        <f>'COEFIC 2023'!I51</f>
        <v>0.27261359917756861</v>
      </c>
      <c r="E59" s="445">
        <f t="shared" si="10"/>
        <v>10663037.545080863</v>
      </c>
      <c r="F59" s="446">
        <f>'COEFIC 2023'!P51</f>
        <v>0.37461514740795937</v>
      </c>
      <c r="G59" s="447">
        <f t="shared" si="11"/>
        <v>14652737.038129954</v>
      </c>
      <c r="H59" s="445">
        <f t="shared" si="12"/>
        <v>25315774.583210818</v>
      </c>
      <c r="I59" s="448">
        <f t="shared" si="13"/>
        <v>5.1138075816908497E-2</v>
      </c>
      <c r="J59" s="449">
        <f t="shared" si="14"/>
        <v>0.88070325427299512</v>
      </c>
      <c r="K59" s="450">
        <f t="shared" si="15"/>
        <v>7655093.6683674846</v>
      </c>
      <c r="L59" s="451">
        <f t="shared" si="9"/>
        <v>32970868.251578301</v>
      </c>
      <c r="M59" s="446">
        <f t="shared" si="16"/>
        <v>0.3793232613907872</v>
      </c>
      <c r="N59" s="386"/>
      <c r="O59" s="387"/>
      <c r="P59" s="388"/>
    </row>
    <row r="60" spans="1:16" s="360" customFormat="1" x14ac:dyDescent="0.15">
      <c r="A60" s="385">
        <v>45</v>
      </c>
      <c r="B60" s="440" t="s">
        <v>127</v>
      </c>
      <c r="C60" s="443">
        <f>'COEFIC 2023'!E52</f>
        <v>36158</v>
      </c>
      <c r="D60" s="444">
        <f>'COEFIC 2023'!I52</f>
        <v>0.76140603422389352</v>
      </c>
      <c r="E60" s="445">
        <f t="shared" si="10"/>
        <v>29781717.252822019</v>
      </c>
      <c r="F60" s="446">
        <f>'COEFIC 2023'!P52</f>
        <v>0.75599148751357081</v>
      </c>
      <c r="G60" s="447">
        <f t="shared" si="11"/>
        <v>29569932.092301987</v>
      </c>
      <c r="H60" s="445">
        <f t="shared" si="12"/>
        <v>59351649.345124006</v>
      </c>
      <c r="I60" s="448">
        <f t="shared" si="13"/>
        <v>6.0921643120218597E-2</v>
      </c>
      <c r="J60" s="449">
        <f t="shared" si="14"/>
        <v>1.0491964841174999</v>
      </c>
      <c r="K60" s="450">
        <f t="shared" si="15"/>
        <v>9119640.8364260253</v>
      </c>
      <c r="L60" s="451">
        <f t="shared" si="9"/>
        <v>68471290.181550026</v>
      </c>
      <c r="M60" s="446">
        <f t="shared" si="16"/>
        <v>0.78774853319360916</v>
      </c>
      <c r="N60" s="386"/>
      <c r="O60" s="387"/>
      <c r="P60" s="388"/>
    </row>
    <row r="61" spans="1:16" s="360" customFormat="1" x14ac:dyDescent="0.15">
      <c r="A61" s="385">
        <v>46</v>
      </c>
      <c r="B61" s="440" t="s">
        <v>119</v>
      </c>
      <c r="C61" s="443">
        <f>'COEFIC 2023'!E53</f>
        <v>14936</v>
      </c>
      <c r="D61" s="444">
        <f>'COEFIC 2023'!I53</f>
        <v>0.31451851670911207</v>
      </c>
      <c r="E61" s="445">
        <f t="shared" si="10"/>
        <v>12302110.982027482</v>
      </c>
      <c r="F61" s="446">
        <f>'COEFIC 2023'!P53</f>
        <v>0.43928797738663627</v>
      </c>
      <c r="G61" s="447">
        <f t="shared" si="11"/>
        <v>17182357.043477092</v>
      </c>
      <c r="H61" s="445">
        <f t="shared" si="12"/>
        <v>29484468.025504574</v>
      </c>
      <c r="I61" s="448">
        <f t="shared" si="13"/>
        <v>5.0657179865277208E-2</v>
      </c>
      <c r="J61" s="449">
        <f t="shared" si="14"/>
        <v>0.87242123304316332</v>
      </c>
      <c r="K61" s="450">
        <f t="shared" si="15"/>
        <v>7583106.1425236007</v>
      </c>
      <c r="L61" s="451">
        <f t="shared" si="9"/>
        <v>37067574.168028176</v>
      </c>
      <c r="M61" s="446">
        <f t="shared" si="16"/>
        <v>0.42645504564740327</v>
      </c>
      <c r="N61" s="386"/>
      <c r="O61" s="387"/>
      <c r="P61" s="388"/>
    </row>
    <row r="62" spans="1:16" s="360" customFormat="1" x14ac:dyDescent="0.15">
      <c r="A62" s="385">
        <v>47</v>
      </c>
      <c r="B62" s="440" t="s">
        <v>121</v>
      </c>
      <c r="C62" s="443">
        <f>'COEFIC 2023'!E54</f>
        <v>19834</v>
      </c>
      <c r="D62" s="444">
        <f>'COEFIC 2023'!I54</f>
        <v>0.41765936398021752</v>
      </c>
      <c r="E62" s="445">
        <f t="shared" si="10"/>
        <v>16336373.139899107</v>
      </c>
      <c r="F62" s="446">
        <f>'COEFIC 2023'!P54</f>
        <v>0.56420574714884908</v>
      </c>
      <c r="G62" s="447">
        <f t="shared" si="11"/>
        <v>22068404.082365394</v>
      </c>
      <c r="H62" s="445">
        <f t="shared" si="12"/>
        <v>38404777.222264498</v>
      </c>
      <c r="I62" s="448">
        <f t="shared" si="13"/>
        <v>5.1644616723623603E-2</v>
      </c>
      <c r="J62" s="449">
        <f t="shared" si="14"/>
        <v>0.88942693458047528</v>
      </c>
      <c r="K62" s="450">
        <f t="shared" si="15"/>
        <v>7730920.1054365514</v>
      </c>
      <c r="L62" s="451">
        <f t="shared" si="9"/>
        <v>46135697.327701047</v>
      </c>
      <c r="M62" s="446">
        <f t="shared" si="16"/>
        <v>0.53078199346612764</v>
      </c>
      <c r="N62" s="386"/>
      <c r="O62" s="387"/>
      <c r="P62" s="388"/>
    </row>
    <row r="63" spans="1:16" s="360" customFormat="1" x14ac:dyDescent="0.15">
      <c r="A63" s="385">
        <v>48</v>
      </c>
      <c r="B63" s="440" t="s">
        <v>47</v>
      </c>
      <c r="C63" s="443">
        <f>'COEFIC 2023'!E55</f>
        <v>5745</v>
      </c>
      <c r="D63" s="444">
        <f>'COEFIC 2023'!I55</f>
        <v>0.12097675940639052</v>
      </c>
      <c r="E63" s="445">
        <f t="shared" si="10"/>
        <v>4731897.9373157397</v>
      </c>
      <c r="F63" s="446">
        <f>'COEFIC 2023'!P55</f>
        <v>0.33094459983869112</v>
      </c>
      <c r="G63" s="447">
        <f t="shared" si="11"/>
        <v>12944602.558594923</v>
      </c>
      <c r="H63" s="445">
        <f t="shared" si="12"/>
        <v>17676500.495910663</v>
      </c>
      <c r="I63" s="448">
        <f t="shared" si="13"/>
        <v>3.2500776957119233E-2</v>
      </c>
      <c r="J63" s="449">
        <f t="shared" si="14"/>
        <v>0.55973048604757003</v>
      </c>
      <c r="K63" s="450">
        <f t="shared" si="15"/>
        <v>4865190.7199684707</v>
      </c>
      <c r="L63" s="451">
        <f t="shared" ref="L63:L94" si="17">H63+K63</f>
        <v>22541691.215879135</v>
      </c>
      <c r="M63" s="446">
        <f t="shared" si="16"/>
        <v>0.25933766026504385</v>
      </c>
      <c r="N63" s="386"/>
      <c r="O63" s="387"/>
      <c r="P63" s="388"/>
    </row>
    <row r="64" spans="1:16" s="360" customFormat="1" x14ac:dyDescent="0.15">
      <c r="A64" s="385">
        <v>49</v>
      </c>
      <c r="B64" s="440" t="s">
        <v>115</v>
      </c>
      <c r="C64" s="443">
        <f>'COEFIC 2023'!E56</f>
        <v>19086</v>
      </c>
      <c r="D64" s="444">
        <f>'COEFIC 2023'!I56</f>
        <v>0.40190816884775799</v>
      </c>
      <c r="E64" s="445">
        <f t="shared" si="10"/>
        <v>15720279.204805605</v>
      </c>
      <c r="F64" s="446">
        <f>'COEFIC 2023'!P56</f>
        <v>1.3248275146655468</v>
      </c>
      <c r="G64" s="447">
        <f t="shared" si="11"/>
        <v>51819445.443121076</v>
      </c>
      <c r="H64" s="445">
        <f t="shared" si="12"/>
        <v>67539724.647926688</v>
      </c>
      <c r="I64" s="448">
        <f t="shared" si="13"/>
        <v>2.8258924802391675E-2</v>
      </c>
      <c r="J64" s="449">
        <f t="shared" si="14"/>
        <v>0.48667703346580021</v>
      </c>
      <c r="K64" s="450">
        <f t="shared" si="15"/>
        <v>4230208.3696730519</v>
      </c>
      <c r="L64" s="451">
        <f t="shared" si="17"/>
        <v>71769933.017599747</v>
      </c>
      <c r="M64" s="446">
        <f t="shared" si="16"/>
        <v>0.82569876092756755</v>
      </c>
      <c r="N64" s="386"/>
      <c r="O64" s="387"/>
      <c r="P64" s="388"/>
    </row>
    <row r="65" spans="1:16" s="360" customFormat="1" x14ac:dyDescent="0.15">
      <c r="A65" s="385">
        <v>50</v>
      </c>
      <c r="B65" s="440" t="s">
        <v>69</v>
      </c>
      <c r="C65" s="443">
        <f>'COEFIC 2023'!E57</f>
        <v>89311</v>
      </c>
      <c r="D65" s="444">
        <f>'COEFIC 2023'!I57</f>
        <v>1.8806884872661696</v>
      </c>
      <c r="E65" s="445">
        <f t="shared" si="10"/>
        <v>73561451.11916554</v>
      </c>
      <c r="F65" s="446">
        <f>'COEFIC 2023'!P57</f>
        <v>1.2229607983357664</v>
      </c>
      <c r="G65" s="447">
        <f t="shared" si="11"/>
        <v>47835019.779487766</v>
      </c>
      <c r="H65" s="445">
        <f t="shared" si="12"/>
        <v>121396470.8986533</v>
      </c>
      <c r="I65" s="448">
        <f t="shared" si="13"/>
        <v>7.3569683977518965E-2</v>
      </c>
      <c r="J65" s="449">
        <f t="shared" si="14"/>
        <v>1.2670218630598797</v>
      </c>
      <c r="K65" s="450">
        <f t="shared" si="15"/>
        <v>11012984.21975215</v>
      </c>
      <c r="L65" s="451">
        <f t="shared" si="17"/>
        <v>132409455.11840545</v>
      </c>
      <c r="M65" s="446">
        <f t="shared" si="16"/>
        <v>1.5233443648268596</v>
      </c>
      <c r="N65" s="386"/>
      <c r="O65" s="387"/>
      <c r="P65" s="388"/>
    </row>
    <row r="66" spans="1:16" s="360" customFormat="1" ht="22.5" x14ac:dyDescent="0.15">
      <c r="A66" s="385">
        <v>51</v>
      </c>
      <c r="B66" s="440" t="s">
        <v>126</v>
      </c>
      <c r="C66" s="443">
        <f>'COEFIC 2023'!E58</f>
        <v>13983</v>
      </c>
      <c r="D66" s="444">
        <f>'COEFIC 2023'!I58</f>
        <v>0.29445048333847845</v>
      </c>
      <c r="E66" s="445">
        <f t="shared" si="10"/>
        <v>11517167.773278674</v>
      </c>
      <c r="F66" s="446">
        <f>'COEFIC 2023'!P58</f>
        <v>0.39645821812299525</v>
      </c>
      <c r="G66" s="447">
        <f t="shared" si="11"/>
        <v>15507109.24786911</v>
      </c>
      <c r="H66" s="445">
        <f t="shared" si="12"/>
        <v>27024277.021147784</v>
      </c>
      <c r="I66" s="448">
        <f t="shared" si="13"/>
        <v>5.1742364796873705E-2</v>
      </c>
      <c r="J66" s="449">
        <f t="shared" si="14"/>
        <v>0.89111035822978302</v>
      </c>
      <c r="K66" s="450">
        <f t="shared" si="15"/>
        <v>7745552.4639028925</v>
      </c>
      <c r="L66" s="451">
        <f t="shared" si="17"/>
        <v>34769829.485050678</v>
      </c>
      <c r="M66" s="446">
        <f t="shared" si="16"/>
        <v>0.40001995148064162</v>
      </c>
      <c r="N66" s="386"/>
      <c r="O66" s="387"/>
      <c r="P66" s="388"/>
    </row>
    <row r="67" spans="1:16" s="360" customFormat="1" x14ac:dyDescent="0.15">
      <c r="A67" s="385">
        <v>52</v>
      </c>
      <c r="B67" s="440" t="s">
        <v>58</v>
      </c>
      <c r="C67" s="443">
        <f>'COEFIC 2023'!E59</f>
        <v>196003</v>
      </c>
      <c r="D67" s="444">
        <f>'COEFIC 2023'!I59</f>
        <v>4.1273816838869903</v>
      </c>
      <c r="E67" s="445">
        <f t="shared" si="10"/>
        <v>161438849.67932057</v>
      </c>
      <c r="F67" s="446">
        <f>'COEFIC 2023'!P59</f>
        <v>3.0951720361744934</v>
      </c>
      <c r="G67" s="447">
        <f t="shared" si="11"/>
        <v>121064890.8557041</v>
      </c>
      <c r="H67" s="445">
        <f t="shared" si="12"/>
        <v>282503740.53502464</v>
      </c>
      <c r="I67" s="448">
        <f t="shared" si="13"/>
        <v>6.9380674262505798E-2</v>
      </c>
      <c r="J67" s="449">
        <f t="shared" si="14"/>
        <v>1.1948784663978282</v>
      </c>
      <c r="K67" s="450">
        <f t="shared" si="15"/>
        <v>10385912.097192459</v>
      </c>
      <c r="L67" s="451">
        <f t="shared" si="17"/>
        <v>292889652.63221711</v>
      </c>
      <c r="M67" s="446">
        <f t="shared" si="16"/>
        <v>3.3696370206674513</v>
      </c>
      <c r="N67" s="386"/>
      <c r="O67" s="387"/>
      <c r="P67" s="388"/>
    </row>
    <row r="68" spans="1:16" s="360" customFormat="1" x14ac:dyDescent="0.15">
      <c r="A68" s="385">
        <v>53</v>
      </c>
      <c r="B68" s="440" t="s">
        <v>103</v>
      </c>
      <c r="C68" s="443">
        <f>'COEFIC 2023'!E60</f>
        <v>849053</v>
      </c>
      <c r="D68" s="444">
        <f>'COEFIC 2023'!I60</f>
        <v>17.879143690909327</v>
      </c>
      <c r="E68" s="445">
        <f t="shared" si="10"/>
        <v>699326743.14564669</v>
      </c>
      <c r="F68" s="446">
        <f>'COEFIC 2023'!P60</f>
        <v>7.4172287338747696</v>
      </c>
      <c r="G68" s="447">
        <f t="shared" si="11"/>
        <v>290118279.89638686</v>
      </c>
      <c r="H68" s="445">
        <f t="shared" si="12"/>
        <v>989445023.04203355</v>
      </c>
      <c r="I68" s="448">
        <f t="shared" si="13"/>
        <v>8.5811033481132643E-2</v>
      </c>
      <c r="J68" s="449">
        <f t="shared" si="14"/>
        <v>1.4778431771649561</v>
      </c>
      <c r="K68" s="450">
        <f t="shared" si="15"/>
        <v>12845448.104644788</v>
      </c>
      <c r="L68" s="451">
        <f t="shared" si="17"/>
        <v>1002290471.1466783</v>
      </c>
      <c r="M68" s="446">
        <f t="shared" si="16"/>
        <v>11.531151908869342</v>
      </c>
      <c r="N68" s="386"/>
      <c r="O68" s="387"/>
      <c r="P68" s="388"/>
    </row>
    <row r="69" spans="1:16" s="360" customFormat="1" x14ac:dyDescent="0.15">
      <c r="A69" s="385">
        <v>54</v>
      </c>
      <c r="B69" s="440" t="s">
        <v>94</v>
      </c>
      <c r="C69" s="443">
        <f>'COEFIC 2023'!E61</f>
        <v>7983</v>
      </c>
      <c r="D69" s="444">
        <f>'COEFIC 2023'!I61</f>
        <v>0.16810399831874945</v>
      </c>
      <c r="E69" s="445">
        <f t="shared" si="10"/>
        <v>6575237.8126356052</v>
      </c>
      <c r="F69" s="446">
        <f>'COEFIC 2023'!P61</f>
        <v>0.30909086115032519</v>
      </c>
      <c r="G69" s="447">
        <f t="shared" si="11"/>
        <v>12089813.080603225</v>
      </c>
      <c r="H69" s="445">
        <f t="shared" si="12"/>
        <v>18665050.893238831</v>
      </c>
      <c r="I69" s="448">
        <f t="shared" si="13"/>
        <v>4.2769773549836597E-2</v>
      </c>
      <c r="J69" s="449">
        <f t="shared" si="14"/>
        <v>0.73658381055873901</v>
      </c>
      <c r="K69" s="450">
        <f t="shared" si="15"/>
        <v>6402404.0300438963</v>
      </c>
      <c r="L69" s="451">
        <f t="shared" si="17"/>
        <v>25067454.923282728</v>
      </c>
      <c r="M69" s="446">
        <f t="shared" si="16"/>
        <v>0.28839606781695759</v>
      </c>
      <c r="N69" s="386"/>
      <c r="O69" s="387"/>
      <c r="P69" s="388"/>
    </row>
    <row r="70" spans="1:16" s="360" customFormat="1" x14ac:dyDescent="0.15">
      <c r="A70" s="385">
        <v>55</v>
      </c>
      <c r="B70" s="440" t="s">
        <v>347</v>
      </c>
      <c r="C70" s="443">
        <f>'COEFIC 2023'!E62</f>
        <v>45732</v>
      </c>
      <c r="D70" s="444">
        <f>'COEFIC 2023'!I62</f>
        <v>0.96301290882037449</v>
      </c>
      <c r="E70" s="445">
        <f t="shared" si="10"/>
        <v>37667390.160021476</v>
      </c>
      <c r="F70" s="446">
        <f>'COEFIC 2023'!P62</f>
        <v>0.80325130971927761</v>
      </c>
      <c r="G70" s="447">
        <f t="shared" si="11"/>
        <v>31418457.844772089</v>
      </c>
      <c r="H70" s="445">
        <f t="shared" si="12"/>
        <v>69085848.004793569</v>
      </c>
      <c r="I70" s="448">
        <f t="shared" si="13"/>
        <v>6.6195901650981909E-2</v>
      </c>
      <c r="J70" s="449">
        <f t="shared" si="14"/>
        <v>1.1400301061832034</v>
      </c>
      <c r="K70" s="450">
        <f t="shared" si="15"/>
        <v>9909168.8434776664</v>
      </c>
      <c r="L70" s="451">
        <f t="shared" si="17"/>
        <v>78995016.848271236</v>
      </c>
      <c r="M70" s="446">
        <f t="shared" si="16"/>
        <v>0.9088219089611641</v>
      </c>
      <c r="N70" s="386"/>
      <c r="O70" s="387"/>
      <c r="P70" s="388"/>
    </row>
    <row r="71" spans="1:16" s="360" customFormat="1" x14ac:dyDescent="0.15">
      <c r="A71" s="385">
        <v>56</v>
      </c>
      <c r="B71" s="440" t="s">
        <v>348</v>
      </c>
      <c r="C71" s="443">
        <f>'COEFIC 2023'!E63</f>
        <v>32598</v>
      </c>
      <c r="D71" s="444">
        <f>'COEFIC 2023'!I63</f>
        <v>0.68644045311218771</v>
      </c>
      <c r="E71" s="445">
        <f t="shared" si="10"/>
        <v>26849505.476173799</v>
      </c>
      <c r="F71" s="446">
        <f>'COEFIC 2023'!P63</f>
        <v>0.46532661427820704</v>
      </c>
      <c r="G71" s="447">
        <f t="shared" si="11"/>
        <v>18200835.078451041</v>
      </c>
      <c r="H71" s="445">
        <f t="shared" si="12"/>
        <v>45050340.554624841</v>
      </c>
      <c r="I71" s="448">
        <f t="shared" si="13"/>
        <v>7.2359053447052152E-2</v>
      </c>
      <c r="J71" s="449">
        <f t="shared" si="14"/>
        <v>1.2461723056435674</v>
      </c>
      <c r="K71" s="450">
        <f t="shared" si="15"/>
        <v>10831759.369961368</v>
      </c>
      <c r="L71" s="451">
        <f t="shared" si="17"/>
        <v>55882099.924586207</v>
      </c>
      <c r="M71" s="446">
        <f t="shared" si="16"/>
        <v>0.64291241089003459</v>
      </c>
      <c r="N71" s="386"/>
      <c r="O71" s="387"/>
      <c r="P71" s="388"/>
    </row>
    <row r="72" spans="1:16" s="390" customFormat="1" x14ac:dyDescent="0.15">
      <c r="A72" s="389">
        <v>57</v>
      </c>
      <c r="B72" s="440" t="s">
        <v>65</v>
      </c>
      <c r="C72" s="443">
        <f>'COEFIC 2023'!E64</f>
        <v>8196</v>
      </c>
      <c r="D72" s="444">
        <f>'COEFIC 2023'!I64</f>
        <v>0.17258929853694982</v>
      </c>
      <c r="E72" s="445">
        <f t="shared" si="10"/>
        <v>6750676.3262384338</v>
      </c>
      <c r="F72" s="446">
        <f>'COEFIC 2023'!P64</f>
        <v>0.74491573722474513</v>
      </c>
      <c r="G72" s="447">
        <f t="shared" si="11"/>
        <v>29136714.008075885</v>
      </c>
      <c r="H72" s="445">
        <f t="shared" si="12"/>
        <v>35887390.334314317</v>
      </c>
      <c r="I72" s="448">
        <f t="shared" si="13"/>
        <v>2.2838105316794963E-2</v>
      </c>
      <c r="J72" s="449">
        <f t="shared" si="14"/>
        <v>0.3933193291422255</v>
      </c>
      <c r="K72" s="450">
        <f t="shared" si="15"/>
        <v>3418740.9795012493</v>
      </c>
      <c r="L72" s="451">
        <f t="shared" si="17"/>
        <v>39306131.313815564</v>
      </c>
      <c r="M72" s="446">
        <f t="shared" si="16"/>
        <v>0.45220919900698536</v>
      </c>
      <c r="N72" s="386"/>
      <c r="O72" s="387"/>
      <c r="P72" s="388"/>
    </row>
    <row r="73" spans="1:16" s="360" customFormat="1" ht="22.5" x14ac:dyDescent="0.15">
      <c r="A73" s="385">
        <v>58</v>
      </c>
      <c r="B73" s="440" t="s">
        <v>134</v>
      </c>
      <c r="C73" s="443">
        <f>'COEFIC 2023'!E65</f>
        <v>20981</v>
      </c>
      <c r="D73" s="444">
        <f>'COEFIC 2023'!I65</f>
        <v>0.44181260036648906</v>
      </c>
      <c r="E73" s="445">
        <f t="shared" si="10"/>
        <v>17281105.417375378</v>
      </c>
      <c r="F73" s="446">
        <f>'COEFIC 2023'!P65</f>
        <v>0.50525093226213014</v>
      </c>
      <c r="G73" s="447">
        <f t="shared" si="11"/>
        <v>19762439.132352356</v>
      </c>
      <c r="H73" s="445">
        <f t="shared" si="12"/>
        <v>37043544.549727738</v>
      </c>
      <c r="I73" s="448">
        <f t="shared" si="13"/>
        <v>5.6638748410900129E-2</v>
      </c>
      <c r="J73" s="449">
        <f t="shared" si="14"/>
        <v>0.97543619400196546</v>
      </c>
      <c r="K73" s="450">
        <f t="shared" si="15"/>
        <v>8478514.6374471448</v>
      </c>
      <c r="L73" s="451">
        <f t="shared" si="17"/>
        <v>45522059.187174886</v>
      </c>
      <c r="M73" s="446">
        <f t="shared" si="16"/>
        <v>0.52372220908307543</v>
      </c>
      <c r="N73" s="386"/>
      <c r="O73" s="387"/>
      <c r="P73" s="388"/>
    </row>
    <row r="74" spans="1:16" s="360" customFormat="1" x14ac:dyDescent="0.15">
      <c r="A74" s="385">
        <v>59</v>
      </c>
      <c r="B74" s="440" t="s">
        <v>136</v>
      </c>
      <c r="C74" s="443">
        <f>'COEFIC 2023'!E66</f>
        <v>9027</v>
      </c>
      <c r="D74" s="444">
        <f>'COEFIC 2023'!I66</f>
        <v>0.19008828671218228</v>
      </c>
      <c r="E74" s="445">
        <f t="shared" si="10"/>
        <v>7435133.6257874984</v>
      </c>
      <c r="F74" s="446">
        <f>'COEFIC 2023'!P66</f>
        <v>0.34163452441152531</v>
      </c>
      <c r="G74" s="447">
        <f t="shared" si="11"/>
        <v>13362729.414401436</v>
      </c>
      <c r="H74" s="445">
        <f t="shared" si="12"/>
        <v>20797863.040188935</v>
      </c>
      <c r="I74" s="448">
        <f t="shared" si="13"/>
        <v>4.3403497669720181E-2</v>
      </c>
      <c r="J74" s="449">
        <f t="shared" si="14"/>
        <v>0.74749784840191158</v>
      </c>
      <c r="K74" s="450">
        <f t="shared" si="15"/>
        <v>6497269.1069971556</v>
      </c>
      <c r="L74" s="451">
        <f t="shared" si="17"/>
        <v>27295132.147186089</v>
      </c>
      <c r="M74" s="446">
        <f t="shared" si="16"/>
        <v>0.31402504984585966</v>
      </c>
      <c r="N74" s="386"/>
      <c r="O74" s="387"/>
      <c r="P74" s="388"/>
    </row>
    <row r="75" spans="1:16" s="360" customFormat="1" x14ac:dyDescent="0.15">
      <c r="A75" s="385">
        <v>60</v>
      </c>
      <c r="B75" s="440" t="s">
        <v>137</v>
      </c>
      <c r="C75" s="443">
        <f>'COEFIC 2023'!E67</f>
        <v>9437</v>
      </c>
      <c r="D75" s="444">
        <f>'COEFIC 2023'!I67</f>
        <v>0.19872196318853044</v>
      </c>
      <c r="E75" s="445">
        <f t="shared" si="10"/>
        <v>7772832.1730981097</v>
      </c>
      <c r="F75" s="446">
        <f>'COEFIC 2023'!P67</f>
        <v>0.41133216924457244</v>
      </c>
      <c r="G75" s="447">
        <f t="shared" si="11"/>
        <v>16088890.566671805</v>
      </c>
      <c r="H75" s="445">
        <f t="shared" si="12"/>
        <v>23861722.739769913</v>
      </c>
      <c r="I75" s="448">
        <f t="shared" si="13"/>
        <v>3.9548695217514696E-2</v>
      </c>
      <c r="J75" s="449">
        <f t="shared" si="14"/>
        <v>0.68111019086876712</v>
      </c>
      <c r="K75" s="450">
        <f t="shared" si="15"/>
        <v>5920226.0060729552</v>
      </c>
      <c r="L75" s="451">
        <f t="shared" si="17"/>
        <v>29781948.745842867</v>
      </c>
      <c r="M75" s="446">
        <f t="shared" si="16"/>
        <v>0.34263537868177307</v>
      </c>
      <c r="N75" s="386"/>
      <c r="O75" s="387"/>
      <c r="P75" s="388"/>
    </row>
    <row r="76" spans="1:16" s="360" customFormat="1" x14ac:dyDescent="0.15">
      <c r="A76" s="385">
        <v>61</v>
      </c>
      <c r="B76" s="440" t="s">
        <v>135</v>
      </c>
      <c r="C76" s="443">
        <f>'COEFIC 2023'!E68</f>
        <v>24774</v>
      </c>
      <c r="D76" s="444">
        <f>'COEFIC 2023'!I68</f>
        <v>0.52168463664646103</v>
      </c>
      <c r="E76" s="445">
        <f t="shared" si="10"/>
        <v>20405228.807495233</v>
      </c>
      <c r="F76" s="446">
        <f>'COEFIC 2023'!P68</f>
        <v>0.59684263357744027</v>
      </c>
      <c r="G76" s="447">
        <f t="shared" si="11"/>
        <v>23344966.757127378</v>
      </c>
      <c r="H76" s="445">
        <f t="shared" si="12"/>
        <v>43750195.564622611</v>
      </c>
      <c r="I76" s="448">
        <f t="shared" si="13"/>
        <v>5.6626032593172705E-2</v>
      </c>
      <c r="J76" s="449">
        <f t="shared" si="14"/>
        <v>0.97521720136537549</v>
      </c>
      <c r="K76" s="450">
        <f t="shared" si="15"/>
        <v>8476611.1482325364</v>
      </c>
      <c r="L76" s="451">
        <f t="shared" si="17"/>
        <v>52226806.712855145</v>
      </c>
      <c r="M76" s="446">
        <f t="shared" si="16"/>
        <v>0.60085899173729329</v>
      </c>
      <c r="N76" s="386"/>
      <c r="O76" s="387"/>
      <c r="P76" s="388"/>
    </row>
    <row r="77" spans="1:16" s="360" customFormat="1" x14ac:dyDescent="0.15">
      <c r="A77" s="385">
        <v>62</v>
      </c>
      <c r="B77" s="440" t="s">
        <v>113</v>
      </c>
      <c r="C77" s="443">
        <f>'COEFIC 2023'!E69</f>
        <v>21028</v>
      </c>
      <c r="D77" s="444">
        <f>'COEFIC 2023'!I69</f>
        <v>0.44280231449914359</v>
      </c>
      <c r="E77" s="445">
        <f t="shared" si="10"/>
        <v>17319817.202067081</v>
      </c>
      <c r="F77" s="446">
        <f>'COEFIC 2023'!P69</f>
        <v>0.48709064033904148</v>
      </c>
      <c r="G77" s="447">
        <f t="shared" si="11"/>
        <v>19052115.527111404</v>
      </c>
      <c r="H77" s="445">
        <f t="shared" si="12"/>
        <v>36371932.729178488</v>
      </c>
      <c r="I77" s="448">
        <f t="shared" si="13"/>
        <v>5.7813809776269619E-2</v>
      </c>
      <c r="J77" s="449">
        <f t="shared" si="14"/>
        <v>0.99567317695291968</v>
      </c>
      <c r="K77" s="450">
        <f t="shared" si="15"/>
        <v>8654414.9753908161</v>
      </c>
      <c r="L77" s="451">
        <f t="shared" si="17"/>
        <v>45026347.704569302</v>
      </c>
      <c r="M77" s="446">
        <f t="shared" si="16"/>
        <v>0.51801914737247545</v>
      </c>
      <c r="N77" s="386"/>
      <c r="O77" s="387"/>
      <c r="P77" s="388"/>
    </row>
    <row r="78" spans="1:16" s="360" customFormat="1" x14ac:dyDescent="0.15">
      <c r="A78" s="385">
        <v>63</v>
      </c>
      <c r="B78" s="440" t="s">
        <v>123</v>
      </c>
      <c r="C78" s="443">
        <f>'COEFIC 2023'!E70</f>
        <v>14889</v>
      </c>
      <c r="D78" s="444">
        <f>'COEFIC 2023'!I70</f>
        <v>0.31352880257645754</v>
      </c>
      <c r="E78" s="445">
        <f t="shared" si="10"/>
        <v>12263399.197335778</v>
      </c>
      <c r="F78" s="446">
        <f>'COEFIC 2023'!P70</f>
        <v>0.41328818544046847</v>
      </c>
      <c r="G78" s="447">
        <f t="shared" si="11"/>
        <v>16165398.393862188</v>
      </c>
      <c r="H78" s="445">
        <f t="shared" si="12"/>
        <v>28428797.591197968</v>
      </c>
      <c r="I78" s="448">
        <f t="shared" si="13"/>
        <v>5.2372950182774818E-2</v>
      </c>
      <c r="J78" s="449">
        <f t="shared" si="14"/>
        <v>0.90197034059299264</v>
      </c>
      <c r="K78" s="450">
        <f t="shared" si="15"/>
        <v>7839947.6893364741</v>
      </c>
      <c r="L78" s="451">
        <f t="shared" si="17"/>
        <v>36268745.280534439</v>
      </c>
      <c r="M78" s="446">
        <f t="shared" si="16"/>
        <v>0.41726467866691608</v>
      </c>
      <c r="N78" s="386"/>
      <c r="O78" s="387"/>
      <c r="P78" s="388"/>
    </row>
    <row r="79" spans="1:16" s="360" customFormat="1" x14ac:dyDescent="0.15">
      <c r="A79" s="385">
        <v>64</v>
      </c>
      <c r="B79" s="440" t="s">
        <v>74</v>
      </c>
      <c r="C79" s="443">
        <f>'COEFIC 2023'!E71</f>
        <v>26832</v>
      </c>
      <c r="D79" s="444">
        <f>'COEFIC 2023'!I71</f>
        <v>0.56502148100822813</v>
      </c>
      <c r="E79" s="445">
        <f t="shared" si="10"/>
        <v>22100310.783995811</v>
      </c>
      <c r="F79" s="446">
        <f>'COEFIC 2023'!P71</f>
        <v>0.68085562816258149</v>
      </c>
      <c r="G79" s="447">
        <f t="shared" si="11"/>
        <v>26631060.034346938</v>
      </c>
      <c r="H79" s="445">
        <f t="shared" si="12"/>
        <v>48731370.818342745</v>
      </c>
      <c r="I79" s="448">
        <f t="shared" si="13"/>
        <v>5.5061040864256366E-2</v>
      </c>
      <c r="J79" s="449">
        <f t="shared" si="14"/>
        <v>0.94826481243502747</v>
      </c>
      <c r="K79" s="450">
        <f t="shared" si="15"/>
        <v>8242340.3415254569</v>
      </c>
      <c r="L79" s="451">
        <f t="shared" si="17"/>
        <v>56973711.159868203</v>
      </c>
      <c r="M79" s="446">
        <f t="shared" si="16"/>
        <v>0.65547118037036733</v>
      </c>
      <c r="N79" s="386"/>
      <c r="O79" s="387"/>
      <c r="P79" s="388"/>
    </row>
    <row r="80" spans="1:16" s="360" customFormat="1" x14ac:dyDescent="0.15">
      <c r="A80" s="385">
        <v>65</v>
      </c>
      <c r="B80" s="440" t="s">
        <v>89</v>
      </c>
      <c r="C80" s="443">
        <f>'COEFIC 2023'!E72</f>
        <v>39657</v>
      </c>
      <c r="D80" s="444">
        <f>'COEFIC 2023'!I72</f>
        <v>0.83508709273789883</v>
      </c>
      <c r="E80" s="445">
        <f t="shared" ref="E80:E111" si="18">$G$9*D80%</f>
        <v>32663686.074870367</v>
      </c>
      <c r="F80" s="446">
        <f>'COEFIC 2023'!P72</f>
        <v>0.61494319721037083</v>
      </c>
      <c r="G80" s="447">
        <f t="shared" ref="G80:G111" si="19">$G$10*F80%</f>
        <v>24052954.143623631</v>
      </c>
      <c r="H80" s="445">
        <f t="shared" ref="H80:H111" si="20">E80+G80</f>
        <v>56716640.218493998</v>
      </c>
      <c r="I80" s="448">
        <f t="shared" ref="I80:I111" si="21">(C80/H80%)</f>
        <v>6.9921278565208037E-2</v>
      </c>
      <c r="J80" s="449">
        <f t="shared" ref="J80:J111" si="22">I80/$I$15%</f>
        <v>1.204188788717512</v>
      </c>
      <c r="K80" s="450">
        <f t="shared" ref="K80:K111" si="23">$G$11*J80%</f>
        <v>10466837.640607992</v>
      </c>
      <c r="L80" s="451">
        <f t="shared" si="17"/>
        <v>67183477.859101996</v>
      </c>
      <c r="M80" s="446">
        <f t="shared" ref="M80:M111" si="24">(L80/$L$129%)</f>
        <v>0.7729325093484728</v>
      </c>
      <c r="N80" s="386"/>
      <c r="O80" s="387"/>
      <c r="P80" s="388"/>
    </row>
    <row r="81" spans="1:16" s="360" customFormat="1" x14ac:dyDescent="0.15">
      <c r="A81" s="385">
        <v>66</v>
      </c>
      <c r="B81" s="440" t="s">
        <v>118</v>
      </c>
      <c r="C81" s="443">
        <f>'COEFIC 2023'!E73</f>
        <v>98382</v>
      </c>
      <c r="D81" s="444">
        <f>'COEFIC 2023'!I73</f>
        <v>2.0717033148684965</v>
      </c>
      <c r="E81" s="445">
        <f t="shared" si="18"/>
        <v>81032825.564664409</v>
      </c>
      <c r="F81" s="446">
        <f>'COEFIC 2023'!P73</f>
        <v>1.3350772698902451</v>
      </c>
      <c r="G81" s="447">
        <f t="shared" si="19"/>
        <v>52220355.467854142</v>
      </c>
      <c r="H81" s="445">
        <f t="shared" si="20"/>
        <v>133253181.03251855</v>
      </c>
      <c r="I81" s="448">
        <f t="shared" si="21"/>
        <v>7.383088286349522E-2</v>
      </c>
      <c r="J81" s="449">
        <f t="shared" si="22"/>
        <v>1.2715202471937566</v>
      </c>
      <c r="K81" s="450">
        <f t="shared" si="23"/>
        <v>11052084.28181511</v>
      </c>
      <c r="L81" s="451">
        <f t="shared" si="17"/>
        <v>144305265.31433365</v>
      </c>
      <c r="M81" s="446">
        <f t="shared" si="24"/>
        <v>1.6602032878608097</v>
      </c>
      <c r="N81" s="386"/>
      <c r="O81" s="387"/>
      <c r="P81" s="388"/>
    </row>
    <row r="82" spans="1:16" s="360" customFormat="1" x14ac:dyDescent="0.15">
      <c r="A82" s="385">
        <v>67</v>
      </c>
      <c r="B82" s="440" t="s">
        <v>120</v>
      </c>
      <c r="C82" s="443">
        <f>'COEFIC 2023'!E74</f>
        <v>16621</v>
      </c>
      <c r="D82" s="444">
        <f>'COEFIC 2023'!I74</f>
        <v>0.35000082125215265</v>
      </c>
      <c r="E82" s="445">
        <f t="shared" si="18"/>
        <v>13689969.645974746</v>
      </c>
      <c r="F82" s="446">
        <f>'COEFIC 2023'!P74</f>
        <v>0.49564708763613402</v>
      </c>
      <c r="G82" s="447">
        <f t="shared" si="19"/>
        <v>19386793.324024882</v>
      </c>
      <c r="H82" s="445">
        <f t="shared" si="20"/>
        <v>33076762.969999626</v>
      </c>
      <c r="I82" s="448">
        <f t="shared" si="21"/>
        <v>5.0249778114850964E-2</v>
      </c>
      <c r="J82" s="449">
        <f t="shared" si="22"/>
        <v>0.8654049337071944</v>
      </c>
      <c r="K82" s="450">
        <f t="shared" si="23"/>
        <v>7522120.3015362369</v>
      </c>
      <c r="L82" s="451">
        <f t="shared" si="17"/>
        <v>40598883.271535866</v>
      </c>
      <c r="M82" s="446">
        <f t="shared" si="24"/>
        <v>0.46708205237044864</v>
      </c>
      <c r="N82" s="386"/>
      <c r="O82" s="387"/>
      <c r="P82" s="388"/>
    </row>
    <row r="83" spans="1:16" s="360" customFormat="1" x14ac:dyDescent="0.15">
      <c r="A83" s="385">
        <v>68</v>
      </c>
      <c r="B83" s="440" t="s">
        <v>144</v>
      </c>
      <c r="C83" s="443">
        <f>'COEFIC 2023'!E75</f>
        <v>29389</v>
      </c>
      <c r="D83" s="444">
        <f>'COEFIC 2023'!I75</f>
        <v>0.61886614137413598</v>
      </c>
      <c r="E83" s="445">
        <f t="shared" si="18"/>
        <v>24206396.602223199</v>
      </c>
      <c r="F83" s="446">
        <f>'COEFIC 2023'!P75</f>
        <v>0.67531065033607796</v>
      </c>
      <c r="G83" s="447">
        <f t="shared" si="19"/>
        <v>26414173.177165113</v>
      </c>
      <c r="H83" s="445">
        <f t="shared" si="20"/>
        <v>50620569.779388309</v>
      </c>
      <c r="I83" s="448">
        <f t="shared" si="21"/>
        <v>5.8057426315194532E-2</v>
      </c>
      <c r="J83" s="449">
        <f t="shared" si="22"/>
        <v>0.99986875676695242</v>
      </c>
      <c r="K83" s="450">
        <f t="shared" si="23"/>
        <v>8690883.0550915599</v>
      </c>
      <c r="L83" s="451">
        <f t="shared" si="17"/>
        <v>59311452.834479868</v>
      </c>
      <c r="M83" s="446">
        <f t="shared" si="24"/>
        <v>0.68236643194629165</v>
      </c>
      <c r="N83" s="386"/>
      <c r="O83" s="387"/>
      <c r="P83" s="388"/>
    </row>
    <row r="84" spans="1:16" s="360" customFormat="1" x14ac:dyDescent="0.15">
      <c r="A84" s="385">
        <v>69</v>
      </c>
      <c r="B84" s="440" t="s">
        <v>84</v>
      </c>
      <c r="C84" s="443">
        <f>'COEFIC 2023'!E76</f>
        <v>106490</v>
      </c>
      <c r="D84" s="444">
        <f>'COEFIC 2023'!I76</f>
        <v>2.2424395316251569</v>
      </c>
      <c r="E84" s="445">
        <f t="shared" si="18"/>
        <v>87711020.251480088</v>
      </c>
      <c r="F84" s="446">
        <f>'COEFIC 2023'!P76</f>
        <v>1.9355321382709125</v>
      </c>
      <c r="G84" s="447">
        <f t="shared" si="19"/>
        <v>75706611.564341918</v>
      </c>
      <c r="H84" s="445">
        <f t="shared" si="20"/>
        <v>163417631.81582201</v>
      </c>
      <c r="I84" s="448">
        <f t="shared" si="21"/>
        <v>6.5164327017061624E-2</v>
      </c>
      <c r="J84" s="449">
        <f t="shared" si="22"/>
        <v>1.12226426101586</v>
      </c>
      <c r="K84" s="450">
        <f t="shared" si="23"/>
        <v>9754747.6940225158</v>
      </c>
      <c r="L84" s="451">
        <f t="shared" si="17"/>
        <v>173172379.50984451</v>
      </c>
      <c r="M84" s="446">
        <f t="shared" si="24"/>
        <v>1.9923136775548178</v>
      </c>
      <c r="N84" s="386"/>
      <c r="O84" s="387"/>
      <c r="P84" s="388"/>
    </row>
    <row r="85" spans="1:16" s="360" customFormat="1" x14ac:dyDescent="0.15">
      <c r="A85" s="385">
        <v>70</v>
      </c>
      <c r="B85" s="440" t="s">
        <v>53</v>
      </c>
      <c r="C85" s="443">
        <f>'COEFIC 2023'!E77</f>
        <v>15503</v>
      </c>
      <c r="D85" s="444">
        <f>'COEFIC 2023'!I77</f>
        <v>0.32645825954347646</v>
      </c>
      <c r="E85" s="445">
        <f t="shared" si="18"/>
        <v>12769123.363308253</v>
      </c>
      <c r="F85" s="446">
        <f>'COEFIC 2023'!P77</f>
        <v>0.45201662211357152</v>
      </c>
      <c r="G85" s="447">
        <f t="shared" si="19"/>
        <v>17680226.617961891</v>
      </c>
      <c r="H85" s="445">
        <f t="shared" si="20"/>
        <v>30449349.981270142</v>
      </c>
      <c r="I85" s="448">
        <f t="shared" si="21"/>
        <v>5.0914058952115988E-2</v>
      </c>
      <c r="J85" s="449">
        <f t="shared" si="22"/>
        <v>0.87684522131647236</v>
      </c>
      <c r="K85" s="450">
        <f t="shared" si="23"/>
        <v>7621559.5539940689</v>
      </c>
      <c r="L85" s="451">
        <f t="shared" si="17"/>
        <v>38070909.535264209</v>
      </c>
      <c r="M85" s="446">
        <f t="shared" si="24"/>
        <v>0.43799821887731893</v>
      </c>
      <c r="N85" s="386"/>
      <c r="O85" s="387"/>
      <c r="P85" s="388"/>
    </row>
    <row r="86" spans="1:16" s="360" customFormat="1" x14ac:dyDescent="0.15">
      <c r="A86" s="385">
        <v>71</v>
      </c>
      <c r="B86" s="440" t="s">
        <v>143</v>
      </c>
      <c r="C86" s="443">
        <f>'COEFIC 2023'!E78</f>
        <v>69260</v>
      </c>
      <c r="D86" s="444">
        <f>'COEFIC 2023'!I78</f>
        <v>1.4584595920777386</v>
      </c>
      <c r="E86" s="445">
        <f t="shared" si="18"/>
        <v>57046344.845689841</v>
      </c>
      <c r="F86" s="446">
        <f>'COEFIC 2023'!P78</f>
        <v>1.0305721617264547</v>
      </c>
      <c r="G86" s="447">
        <f t="shared" si="19"/>
        <v>40309910.02120389</v>
      </c>
      <c r="H86" s="445">
        <f t="shared" si="20"/>
        <v>97356254.866893739</v>
      </c>
      <c r="I86" s="448">
        <f t="shared" si="21"/>
        <v>7.1140780933585446E-2</v>
      </c>
      <c r="J86" s="449">
        <f t="shared" si="22"/>
        <v>1.2251911375010087</v>
      </c>
      <c r="K86" s="450">
        <f t="shared" si="23"/>
        <v>10649390.556602506</v>
      </c>
      <c r="L86" s="451">
        <f t="shared" si="17"/>
        <v>108005645.42349625</v>
      </c>
      <c r="M86" s="446">
        <f t="shared" si="24"/>
        <v>1.2425834029619882</v>
      </c>
      <c r="N86" s="386"/>
      <c r="O86" s="387"/>
      <c r="P86" s="388"/>
    </row>
    <row r="87" spans="1:16" s="360" customFormat="1" x14ac:dyDescent="0.15">
      <c r="A87" s="385">
        <v>72</v>
      </c>
      <c r="B87" s="440" t="s">
        <v>132</v>
      </c>
      <c r="C87" s="443">
        <f>'COEFIC 2023'!E79</f>
        <v>13961</v>
      </c>
      <c r="D87" s="444">
        <f>'COEFIC 2023'!I79</f>
        <v>0.29398721289340612</v>
      </c>
      <c r="E87" s="445">
        <f t="shared" si="18"/>
        <v>11499047.363422984</v>
      </c>
      <c r="F87" s="446">
        <f>'COEFIC 2023'!P79</f>
        <v>0.37946277923825678</v>
      </c>
      <c r="G87" s="447">
        <f t="shared" si="19"/>
        <v>14842347.829253845</v>
      </c>
      <c r="H87" s="445">
        <f t="shared" si="20"/>
        <v>26341395.192676827</v>
      </c>
      <c r="I87" s="448">
        <f t="shared" si="21"/>
        <v>5.3000229858292766E-2</v>
      </c>
      <c r="J87" s="449">
        <f t="shared" si="22"/>
        <v>0.91277339179785055</v>
      </c>
      <c r="K87" s="450">
        <f t="shared" si="23"/>
        <v>7933848.0677853124</v>
      </c>
      <c r="L87" s="451">
        <f t="shared" si="17"/>
        <v>34275243.260462143</v>
      </c>
      <c r="M87" s="446">
        <f t="shared" si="24"/>
        <v>0.39432983563903351</v>
      </c>
      <c r="N87" s="386"/>
      <c r="O87" s="387"/>
      <c r="P87" s="388"/>
    </row>
    <row r="88" spans="1:16" s="360" customFormat="1" x14ac:dyDescent="0.15">
      <c r="A88" s="385">
        <v>73</v>
      </c>
      <c r="B88" s="440" t="s">
        <v>85</v>
      </c>
      <c r="C88" s="443">
        <f>'COEFIC 2023'!E80</f>
        <v>27176</v>
      </c>
      <c r="D88" s="444">
        <f>'COEFIC 2023'!I80</f>
        <v>0.5722653461493592</v>
      </c>
      <c r="E88" s="445">
        <f t="shared" si="18"/>
        <v>22383648.101739343</v>
      </c>
      <c r="F88" s="446">
        <f>'COEFIC 2023'!P80</f>
        <v>0.54450577422167679</v>
      </c>
      <c r="G88" s="447">
        <f t="shared" si="19"/>
        <v>21297857.229261819</v>
      </c>
      <c r="H88" s="445">
        <f t="shared" si="20"/>
        <v>43681505.331001163</v>
      </c>
      <c r="I88" s="448">
        <f t="shared" si="21"/>
        <v>6.221397315424692E-2</v>
      </c>
      <c r="J88" s="449">
        <f t="shared" si="22"/>
        <v>1.0714530756763703</v>
      </c>
      <c r="K88" s="450">
        <f t="shared" si="23"/>
        <v>9313095.6605056673</v>
      </c>
      <c r="L88" s="451">
        <f t="shared" si="17"/>
        <v>52994600.99150683</v>
      </c>
      <c r="M88" s="446">
        <f t="shared" si="24"/>
        <v>0.60969231173460348</v>
      </c>
      <c r="N88" s="386"/>
      <c r="O88" s="387"/>
      <c r="P88" s="388"/>
    </row>
    <row r="89" spans="1:16" s="360" customFormat="1" ht="22.5" x14ac:dyDescent="0.15">
      <c r="A89" s="385">
        <v>74</v>
      </c>
      <c r="B89" s="441" t="s">
        <v>133</v>
      </c>
      <c r="C89" s="443">
        <f>'COEFIC 2023'!E81</f>
        <v>10553</v>
      </c>
      <c r="D89" s="444">
        <f>'COEFIC 2023'!I81</f>
        <v>0.22222240940220003</v>
      </c>
      <c r="E89" s="445">
        <f t="shared" si="18"/>
        <v>8692031.1457777191</v>
      </c>
      <c r="F89" s="446">
        <f>'COEFIC 2023'!P81</f>
        <v>0.30271862627818635</v>
      </c>
      <c r="G89" s="447">
        <f t="shared" si="19"/>
        <v>11840568.80264836</v>
      </c>
      <c r="H89" s="445">
        <f t="shared" si="20"/>
        <v>20532599.948426079</v>
      </c>
      <c r="I89" s="448">
        <f t="shared" si="21"/>
        <v>5.1396316231296063E-2</v>
      </c>
      <c r="J89" s="449">
        <f t="shared" si="22"/>
        <v>0.88515068741753156</v>
      </c>
      <c r="K89" s="450">
        <f t="shared" si="23"/>
        <v>7693750.8632172225</v>
      </c>
      <c r="L89" s="451">
        <f t="shared" si="17"/>
        <v>28226350.811643302</v>
      </c>
      <c r="M89" s="446">
        <f t="shared" si="24"/>
        <v>0.32473853479792714</v>
      </c>
      <c r="N89" s="386"/>
      <c r="O89" s="387"/>
      <c r="P89" s="388"/>
    </row>
    <row r="90" spans="1:16" s="360" customFormat="1" x14ac:dyDescent="0.15">
      <c r="A90" s="385">
        <v>75</v>
      </c>
      <c r="B90" s="440" t="s">
        <v>146</v>
      </c>
      <c r="C90" s="443">
        <f>'COEFIC 2023'!E82</f>
        <v>78935</v>
      </c>
      <c r="D90" s="444">
        <f>'COEFIC 2023'!I82</f>
        <v>1.6621932991720516</v>
      </c>
      <c r="E90" s="445">
        <f t="shared" si="18"/>
        <v>65015206.907226793</v>
      </c>
      <c r="F90" s="446">
        <f>'COEFIC 2023'!P82</f>
        <v>1.0263852879652673</v>
      </c>
      <c r="G90" s="447">
        <f t="shared" si="19"/>
        <v>40146144.192034908</v>
      </c>
      <c r="H90" s="445">
        <f t="shared" si="20"/>
        <v>105161351.0992617</v>
      </c>
      <c r="I90" s="448">
        <f t="shared" si="21"/>
        <v>7.5060846190054487E-2</v>
      </c>
      <c r="J90" s="449">
        <f t="shared" si="22"/>
        <v>1.2927027552766872</v>
      </c>
      <c r="K90" s="450">
        <f t="shared" si="23"/>
        <v>11236203.146732489</v>
      </c>
      <c r="L90" s="451">
        <f t="shared" si="17"/>
        <v>116397554.2459942</v>
      </c>
      <c r="M90" s="446">
        <f t="shared" si="24"/>
        <v>1.3391306397394627</v>
      </c>
      <c r="N90" s="386"/>
      <c r="O90" s="387"/>
      <c r="P90" s="388"/>
    </row>
    <row r="91" spans="1:16" s="360" customFormat="1" x14ac:dyDescent="0.15">
      <c r="A91" s="385">
        <v>76</v>
      </c>
      <c r="B91" s="440" t="s">
        <v>148</v>
      </c>
      <c r="C91" s="443">
        <f>'COEFIC 2023'!E83</f>
        <v>78477</v>
      </c>
      <c r="D91" s="444">
        <f>'COEFIC 2023'!I83</f>
        <v>1.6525488508155455</v>
      </c>
      <c r="E91" s="445">
        <f t="shared" si="18"/>
        <v>64637972.920231029</v>
      </c>
      <c r="F91" s="446">
        <f>'COEFIC 2023'!P83</f>
        <v>1.8504233032214761</v>
      </c>
      <c r="G91" s="447">
        <f t="shared" si="19"/>
        <v>72377655.465717062</v>
      </c>
      <c r="H91" s="445">
        <f t="shared" si="20"/>
        <v>137015628.38594809</v>
      </c>
      <c r="I91" s="448">
        <f t="shared" si="21"/>
        <v>5.7275947951677876E-2</v>
      </c>
      <c r="J91" s="449">
        <f t="shared" si="22"/>
        <v>0.98641008576890343</v>
      </c>
      <c r="K91" s="450">
        <f t="shared" si="23"/>
        <v>8573899.9661317579</v>
      </c>
      <c r="L91" s="451">
        <f t="shared" si="17"/>
        <v>145589528.35207984</v>
      </c>
      <c r="M91" s="446">
        <f t="shared" si="24"/>
        <v>1.6749784778935504</v>
      </c>
      <c r="N91" s="386"/>
      <c r="O91" s="387"/>
      <c r="P91" s="388"/>
    </row>
    <row r="92" spans="1:16" s="360" customFormat="1" x14ac:dyDescent="0.15">
      <c r="A92" s="385">
        <v>77</v>
      </c>
      <c r="B92" s="440" t="s">
        <v>45</v>
      </c>
      <c r="C92" s="443">
        <f>'COEFIC 2023'!E84</f>
        <v>17677</v>
      </c>
      <c r="D92" s="444">
        <f>'COEFIC 2023'!I84</f>
        <v>0.37223780261562495</v>
      </c>
      <c r="E92" s="445">
        <f t="shared" si="18"/>
        <v>14559749.319047926</v>
      </c>
      <c r="F92" s="446">
        <f>'COEFIC 2023'!P84</f>
        <v>0.62678870776607709</v>
      </c>
      <c r="G92" s="447">
        <f t="shared" si="19"/>
        <v>24516280.71345434</v>
      </c>
      <c r="H92" s="445">
        <f t="shared" si="20"/>
        <v>39076030.032502264</v>
      </c>
      <c r="I92" s="448">
        <f t="shared" si="21"/>
        <v>4.5237451156877509E-2</v>
      </c>
      <c r="J92" s="449">
        <f t="shared" si="22"/>
        <v>0.77908231415513252</v>
      </c>
      <c r="K92" s="450">
        <f t="shared" si="23"/>
        <v>6771802.0358050978</v>
      </c>
      <c r="L92" s="451">
        <f t="shared" si="17"/>
        <v>45847832.068307362</v>
      </c>
      <c r="M92" s="446">
        <f t="shared" si="24"/>
        <v>0.52747016108727929</v>
      </c>
      <c r="N92" s="386"/>
      <c r="O92" s="387"/>
      <c r="P92" s="388"/>
    </row>
    <row r="93" spans="1:16" s="360" customFormat="1" x14ac:dyDescent="0.15">
      <c r="A93" s="385">
        <v>78</v>
      </c>
      <c r="B93" s="440" t="s">
        <v>349</v>
      </c>
      <c r="C93" s="443">
        <f>'COEFIC 2023'!E85</f>
        <v>12812</v>
      </c>
      <c r="D93" s="444">
        <f>'COEFIC 2023'!I85</f>
        <v>0.26979186101212799</v>
      </c>
      <c r="E93" s="445">
        <f t="shared" si="18"/>
        <v>10552667.775959834</v>
      </c>
      <c r="F93" s="446">
        <f>'COEFIC 2023'!P85</f>
        <v>0.40979046274032732</v>
      </c>
      <c r="G93" s="447">
        <f t="shared" si="19"/>
        <v>16028588.093178714</v>
      </c>
      <c r="H93" s="445">
        <f t="shared" si="20"/>
        <v>26581255.869138546</v>
      </c>
      <c r="I93" s="448">
        <f t="shared" si="21"/>
        <v>4.819937802440339E-2</v>
      </c>
      <c r="J93" s="449">
        <f t="shared" si="22"/>
        <v>0.83009281053141881</v>
      </c>
      <c r="K93" s="450">
        <f t="shared" si="23"/>
        <v>7215186.4856022485</v>
      </c>
      <c r="L93" s="451">
        <f t="shared" si="17"/>
        <v>33796442.354740798</v>
      </c>
      <c r="M93" s="446">
        <f t="shared" si="24"/>
        <v>0.38882132674174691</v>
      </c>
      <c r="N93" s="386"/>
      <c r="O93" s="387"/>
      <c r="P93" s="388"/>
    </row>
    <row r="94" spans="1:16" s="360" customFormat="1" ht="22.5" x14ac:dyDescent="0.15">
      <c r="A94" s="385">
        <v>79</v>
      </c>
      <c r="B94" s="440" t="s">
        <v>138</v>
      </c>
      <c r="C94" s="443">
        <f>'COEFIC 2023'!E86</f>
        <v>49896</v>
      </c>
      <c r="D94" s="444">
        <f>'COEFIC 2023'!I86</f>
        <v>1.0506973694240664</v>
      </c>
      <c r="E94" s="445">
        <f t="shared" si="18"/>
        <v>41097089.552707769</v>
      </c>
      <c r="F94" s="446">
        <f>'COEFIC 2023'!P86</f>
        <v>0.84314994921472297</v>
      </c>
      <c r="G94" s="447">
        <f t="shared" si="19"/>
        <v>32979057.507522099</v>
      </c>
      <c r="H94" s="445">
        <f t="shared" si="20"/>
        <v>74076147.060229868</v>
      </c>
      <c r="I94" s="448">
        <f t="shared" si="21"/>
        <v>6.7357714973256558E-2</v>
      </c>
      <c r="J94" s="449">
        <f t="shared" si="22"/>
        <v>1.160038930477814</v>
      </c>
      <c r="K94" s="450">
        <f t="shared" si="23"/>
        <v>10083086.020944657</v>
      </c>
      <c r="L94" s="451">
        <f t="shared" si="17"/>
        <v>84159233.081174523</v>
      </c>
      <c r="M94" s="446">
        <f t="shared" si="24"/>
        <v>0.96823518643523687</v>
      </c>
      <c r="N94" s="386"/>
      <c r="O94" s="387"/>
      <c r="P94" s="388"/>
    </row>
    <row r="95" spans="1:16" s="360" customFormat="1" x14ac:dyDescent="0.15">
      <c r="A95" s="385">
        <v>80</v>
      </c>
      <c r="B95" s="440" t="s">
        <v>93</v>
      </c>
      <c r="C95" s="443">
        <f>'COEFIC 2023'!E87</f>
        <v>19833</v>
      </c>
      <c r="D95" s="444">
        <f>'COEFIC 2023'!I87</f>
        <v>0.41763830623271425</v>
      </c>
      <c r="E95" s="445">
        <f t="shared" si="18"/>
        <v>16335549.484905668</v>
      </c>
      <c r="F95" s="446">
        <f>'COEFIC 2023'!P87</f>
        <v>0.46314450232260923</v>
      </c>
      <c r="G95" s="447">
        <f t="shared" si="19"/>
        <v>18115483.717476003</v>
      </c>
      <c r="H95" s="445">
        <f t="shared" si="20"/>
        <v>34451033.20238167</v>
      </c>
      <c r="I95" s="448">
        <f t="shared" si="21"/>
        <v>5.7568665309663064E-2</v>
      </c>
      <c r="J95" s="449">
        <f t="shared" si="22"/>
        <v>0.99145128306937969</v>
      </c>
      <c r="K95" s="450">
        <f t="shared" si="23"/>
        <v>8617718.1731709968</v>
      </c>
      <c r="L95" s="451">
        <f t="shared" ref="L95:L126" si="25">H95+K95</f>
        <v>43068751.375552669</v>
      </c>
      <c r="M95" s="446">
        <f t="shared" si="24"/>
        <v>0.49549739215683369</v>
      </c>
      <c r="N95" s="386"/>
      <c r="O95" s="387"/>
      <c r="P95" s="388"/>
    </row>
    <row r="96" spans="1:16" s="360" customFormat="1" x14ac:dyDescent="0.15">
      <c r="A96" s="385">
        <v>81</v>
      </c>
      <c r="B96" s="440" t="s">
        <v>116</v>
      </c>
      <c r="C96" s="443">
        <f>'COEFIC 2023'!E88</f>
        <v>9076</v>
      </c>
      <c r="D96" s="444">
        <f>'COEFIC 2023'!I88</f>
        <v>0.19112011633984341</v>
      </c>
      <c r="E96" s="445">
        <f t="shared" si="18"/>
        <v>7475492.7204660838</v>
      </c>
      <c r="F96" s="446">
        <f>'COEFIC 2023'!P88</f>
        <v>0.43209989462611942</v>
      </c>
      <c r="G96" s="447">
        <f t="shared" si="19"/>
        <v>16901201.603749316</v>
      </c>
      <c r="H96" s="445">
        <f t="shared" si="20"/>
        <v>24376694.324215401</v>
      </c>
      <c r="I96" s="448">
        <f t="shared" si="21"/>
        <v>3.7232283751386479E-2</v>
      </c>
      <c r="J96" s="449">
        <f t="shared" si="22"/>
        <v>0.64121680254968882</v>
      </c>
      <c r="K96" s="450">
        <f t="shared" si="23"/>
        <v>5573471.7243674863</v>
      </c>
      <c r="L96" s="451">
        <f t="shared" si="25"/>
        <v>29950166.048582889</v>
      </c>
      <c r="M96" s="446">
        <f t="shared" si="24"/>
        <v>0.34457068518965228</v>
      </c>
      <c r="N96" s="386"/>
      <c r="O96" s="387"/>
      <c r="P96" s="388"/>
    </row>
    <row r="97" spans="1:16" s="360" customFormat="1" x14ac:dyDescent="0.15">
      <c r="A97" s="385">
        <v>82</v>
      </c>
      <c r="B97" s="440" t="s">
        <v>152</v>
      </c>
      <c r="C97" s="443">
        <f>'COEFIC 2023'!E89</f>
        <v>79540</v>
      </c>
      <c r="D97" s="444">
        <f>'COEFIC 2023'!I89</f>
        <v>1.6749332364115408</v>
      </c>
      <c r="E97" s="445">
        <f t="shared" si="18"/>
        <v>65513518.178258292</v>
      </c>
      <c r="F97" s="446">
        <f>'COEFIC 2023'!P89</f>
        <v>1.3119994634053675</v>
      </c>
      <c r="G97" s="447">
        <f t="shared" si="19"/>
        <v>51317687.670837618</v>
      </c>
      <c r="H97" s="445">
        <f t="shared" si="20"/>
        <v>116831205.84909591</v>
      </c>
      <c r="I97" s="448">
        <f t="shared" si="21"/>
        <v>6.8081125605035014E-2</v>
      </c>
      <c r="J97" s="449">
        <f t="shared" si="22"/>
        <v>1.1724975552384336</v>
      </c>
      <c r="K97" s="450">
        <f t="shared" si="23"/>
        <v>10191376.684183221</v>
      </c>
      <c r="L97" s="451">
        <f t="shared" si="25"/>
        <v>127022582.53327914</v>
      </c>
      <c r="M97" s="446">
        <f t="shared" si="24"/>
        <v>1.4613694704414526</v>
      </c>
      <c r="N97" s="386"/>
      <c r="O97" s="387"/>
      <c r="P97" s="388"/>
    </row>
    <row r="98" spans="1:16" s="360" customFormat="1" x14ac:dyDescent="0.15">
      <c r="A98" s="385">
        <v>83</v>
      </c>
      <c r="B98" s="440" t="s">
        <v>153</v>
      </c>
      <c r="C98" s="443">
        <f>'COEFIC 2023'!E90</f>
        <v>33453</v>
      </c>
      <c r="D98" s="444">
        <f>'COEFIC 2023'!I90</f>
        <v>0.70444482722749913</v>
      </c>
      <c r="E98" s="445">
        <f t="shared" si="18"/>
        <v>27553730.495565441</v>
      </c>
      <c r="F98" s="446">
        <f>'COEFIC 2023'!P90</f>
        <v>0.84846349141285227</v>
      </c>
      <c r="G98" s="447">
        <f t="shared" si="19"/>
        <v>33186891.966723524</v>
      </c>
      <c r="H98" s="445">
        <f t="shared" si="20"/>
        <v>60740622.462288961</v>
      </c>
      <c r="I98" s="448">
        <f t="shared" si="21"/>
        <v>5.5075168221678031E-2</v>
      </c>
      <c r="J98" s="449">
        <f t="shared" si="22"/>
        <v>0.94850811469966656</v>
      </c>
      <c r="K98" s="450">
        <f t="shared" si="23"/>
        <v>8244455.1306062303</v>
      </c>
      <c r="L98" s="451">
        <f t="shared" si="25"/>
        <v>68985077.592895195</v>
      </c>
      <c r="M98" s="446">
        <f t="shared" si="24"/>
        <v>0.793659554858125</v>
      </c>
      <c r="N98" s="386"/>
      <c r="O98" s="387"/>
      <c r="P98" s="388"/>
    </row>
    <row r="99" spans="1:16" s="360" customFormat="1" x14ac:dyDescent="0.15">
      <c r="A99" s="385">
        <v>84</v>
      </c>
      <c r="B99" s="440" t="s">
        <v>107</v>
      </c>
      <c r="C99" s="443">
        <f>'COEFIC 2023'!E91</f>
        <v>31716</v>
      </c>
      <c r="D99" s="444">
        <f>'COEFIC 2023'!I91</f>
        <v>0.66786751981428749</v>
      </c>
      <c r="E99" s="445">
        <f t="shared" si="18"/>
        <v>26123041.771959268</v>
      </c>
      <c r="F99" s="446">
        <f>'COEFIC 2023'!P91</f>
        <v>0.50669760758141813</v>
      </c>
      <c r="G99" s="447">
        <f t="shared" si="19"/>
        <v>19819024.545888759</v>
      </c>
      <c r="H99" s="445">
        <f t="shared" si="20"/>
        <v>45942066.317848027</v>
      </c>
      <c r="I99" s="448">
        <f t="shared" si="21"/>
        <v>6.9034770400996648E-2</v>
      </c>
      <c r="J99" s="449">
        <f t="shared" si="22"/>
        <v>1.1889212876884179</v>
      </c>
      <c r="K99" s="450">
        <f t="shared" si="23"/>
        <v>10334132.157924056</v>
      </c>
      <c r="L99" s="451">
        <f t="shared" si="25"/>
        <v>56276198.475772083</v>
      </c>
      <c r="M99" s="446">
        <f t="shared" si="24"/>
        <v>0.64744643609690955</v>
      </c>
      <c r="N99" s="386"/>
      <c r="O99" s="387"/>
      <c r="P99" s="388"/>
    </row>
    <row r="100" spans="1:16" s="360" customFormat="1" x14ac:dyDescent="0.15">
      <c r="A100" s="385">
        <v>85</v>
      </c>
      <c r="B100" s="440" t="s">
        <v>124</v>
      </c>
      <c r="C100" s="443">
        <f>'COEFIC 2023'!E92</f>
        <v>35256</v>
      </c>
      <c r="D100" s="444">
        <f>'COEFIC 2023'!I92</f>
        <v>0.74241194597592763</v>
      </c>
      <c r="E100" s="445">
        <f t="shared" si="18"/>
        <v>29038780.448738679</v>
      </c>
      <c r="F100" s="446">
        <f>'COEFIC 2023'!P92</f>
        <v>0.66451015921013734</v>
      </c>
      <c r="G100" s="447">
        <f t="shared" si="19"/>
        <v>25991721.60934658</v>
      </c>
      <c r="H100" s="445">
        <f t="shared" si="20"/>
        <v>55030502.058085263</v>
      </c>
      <c r="I100" s="448">
        <f t="shared" si="21"/>
        <v>6.4066288115610728E-2</v>
      </c>
      <c r="J100" s="449">
        <f t="shared" si="22"/>
        <v>1.1033537639277704</v>
      </c>
      <c r="K100" s="450">
        <f t="shared" si="23"/>
        <v>9590377.2028015926</v>
      </c>
      <c r="L100" s="451">
        <f t="shared" si="25"/>
        <v>64620879.260886855</v>
      </c>
      <c r="M100" s="446">
        <f t="shared" si="24"/>
        <v>0.74345032372650655</v>
      </c>
      <c r="N100" s="386"/>
      <c r="O100" s="387"/>
      <c r="P100" s="388"/>
    </row>
    <row r="101" spans="1:16" s="360" customFormat="1" x14ac:dyDescent="0.15">
      <c r="A101" s="385">
        <v>86</v>
      </c>
      <c r="B101" s="440" t="s">
        <v>129</v>
      </c>
      <c r="C101" s="443">
        <f>'COEFIC 2023'!E93</f>
        <v>15534</v>
      </c>
      <c r="D101" s="444">
        <f>'COEFIC 2023'!I93</f>
        <v>0.32711104971607841</v>
      </c>
      <c r="E101" s="445">
        <f t="shared" si="18"/>
        <v>12794656.668104909</v>
      </c>
      <c r="F101" s="446">
        <f>'COEFIC 2023'!P93</f>
        <v>0.39136182539384073</v>
      </c>
      <c r="G101" s="447">
        <f t="shared" si="19"/>
        <v>15307768.396277715</v>
      </c>
      <c r="H101" s="445">
        <f t="shared" si="20"/>
        <v>28102425.064382624</v>
      </c>
      <c r="I101" s="448">
        <f t="shared" si="21"/>
        <v>5.5276368371809985E-2</v>
      </c>
      <c r="J101" s="449">
        <f t="shared" si="22"/>
        <v>0.9519731967183146</v>
      </c>
      <c r="K101" s="450">
        <f t="shared" si="23"/>
        <v>8274573.7060658187</v>
      </c>
      <c r="L101" s="451">
        <f t="shared" si="25"/>
        <v>36376998.770448446</v>
      </c>
      <c r="M101" s="446">
        <f t="shared" si="24"/>
        <v>0.41851011347129524</v>
      </c>
      <c r="N101" s="386"/>
      <c r="O101" s="387"/>
      <c r="P101" s="388"/>
    </row>
    <row r="102" spans="1:16" s="360" customFormat="1" x14ac:dyDescent="0.15">
      <c r="A102" s="385">
        <v>87</v>
      </c>
      <c r="B102" s="440" t="s">
        <v>350</v>
      </c>
      <c r="C102" s="443">
        <f>'COEFIC 2023'!E94</f>
        <v>15589</v>
      </c>
      <c r="D102" s="444">
        <f>'COEFIC 2023'!I94</f>
        <v>0.32826922582875923</v>
      </c>
      <c r="E102" s="445">
        <f t="shared" si="18"/>
        <v>12839957.692744136</v>
      </c>
      <c r="F102" s="446">
        <f>'COEFIC 2023'!P94</f>
        <v>0.36366268944449609</v>
      </c>
      <c r="G102" s="447">
        <f t="shared" si="19"/>
        <v>14224341.423136223</v>
      </c>
      <c r="H102" s="445">
        <f t="shared" si="20"/>
        <v>27064299.115880359</v>
      </c>
      <c r="I102" s="448">
        <f t="shared" si="21"/>
        <v>5.7599865909156077E-2</v>
      </c>
      <c r="J102" s="449">
        <f t="shared" si="22"/>
        <v>0.9919886218149192</v>
      </c>
      <c r="K102" s="450">
        <f t="shared" si="23"/>
        <v>8622388.7343489993</v>
      </c>
      <c r="L102" s="451">
        <f t="shared" si="25"/>
        <v>35686687.85022936</v>
      </c>
      <c r="M102" s="446">
        <f t="shared" si="24"/>
        <v>0.41056822405445698</v>
      </c>
      <c r="N102" s="386"/>
      <c r="O102" s="387"/>
      <c r="P102" s="388"/>
    </row>
    <row r="103" spans="1:16" s="360" customFormat="1" x14ac:dyDescent="0.15">
      <c r="A103" s="385">
        <v>88</v>
      </c>
      <c r="B103" s="440" t="s">
        <v>99</v>
      </c>
      <c r="C103" s="443">
        <f>'COEFIC 2023'!E95</f>
        <v>114513</v>
      </c>
      <c r="D103" s="444">
        <f>'COEFIC 2023'!I95</f>
        <v>2.411385839844038</v>
      </c>
      <c r="E103" s="445">
        <f t="shared" si="18"/>
        <v>94319204.263853312</v>
      </c>
      <c r="F103" s="446">
        <f>'COEFIC 2023'!P95</f>
        <v>1.5072208482992138</v>
      </c>
      <c r="G103" s="447">
        <f t="shared" si="19"/>
        <v>58953597.849221148</v>
      </c>
      <c r="H103" s="445">
        <f t="shared" si="20"/>
        <v>153272802.11307445</v>
      </c>
      <c r="I103" s="448">
        <f t="shared" si="21"/>
        <v>7.4711885227700045E-2</v>
      </c>
      <c r="J103" s="449">
        <f t="shared" si="22"/>
        <v>1.2866929269784904</v>
      </c>
      <c r="K103" s="450">
        <f t="shared" si="23"/>
        <v>11183965.575984009</v>
      </c>
      <c r="L103" s="451">
        <f t="shared" si="25"/>
        <v>164456767.68905845</v>
      </c>
      <c r="M103" s="446">
        <f t="shared" si="24"/>
        <v>1.8920423023623127</v>
      </c>
      <c r="N103" s="386"/>
      <c r="O103" s="387"/>
      <c r="P103" s="388"/>
    </row>
    <row r="104" spans="1:16" s="360" customFormat="1" x14ac:dyDescent="0.15">
      <c r="A104" s="385">
        <v>89</v>
      </c>
      <c r="B104" s="440" t="s">
        <v>55</v>
      </c>
      <c r="C104" s="443">
        <f>'COEFIC 2023'!E96</f>
        <v>24074</v>
      </c>
      <c r="D104" s="444">
        <f>'COEFIC 2023'!I96</f>
        <v>0.50694421339415929</v>
      </c>
      <c r="E104" s="445">
        <f t="shared" si="18"/>
        <v>19828670.312086873</v>
      </c>
      <c r="F104" s="446">
        <f>'COEFIC 2023'!P96</f>
        <v>0.8277868069583757</v>
      </c>
      <c r="G104" s="447">
        <f t="shared" si="19"/>
        <v>32378141.914227922</v>
      </c>
      <c r="H104" s="445">
        <f t="shared" si="20"/>
        <v>52206812.226314798</v>
      </c>
      <c r="I104" s="448">
        <f t="shared" si="21"/>
        <v>4.6112756120101739E-2</v>
      </c>
      <c r="J104" s="449">
        <f t="shared" si="22"/>
        <v>0.79415687293111992</v>
      </c>
      <c r="K104" s="450">
        <f t="shared" si="23"/>
        <v>6902830.4598282985</v>
      </c>
      <c r="L104" s="451">
        <f t="shared" si="25"/>
        <v>59109642.6861431</v>
      </c>
      <c r="M104" s="446">
        <f t="shared" si="24"/>
        <v>0.680044646451753</v>
      </c>
      <c r="N104" s="386"/>
      <c r="O104" s="387"/>
      <c r="P104" s="388"/>
    </row>
    <row r="105" spans="1:16" s="360" customFormat="1" x14ac:dyDescent="0.15">
      <c r="A105" s="385">
        <v>90</v>
      </c>
      <c r="B105" s="440" t="s">
        <v>147</v>
      </c>
      <c r="C105" s="443">
        <f>'COEFIC 2023'!E97</f>
        <v>16325</v>
      </c>
      <c r="D105" s="444">
        <f>'COEFIC 2023'!I97</f>
        <v>0.34376772799117933</v>
      </c>
      <c r="E105" s="445">
        <f t="shared" si="18"/>
        <v>13446167.767916353</v>
      </c>
      <c r="F105" s="446">
        <f>'COEFIC 2023'!P97</f>
        <v>0.35072713773174047</v>
      </c>
      <c r="G105" s="447">
        <f t="shared" si="19"/>
        <v>13718378.866625587</v>
      </c>
      <c r="H105" s="445">
        <f t="shared" si="20"/>
        <v>27164546.63454194</v>
      </c>
      <c r="I105" s="448">
        <f t="shared" si="21"/>
        <v>6.0096714366811584E-2</v>
      </c>
      <c r="J105" s="449">
        <f t="shared" si="22"/>
        <v>1.0349895076901878</v>
      </c>
      <c r="K105" s="450">
        <f t="shared" si="23"/>
        <v>8996153.4588471409</v>
      </c>
      <c r="L105" s="451">
        <f t="shared" si="25"/>
        <v>36160700.093389079</v>
      </c>
      <c r="M105" s="446">
        <f t="shared" si="24"/>
        <v>0.41602164034433281</v>
      </c>
      <c r="N105" s="386"/>
      <c r="O105" s="387"/>
      <c r="P105" s="388"/>
    </row>
    <row r="106" spans="1:16" s="360" customFormat="1" x14ac:dyDescent="0.15">
      <c r="A106" s="385">
        <v>91</v>
      </c>
      <c r="B106" s="440" t="s">
        <v>351</v>
      </c>
      <c r="C106" s="443">
        <f>'COEFIC 2023'!E98</f>
        <v>14934</v>
      </c>
      <c r="D106" s="444">
        <f>'COEFIC 2023'!I98</f>
        <v>0.31447640121410547</v>
      </c>
      <c r="E106" s="445">
        <f t="shared" si="18"/>
        <v>12300463.6720406</v>
      </c>
      <c r="F106" s="446">
        <f>'COEFIC 2023'!P98</f>
        <v>0.3913826442102713</v>
      </c>
      <c r="G106" s="447">
        <f t="shared" si="19"/>
        <v>15308582.705695562</v>
      </c>
      <c r="H106" s="445">
        <f t="shared" si="20"/>
        <v>27609046.377736162</v>
      </c>
      <c r="I106" s="448">
        <f t="shared" si="21"/>
        <v>5.4090966401660022E-2</v>
      </c>
      <c r="J106" s="449">
        <f t="shared" si="22"/>
        <v>0.93155812720200115</v>
      </c>
      <c r="K106" s="450">
        <f t="shared" si="23"/>
        <v>8097125.4354532408</v>
      </c>
      <c r="L106" s="451">
        <f t="shared" si="25"/>
        <v>35706171.813189402</v>
      </c>
      <c r="M106" s="446">
        <f t="shared" si="24"/>
        <v>0.41079238316116978</v>
      </c>
      <c r="N106" s="386"/>
      <c r="O106" s="387"/>
      <c r="P106" s="388"/>
    </row>
    <row r="107" spans="1:16" s="360" customFormat="1" ht="22.5" x14ac:dyDescent="0.15">
      <c r="A107" s="385">
        <v>92</v>
      </c>
      <c r="B107" s="440" t="s">
        <v>352</v>
      </c>
      <c r="C107" s="443">
        <f>'COEFIC 2023'!E99</f>
        <v>12836</v>
      </c>
      <c r="D107" s="444">
        <f>'COEFIC 2023'!I99</f>
        <v>0.27029724695220692</v>
      </c>
      <c r="E107" s="445">
        <f t="shared" si="18"/>
        <v>10572435.495802408</v>
      </c>
      <c r="F107" s="446">
        <f>'COEFIC 2023'!P99</f>
        <v>1.386545035984039</v>
      </c>
      <c r="G107" s="447">
        <f t="shared" si="19"/>
        <v>54233471.188695699</v>
      </c>
      <c r="H107" s="445">
        <f t="shared" si="20"/>
        <v>64805906.684498109</v>
      </c>
      <c r="I107" s="448">
        <f t="shared" si="21"/>
        <v>1.9806836531878095E-2</v>
      </c>
      <c r="J107" s="449">
        <f t="shared" si="22"/>
        <v>0.34111462177289331</v>
      </c>
      <c r="K107" s="450">
        <f t="shared" si="23"/>
        <v>2964976.4193011839</v>
      </c>
      <c r="L107" s="451">
        <f t="shared" si="25"/>
        <v>67770883.103799298</v>
      </c>
      <c r="M107" s="446">
        <f t="shared" si="24"/>
        <v>0.77969048949860031</v>
      </c>
      <c r="N107" s="386"/>
      <c r="O107" s="387"/>
      <c r="P107" s="388"/>
    </row>
    <row r="108" spans="1:16" s="360" customFormat="1" x14ac:dyDescent="0.15">
      <c r="A108" s="385">
        <v>93</v>
      </c>
      <c r="B108" s="440" t="s">
        <v>353</v>
      </c>
      <c r="C108" s="443">
        <f>'COEFIC 2023'!E100</f>
        <v>28556</v>
      </c>
      <c r="D108" s="444">
        <f>'COEFIC 2023'!I100</f>
        <v>0.60132503770389689</v>
      </c>
      <c r="E108" s="445">
        <f t="shared" si="18"/>
        <v>23520291.992687251</v>
      </c>
      <c r="F108" s="446">
        <f>'COEFIC 2023'!P100</f>
        <v>0.65567373347769853</v>
      </c>
      <c r="G108" s="447">
        <f t="shared" si="19"/>
        <v>25646092.705896534</v>
      </c>
      <c r="H108" s="445">
        <f t="shared" si="20"/>
        <v>49166384.698583782</v>
      </c>
      <c r="I108" s="448">
        <f t="shared" si="21"/>
        <v>5.8080333087461168E-2</v>
      </c>
      <c r="J108" s="449">
        <f t="shared" si="22"/>
        <v>1.0002632586827527</v>
      </c>
      <c r="K108" s="450">
        <f t="shared" si="23"/>
        <v>8694312.0751424674</v>
      </c>
      <c r="L108" s="451">
        <f t="shared" si="25"/>
        <v>57860696.773726247</v>
      </c>
      <c r="M108" s="446">
        <f t="shared" si="24"/>
        <v>0.66567577289999336</v>
      </c>
      <c r="N108" s="386"/>
      <c r="O108" s="387"/>
      <c r="P108" s="388"/>
    </row>
    <row r="109" spans="1:16" s="360" customFormat="1" x14ac:dyDescent="0.15">
      <c r="A109" s="385">
        <v>94</v>
      </c>
      <c r="B109" s="440" t="s">
        <v>354</v>
      </c>
      <c r="C109" s="443">
        <f>'COEFIC 2023'!E101</f>
        <v>6420</v>
      </c>
      <c r="D109" s="444">
        <f>'COEFIC 2023'!I101</f>
        <v>0.13519073897111003</v>
      </c>
      <c r="E109" s="445">
        <f t="shared" si="18"/>
        <v>5287865.0578880841</v>
      </c>
      <c r="F109" s="446">
        <f>'COEFIC 2023'!P101</f>
        <v>0.28459801121905781</v>
      </c>
      <c r="G109" s="447">
        <f t="shared" si="19"/>
        <v>11131797.122518091</v>
      </c>
      <c r="H109" s="445">
        <f t="shared" si="20"/>
        <v>16419662.180406176</v>
      </c>
      <c r="I109" s="448">
        <f t="shared" si="21"/>
        <v>3.9099464589844486E-2</v>
      </c>
      <c r="J109" s="449">
        <f t="shared" si="22"/>
        <v>0.67337351189936723</v>
      </c>
      <c r="K109" s="450">
        <f t="shared" si="23"/>
        <v>5852978.608149197</v>
      </c>
      <c r="L109" s="451">
        <f t="shared" si="25"/>
        <v>22272640.788555373</v>
      </c>
      <c r="M109" s="446">
        <f t="shared" si="24"/>
        <v>0.25624228877551236</v>
      </c>
      <c r="N109" s="386"/>
      <c r="O109" s="387"/>
      <c r="P109" s="388"/>
    </row>
    <row r="110" spans="1:16" s="360" customFormat="1" x14ac:dyDescent="0.15">
      <c r="A110" s="385">
        <v>95</v>
      </c>
      <c r="B110" s="440" t="s">
        <v>100</v>
      </c>
      <c r="C110" s="443">
        <f>'COEFIC 2023'!E102</f>
        <v>12325</v>
      </c>
      <c r="D110" s="444">
        <f>'COEFIC 2023'!I102</f>
        <v>0.25953673797802668</v>
      </c>
      <c r="E110" s="445">
        <f t="shared" si="18"/>
        <v>10151547.794154307</v>
      </c>
      <c r="F110" s="446">
        <f>'COEFIC 2023'!P102</f>
        <v>0.50154876438978779</v>
      </c>
      <c r="G110" s="447">
        <f t="shared" si="19"/>
        <v>19617632.141284879</v>
      </c>
      <c r="H110" s="445">
        <f t="shared" si="20"/>
        <v>29769179.935439184</v>
      </c>
      <c r="I110" s="448">
        <f t="shared" si="21"/>
        <v>4.140187948317485E-2</v>
      </c>
      <c r="J110" s="449">
        <f t="shared" si="22"/>
        <v>0.7130258503350696</v>
      </c>
      <c r="K110" s="450">
        <f t="shared" si="23"/>
        <v>6197637.6785254935</v>
      </c>
      <c r="L110" s="451">
        <f t="shared" si="25"/>
        <v>35966817.613964677</v>
      </c>
      <c r="M110" s="446">
        <f t="shared" si="24"/>
        <v>0.41379106109902358</v>
      </c>
      <c r="N110" s="386"/>
      <c r="O110" s="387"/>
      <c r="P110" s="388"/>
    </row>
    <row r="111" spans="1:16" s="360" customFormat="1" x14ac:dyDescent="0.15">
      <c r="A111" s="385">
        <v>96</v>
      </c>
      <c r="B111" s="440" t="s">
        <v>78</v>
      </c>
      <c r="C111" s="443">
        <f>'COEFIC 2023'!E103</f>
        <v>5971</v>
      </c>
      <c r="D111" s="444">
        <f>'COEFIC 2023'!I103</f>
        <v>0.12573581034213366</v>
      </c>
      <c r="E111" s="445">
        <f t="shared" si="18"/>
        <v>4918043.9658332961</v>
      </c>
      <c r="F111" s="446">
        <f>'COEFIC 2023'!P103</f>
        <v>1.3013400949509077</v>
      </c>
      <c r="G111" s="447">
        <f t="shared" si="19"/>
        <v>50900755.990321115</v>
      </c>
      <c r="H111" s="445">
        <f t="shared" si="20"/>
        <v>55818799.956154414</v>
      </c>
      <c r="I111" s="448">
        <f t="shared" si="21"/>
        <v>1.0697112809107704E-2</v>
      </c>
      <c r="J111" s="449">
        <f t="shared" si="22"/>
        <v>0.18422636972178577</v>
      </c>
      <c r="K111" s="450">
        <f t="shared" si="23"/>
        <v>1601299.9947044847</v>
      </c>
      <c r="L111" s="451">
        <f t="shared" si="25"/>
        <v>57420099.950858898</v>
      </c>
      <c r="M111" s="446">
        <f t="shared" si="24"/>
        <v>0.66060679435404746</v>
      </c>
      <c r="N111" s="386"/>
      <c r="O111" s="387"/>
      <c r="P111" s="388"/>
    </row>
    <row r="112" spans="1:16" s="360" customFormat="1" x14ac:dyDescent="0.15">
      <c r="A112" s="385">
        <v>97</v>
      </c>
      <c r="B112" s="440" t="s">
        <v>130</v>
      </c>
      <c r="C112" s="443">
        <f>'COEFIC 2023'!E104</f>
        <v>29056</v>
      </c>
      <c r="D112" s="444">
        <f>'COEFIC 2023'!I104</f>
        <v>0.61185391145554102</v>
      </c>
      <c r="E112" s="445">
        <f t="shared" ref="E112:E128" si="26">$G$9*D112%</f>
        <v>23932119.48940751</v>
      </c>
      <c r="F112" s="446">
        <f>'COEFIC 2023'!P104</f>
        <v>1.6393849867608183</v>
      </c>
      <c r="G112" s="447">
        <f t="shared" ref="G112:G128" si="27">$G$10*F112%</f>
        <v>64123080.130299196</v>
      </c>
      <c r="H112" s="445">
        <f t="shared" ref="H112:H128" si="28">E112+G112</f>
        <v>88055199.619706705</v>
      </c>
      <c r="I112" s="448">
        <f t="shared" ref="I112:I128" si="29">(C112/H112%)</f>
        <v>3.2997483539288101E-2</v>
      </c>
      <c r="J112" s="449">
        <f t="shared" ref="J112:J128" si="30">I112/$I$15%</f>
        <v>0.56828479898068007</v>
      </c>
      <c r="K112" s="450">
        <f t="shared" ref="K112:K128" si="31">$G$11*J112%</f>
        <v>4939545.0117844362</v>
      </c>
      <c r="L112" s="451">
        <f t="shared" si="25"/>
        <v>92994744.63149114</v>
      </c>
      <c r="M112" s="446">
        <f t="shared" ref="M112:M128" si="32">(L112/$L$129%)</f>
        <v>1.06988598409543</v>
      </c>
      <c r="N112" s="386"/>
      <c r="O112" s="387"/>
      <c r="P112" s="388"/>
    </row>
    <row r="113" spans="1:16" s="360" customFormat="1" x14ac:dyDescent="0.15">
      <c r="A113" s="385">
        <v>98</v>
      </c>
      <c r="B113" s="440" t="s">
        <v>355</v>
      </c>
      <c r="C113" s="443">
        <f>'COEFIC 2023'!E105</f>
        <v>25757</v>
      </c>
      <c r="D113" s="444">
        <f>'COEFIC 2023'!I105</f>
        <v>0.54238440244219333</v>
      </c>
      <c r="E113" s="445">
        <f t="shared" si="26"/>
        <v>21214881.666047256</v>
      </c>
      <c r="F113" s="446">
        <f>'COEFIC 2023'!P105</f>
        <v>0.65675616703162876</v>
      </c>
      <c r="G113" s="447">
        <f t="shared" si="27"/>
        <v>25688431.127972443</v>
      </c>
      <c r="H113" s="445">
        <f t="shared" si="28"/>
        <v>46903312.794019699</v>
      </c>
      <c r="I113" s="448">
        <f t="shared" si="29"/>
        <v>5.491509760326372E-2</v>
      </c>
      <c r="J113" s="449">
        <f t="shared" si="30"/>
        <v>0.94575136814049388</v>
      </c>
      <c r="K113" s="450">
        <f t="shared" si="31"/>
        <v>8220493.4238360683</v>
      </c>
      <c r="L113" s="451">
        <f t="shared" si="25"/>
        <v>55123806.217855766</v>
      </c>
      <c r="M113" s="446">
        <f t="shared" si="32"/>
        <v>0.63418839307726949</v>
      </c>
      <c r="N113" s="386"/>
      <c r="O113" s="387"/>
      <c r="P113" s="388"/>
    </row>
    <row r="114" spans="1:16" s="360" customFormat="1" x14ac:dyDescent="0.15">
      <c r="A114" s="385">
        <v>99</v>
      </c>
      <c r="B114" s="440" t="s">
        <v>139</v>
      </c>
      <c r="C114" s="443">
        <f>'COEFIC 2023'!E106</f>
        <v>14329</v>
      </c>
      <c r="D114" s="444">
        <f>'COEFIC 2023'!I106</f>
        <v>0.30173646397461618</v>
      </c>
      <c r="E114" s="445">
        <f t="shared" si="26"/>
        <v>11802152.401009092</v>
      </c>
      <c r="F114" s="446">
        <f>'COEFIC 2023'!P106</f>
        <v>1.0151448119377655</v>
      </c>
      <c r="G114" s="447">
        <f t="shared" si="27"/>
        <v>39706483.007606022</v>
      </c>
      <c r="H114" s="445">
        <f t="shared" si="28"/>
        <v>51508635.408615112</v>
      </c>
      <c r="I114" s="448">
        <f t="shared" si="29"/>
        <v>2.7818636402088402E-2</v>
      </c>
      <c r="J114" s="449">
        <f t="shared" si="30"/>
        <v>0.47909435811536139</v>
      </c>
      <c r="K114" s="450">
        <f t="shared" si="31"/>
        <v>4164299.5748743466</v>
      </c>
      <c r="L114" s="451">
        <f t="shared" si="25"/>
        <v>55672934.983489461</v>
      </c>
      <c r="M114" s="446">
        <f t="shared" si="32"/>
        <v>0.64050600997210816</v>
      </c>
      <c r="N114" s="386"/>
      <c r="O114" s="387"/>
      <c r="P114" s="388"/>
    </row>
    <row r="115" spans="1:16" s="360" customFormat="1" x14ac:dyDescent="0.15">
      <c r="A115" s="385">
        <v>100</v>
      </c>
      <c r="B115" s="440" t="s">
        <v>125</v>
      </c>
      <c r="C115" s="443">
        <f>'COEFIC 2023'!E107</f>
        <v>14911</v>
      </c>
      <c r="D115" s="444">
        <f>'COEFIC 2023'!I107</f>
        <v>0.31399207302152987</v>
      </c>
      <c r="E115" s="445">
        <f t="shared" si="26"/>
        <v>12281519.60719147</v>
      </c>
      <c r="F115" s="446">
        <f>'COEFIC 2023'!P107</f>
        <v>0.41005540499195375</v>
      </c>
      <c r="G115" s="447">
        <f t="shared" si="27"/>
        <v>16038951.072813237</v>
      </c>
      <c r="H115" s="445">
        <f t="shared" si="28"/>
        <v>28320470.680004708</v>
      </c>
      <c r="I115" s="448">
        <f t="shared" si="29"/>
        <v>5.2650961096235287E-2</v>
      </c>
      <c r="J115" s="449">
        <f t="shared" si="30"/>
        <v>0.90675826255322967</v>
      </c>
      <c r="K115" s="450">
        <f t="shared" si="31"/>
        <v>7881564.4210842233</v>
      </c>
      <c r="L115" s="451">
        <f t="shared" si="25"/>
        <v>36202035.101088934</v>
      </c>
      <c r="M115" s="446">
        <f t="shared" si="32"/>
        <v>0.4164971913613908</v>
      </c>
      <c r="N115" s="386"/>
      <c r="O115" s="387"/>
      <c r="P115" s="388"/>
    </row>
    <row r="116" spans="1:16" s="360" customFormat="1" x14ac:dyDescent="0.15">
      <c r="A116" s="385">
        <v>101</v>
      </c>
      <c r="B116" s="440" t="s">
        <v>66</v>
      </c>
      <c r="C116" s="443">
        <f>'COEFIC 2023'!E108</f>
        <v>8855</v>
      </c>
      <c r="D116" s="444">
        <f>'COEFIC 2023'!I108</f>
        <v>0.18646635414161672</v>
      </c>
      <c r="E116" s="445">
        <f t="shared" si="26"/>
        <v>7293464.9669157304</v>
      </c>
      <c r="F116" s="446">
        <f>'COEFIC 2023'!P108</f>
        <v>1.1972559825788365</v>
      </c>
      <c r="G116" s="447">
        <f t="shared" si="27"/>
        <v>46829598.860163055</v>
      </c>
      <c r="H116" s="445">
        <f t="shared" si="28"/>
        <v>54123063.827078789</v>
      </c>
      <c r="I116" s="448">
        <f t="shared" si="29"/>
        <v>1.6360862401085426E-2</v>
      </c>
      <c r="J116" s="449">
        <f t="shared" si="30"/>
        <v>0.28176783207365719</v>
      </c>
      <c r="K116" s="450">
        <f t="shared" si="31"/>
        <v>2449132.7093337672</v>
      </c>
      <c r="L116" s="451">
        <f t="shared" si="25"/>
        <v>56572196.536412559</v>
      </c>
      <c r="M116" s="446">
        <f t="shared" si="32"/>
        <v>0.65085183473156993</v>
      </c>
      <c r="N116" s="386"/>
      <c r="O116" s="387"/>
      <c r="P116" s="388"/>
    </row>
    <row r="117" spans="1:16" s="360" customFormat="1" x14ac:dyDescent="0.15">
      <c r="A117" s="385">
        <v>102</v>
      </c>
      <c r="B117" s="440" t="s">
        <v>117</v>
      </c>
      <c r="C117" s="443">
        <f>'COEFIC 2023'!E109</f>
        <v>356786</v>
      </c>
      <c r="D117" s="444">
        <f>'COEFIC 2023'!I109</f>
        <v>7.5131095007081719</v>
      </c>
      <c r="E117" s="445">
        <f t="shared" si="26"/>
        <v>293868570.4896664</v>
      </c>
      <c r="F117" s="446">
        <f>'COEFIC 2023'!P109</f>
        <v>3.2046435796815618</v>
      </c>
      <c r="G117" s="447">
        <f t="shared" si="27"/>
        <v>125346772.54486185</v>
      </c>
      <c r="H117" s="445">
        <f t="shared" si="28"/>
        <v>419215343.03452826</v>
      </c>
      <c r="I117" s="448">
        <f t="shared" si="29"/>
        <v>8.5108049103683137E-2</v>
      </c>
      <c r="J117" s="449">
        <f t="shared" si="30"/>
        <v>1.4657363346795347</v>
      </c>
      <c r="K117" s="450">
        <f t="shared" si="31"/>
        <v>12740215.141323248</v>
      </c>
      <c r="L117" s="451">
        <f t="shared" si="25"/>
        <v>431955558.17585152</v>
      </c>
      <c r="M117" s="446">
        <f t="shared" si="32"/>
        <v>4.9695625196433353</v>
      </c>
      <c r="N117" s="386"/>
      <c r="O117" s="387"/>
      <c r="P117" s="388"/>
    </row>
    <row r="118" spans="1:16" s="360" customFormat="1" ht="22.5" x14ac:dyDescent="0.15">
      <c r="A118" s="385">
        <v>103</v>
      </c>
      <c r="B118" s="440" t="s">
        <v>356</v>
      </c>
      <c r="C118" s="443">
        <f>'COEFIC 2023'!E110</f>
        <v>23469</v>
      </c>
      <c r="D118" s="444">
        <f>'COEFIC 2023'!I110</f>
        <v>0.49420427615467</v>
      </c>
      <c r="E118" s="445">
        <f t="shared" si="26"/>
        <v>19330359.041055366</v>
      </c>
      <c r="F118" s="446">
        <f>'COEFIC 2023'!P110</f>
        <v>0.56434491249142493</v>
      </c>
      <c r="G118" s="447">
        <f t="shared" si="27"/>
        <v>22073847.410494793</v>
      </c>
      <c r="H118" s="445">
        <f t="shared" si="28"/>
        <v>41404206.451550156</v>
      </c>
      <c r="I118" s="448">
        <f t="shared" si="29"/>
        <v>5.6682646550568851E-2</v>
      </c>
      <c r="J118" s="449">
        <f t="shared" si="30"/>
        <v>0.97619221060691552</v>
      </c>
      <c r="K118" s="450">
        <f t="shared" si="31"/>
        <v>8485085.9517890122</v>
      </c>
      <c r="L118" s="451">
        <f t="shared" si="25"/>
        <v>49889292.40333917</v>
      </c>
      <c r="M118" s="446">
        <f t="shared" si="32"/>
        <v>0.57396635595143441</v>
      </c>
      <c r="N118" s="386"/>
      <c r="O118" s="387"/>
      <c r="P118" s="388"/>
    </row>
    <row r="119" spans="1:16" s="360" customFormat="1" x14ac:dyDescent="0.15">
      <c r="A119" s="385">
        <v>104</v>
      </c>
      <c r="B119" s="440" t="s">
        <v>109</v>
      </c>
      <c r="C119" s="443">
        <f>'COEFIC 2023'!E111</f>
        <v>15864</v>
      </c>
      <c r="D119" s="444">
        <f>'COEFIC 2023'!I111</f>
        <v>0.33406010639216349</v>
      </c>
      <c r="E119" s="445">
        <f t="shared" si="26"/>
        <v>13066462.815940278</v>
      </c>
      <c r="F119" s="446">
        <f>'COEFIC 2023'!P111</f>
        <v>0.47064902069414494</v>
      </c>
      <c r="G119" s="447">
        <f t="shared" si="27"/>
        <v>18409016.253618162</v>
      </c>
      <c r="H119" s="445">
        <f t="shared" si="28"/>
        <v>31475479.069558442</v>
      </c>
      <c r="I119" s="448">
        <f t="shared" si="29"/>
        <v>5.0401139137363889E-2</v>
      </c>
      <c r="J119" s="449">
        <f t="shared" si="30"/>
        <v>0.86801168304157472</v>
      </c>
      <c r="K119" s="450">
        <f t="shared" si="31"/>
        <v>7544778.2288549086</v>
      </c>
      <c r="L119" s="451">
        <f t="shared" si="25"/>
        <v>39020257.298413351</v>
      </c>
      <c r="M119" s="446">
        <f t="shared" si="32"/>
        <v>0.4489202754929964</v>
      </c>
      <c r="N119" s="386"/>
      <c r="O119" s="387"/>
      <c r="P119" s="388"/>
    </row>
    <row r="120" spans="1:16" s="360" customFormat="1" x14ac:dyDescent="0.15">
      <c r="A120" s="385">
        <v>105</v>
      </c>
      <c r="B120" s="440" t="s">
        <v>150</v>
      </c>
      <c r="C120" s="443">
        <f>'COEFIC 2023'!E112</f>
        <v>20982</v>
      </c>
      <c r="D120" s="444">
        <f>'COEFIC 2023'!I112</f>
        <v>0.44183365811399233</v>
      </c>
      <c r="E120" s="445">
        <f t="shared" si="26"/>
        <v>17281929.072368816</v>
      </c>
      <c r="F120" s="446">
        <f>'COEFIC 2023'!P112</f>
        <v>0.4853513770445434</v>
      </c>
      <c r="G120" s="447">
        <f t="shared" si="27"/>
        <v>18984085.796144333</v>
      </c>
      <c r="H120" s="445">
        <f t="shared" si="28"/>
        <v>36266014.868513152</v>
      </c>
      <c r="I120" s="448">
        <f t="shared" si="29"/>
        <v>5.7855819218275824E-2</v>
      </c>
      <c r="J120" s="449">
        <f t="shared" si="30"/>
        <v>0.99639666628438228</v>
      </c>
      <c r="K120" s="450">
        <f t="shared" si="31"/>
        <v>8660703.5618965868</v>
      </c>
      <c r="L120" s="451">
        <f t="shared" si="25"/>
        <v>44926718.430409737</v>
      </c>
      <c r="M120" s="446">
        <f t="shared" si="32"/>
        <v>0.5168729324497795</v>
      </c>
      <c r="N120" s="386"/>
      <c r="O120" s="387"/>
      <c r="P120" s="388"/>
    </row>
    <row r="121" spans="1:16" s="360" customFormat="1" x14ac:dyDescent="0.15">
      <c r="A121" s="385">
        <v>106</v>
      </c>
      <c r="B121" s="440" t="s">
        <v>357</v>
      </c>
      <c r="C121" s="443">
        <f>'COEFIC 2023'!E113</f>
        <v>32303</v>
      </c>
      <c r="D121" s="444">
        <f>'COEFIC 2023'!I113</f>
        <v>0.68022841759871766</v>
      </c>
      <c r="E121" s="445">
        <f t="shared" si="26"/>
        <v>26606527.253108848</v>
      </c>
      <c r="F121" s="446">
        <f>'COEFIC 2023'!P113</f>
        <v>0.6649816513046064</v>
      </c>
      <c r="G121" s="447">
        <f t="shared" si="27"/>
        <v>26010163.601678215</v>
      </c>
      <c r="H121" s="445">
        <f t="shared" si="28"/>
        <v>52616690.854787067</v>
      </c>
      <c r="I121" s="448">
        <f t="shared" si="29"/>
        <v>6.1393066487496657E-2</v>
      </c>
      <c r="J121" s="449">
        <f t="shared" si="30"/>
        <v>1.0573153678859981</v>
      </c>
      <c r="K121" s="450">
        <f t="shared" si="31"/>
        <v>9190210.367569346</v>
      </c>
      <c r="L121" s="451">
        <f t="shared" si="25"/>
        <v>61806901.222356409</v>
      </c>
      <c r="M121" s="446">
        <f t="shared" si="32"/>
        <v>0.71107606779509591</v>
      </c>
      <c r="N121" s="386"/>
      <c r="O121" s="387"/>
      <c r="P121" s="388"/>
    </row>
    <row r="122" spans="1:16" s="360" customFormat="1" x14ac:dyDescent="0.15">
      <c r="A122" s="385">
        <v>107</v>
      </c>
      <c r="B122" s="440" t="s">
        <v>358</v>
      </c>
      <c r="C122" s="443">
        <f>'COEFIC 2023'!E114</f>
        <v>76829</v>
      </c>
      <c r="D122" s="444">
        <f>'COEFIC 2023'!I114</f>
        <v>1.6178456829301266</v>
      </c>
      <c r="E122" s="445">
        <f t="shared" si="26"/>
        <v>63280589.491041072</v>
      </c>
      <c r="F122" s="446">
        <f>'COEFIC 2023'!P114</f>
        <v>1.0775803879663932</v>
      </c>
      <c r="G122" s="447">
        <f t="shared" si="27"/>
        <v>42148594.822095387</v>
      </c>
      <c r="H122" s="445">
        <f t="shared" si="28"/>
        <v>105429184.31313646</v>
      </c>
      <c r="I122" s="448">
        <f t="shared" si="29"/>
        <v>7.2872611602314299E-2</v>
      </c>
      <c r="J122" s="449">
        <f t="shared" si="30"/>
        <v>1.2550168374600785</v>
      </c>
      <c r="K122" s="450">
        <f t="shared" si="31"/>
        <v>10908636.251226146</v>
      </c>
      <c r="L122" s="451">
        <f t="shared" si="25"/>
        <v>116337820.5643626</v>
      </c>
      <c r="M122" s="446">
        <f t="shared" si="32"/>
        <v>1.3384434156494422</v>
      </c>
      <c r="N122" s="386"/>
      <c r="O122" s="387"/>
      <c r="P122" s="388"/>
    </row>
    <row r="123" spans="1:16" s="360" customFormat="1" x14ac:dyDescent="0.15">
      <c r="A123" s="385">
        <v>108</v>
      </c>
      <c r="B123" s="440" t="s">
        <v>149</v>
      </c>
      <c r="C123" s="443">
        <f>'COEFIC 2023'!E115</f>
        <v>204860</v>
      </c>
      <c r="D123" s="444">
        <f>'COEFIC 2023'!I115</f>
        <v>4.313890153523614</v>
      </c>
      <c r="E123" s="445">
        <f t="shared" si="26"/>
        <v>168733961.95622322</v>
      </c>
      <c r="F123" s="446">
        <f>'COEFIC 2023'!P115</f>
        <v>2.6970472672578447</v>
      </c>
      <c r="G123" s="447">
        <f t="shared" si="27"/>
        <v>105492595.96142145</v>
      </c>
      <c r="H123" s="445">
        <f t="shared" si="28"/>
        <v>274226557.91764468</v>
      </c>
      <c r="I123" s="448">
        <f t="shared" si="29"/>
        <v>7.4704653537431359E-2</v>
      </c>
      <c r="J123" s="449">
        <f t="shared" si="30"/>
        <v>1.2865683823402381</v>
      </c>
      <c r="K123" s="450">
        <f t="shared" si="31"/>
        <v>11182883.031021118</v>
      </c>
      <c r="L123" s="451">
        <f t="shared" si="25"/>
        <v>285409440.9486658</v>
      </c>
      <c r="M123" s="446">
        <f t="shared" si="32"/>
        <v>3.2835786775856812</v>
      </c>
      <c r="N123" s="386"/>
      <c r="O123" s="387"/>
      <c r="P123" s="388"/>
    </row>
    <row r="124" spans="1:16" s="360" customFormat="1" x14ac:dyDescent="0.15">
      <c r="A124" s="385">
        <v>109</v>
      </c>
      <c r="B124" s="440" t="s">
        <v>50</v>
      </c>
      <c r="C124" s="443">
        <f>'COEFIC 2023'!E116</f>
        <v>3232</v>
      </c>
      <c r="D124" s="444">
        <f>'COEFIC 2023'!I116</f>
        <v>6.8058639930627357E-2</v>
      </c>
      <c r="E124" s="445">
        <f t="shared" si="26"/>
        <v>2662052.9387997338</v>
      </c>
      <c r="F124" s="446">
        <f>'COEFIC 2023'!P116</f>
        <v>0.2211655189413736</v>
      </c>
      <c r="G124" s="447">
        <f t="shared" si="27"/>
        <v>8650691.8189839385</v>
      </c>
      <c r="H124" s="445">
        <f t="shared" si="28"/>
        <v>11312744.757783672</v>
      </c>
      <c r="I124" s="448">
        <f t="shared" si="29"/>
        <v>2.8569547613776402E-2</v>
      </c>
      <c r="J124" s="449">
        <f t="shared" si="30"/>
        <v>0.49202659964457895</v>
      </c>
      <c r="K124" s="450">
        <f t="shared" si="31"/>
        <v>4276706.9263492012</v>
      </c>
      <c r="L124" s="451">
        <f t="shared" si="25"/>
        <v>15589451.684132874</v>
      </c>
      <c r="M124" s="446">
        <f t="shared" si="32"/>
        <v>0.17935353145685837</v>
      </c>
      <c r="N124" s="386"/>
      <c r="O124" s="387"/>
      <c r="P124" s="388"/>
    </row>
    <row r="125" spans="1:16" s="360" customFormat="1" x14ac:dyDescent="0.15">
      <c r="A125" s="385">
        <v>110</v>
      </c>
      <c r="B125" s="440" t="s">
        <v>111</v>
      </c>
      <c r="C125" s="443">
        <f>'COEFIC 2023'!E117</f>
        <v>49005</v>
      </c>
      <c r="D125" s="444">
        <f>'COEFIC 2023'!I117</f>
        <v>1.0319349163986367</v>
      </c>
      <c r="E125" s="445">
        <f t="shared" si="26"/>
        <v>40363212.953552276</v>
      </c>
      <c r="F125" s="446">
        <f>'COEFIC 2023'!P117</f>
        <v>0.93707100970791035</v>
      </c>
      <c r="G125" s="447">
        <f t="shared" si="27"/>
        <v>36652695.936910748</v>
      </c>
      <c r="H125" s="445">
        <f t="shared" si="28"/>
        <v>77015908.890463024</v>
      </c>
      <c r="I125" s="448">
        <f t="shared" si="29"/>
        <v>6.3629710674060938E-2</v>
      </c>
      <c r="J125" s="449">
        <f t="shared" si="30"/>
        <v>1.0958349989493676</v>
      </c>
      <c r="K125" s="450">
        <f t="shared" si="31"/>
        <v>9525023.9184792545</v>
      </c>
      <c r="L125" s="451">
        <f t="shared" si="25"/>
        <v>86540932.808942273</v>
      </c>
      <c r="M125" s="446">
        <f t="shared" si="32"/>
        <v>0.99563616664288324</v>
      </c>
      <c r="N125" s="386"/>
      <c r="O125" s="387"/>
      <c r="P125" s="388"/>
    </row>
    <row r="126" spans="1:16" s="360" customFormat="1" x14ac:dyDescent="0.15">
      <c r="A126" s="385">
        <v>111</v>
      </c>
      <c r="B126" s="440" t="s">
        <v>140</v>
      </c>
      <c r="C126" s="443">
        <f>'COEFIC 2023'!E118</f>
        <v>18402</v>
      </c>
      <c r="D126" s="444">
        <f>'COEFIC 2023'!I118</f>
        <v>0.38750466955550888</v>
      </c>
      <c r="E126" s="445">
        <f t="shared" si="26"/>
        <v>15156899.189292297</v>
      </c>
      <c r="F126" s="446">
        <f>'COEFIC 2023'!P118</f>
        <v>0.45366995431345297</v>
      </c>
      <c r="G126" s="447">
        <f t="shared" si="27"/>
        <v>17744895.230881467</v>
      </c>
      <c r="H126" s="445">
        <f t="shared" si="28"/>
        <v>32901794.420173764</v>
      </c>
      <c r="I126" s="448">
        <f t="shared" si="29"/>
        <v>5.5930080180419575E-2</v>
      </c>
      <c r="J126" s="449">
        <f t="shared" si="30"/>
        <v>0.96323146383146219</v>
      </c>
      <c r="K126" s="450">
        <f t="shared" si="31"/>
        <v>8372430.8320347564</v>
      </c>
      <c r="L126" s="451">
        <f t="shared" si="25"/>
        <v>41274225.252208523</v>
      </c>
      <c r="M126" s="446">
        <f t="shared" si="32"/>
        <v>0.47485172712417922</v>
      </c>
      <c r="N126" s="386"/>
      <c r="O126" s="387"/>
      <c r="P126" s="388"/>
    </row>
    <row r="127" spans="1:16" s="360" customFormat="1" x14ac:dyDescent="0.15">
      <c r="A127" s="385">
        <v>112</v>
      </c>
      <c r="B127" s="440" t="s">
        <v>142</v>
      </c>
      <c r="C127" s="443">
        <f>'COEFIC 2023'!E119</f>
        <v>157056</v>
      </c>
      <c r="D127" s="444">
        <f>'COEFIC 2023'!I119</f>
        <v>3.3072455918764265</v>
      </c>
      <c r="E127" s="445">
        <f t="shared" si="26"/>
        <v>129359958.64979301</v>
      </c>
      <c r="F127" s="446">
        <f>'COEFIC 2023'!P119</f>
        <v>1.8287280295210968</v>
      </c>
      <c r="G127" s="447">
        <f t="shared" si="27"/>
        <v>71529064.204254493</v>
      </c>
      <c r="H127" s="445">
        <f t="shared" si="28"/>
        <v>200889022.85404751</v>
      </c>
      <c r="I127" s="448">
        <f t="shared" si="29"/>
        <v>7.8180478837863804E-2</v>
      </c>
      <c r="J127" s="449">
        <f t="shared" si="30"/>
        <v>1.3464292708166699</v>
      </c>
      <c r="K127" s="450">
        <f t="shared" si="31"/>
        <v>11703195.299808014</v>
      </c>
      <c r="L127" s="451">
        <f t="shared" ref="L127:L128" si="33">H127+K127</f>
        <v>212592218.15385553</v>
      </c>
      <c r="M127" s="446">
        <f t="shared" si="32"/>
        <v>2.4458310567105537</v>
      </c>
      <c r="N127" s="386"/>
      <c r="O127" s="387"/>
      <c r="P127" s="388"/>
    </row>
    <row r="128" spans="1:16" s="360" customFormat="1" ht="22.5" x14ac:dyDescent="0.15">
      <c r="A128" s="385">
        <v>113</v>
      </c>
      <c r="B128" s="440" t="s">
        <v>101</v>
      </c>
      <c r="C128" s="443">
        <f>'COEFIC 2023'!E120</f>
        <v>26213</v>
      </c>
      <c r="D128" s="444">
        <f>'COEFIC 2023'!I120</f>
        <v>0.55198673530369269</v>
      </c>
      <c r="E128" s="445">
        <f t="shared" si="26"/>
        <v>21590468.343056131</v>
      </c>
      <c r="F128" s="446">
        <f>'COEFIC 2023'!P120</f>
        <v>0.58979875485710986</v>
      </c>
      <c r="G128" s="447">
        <f t="shared" si="27"/>
        <v>23069451.729687545</v>
      </c>
      <c r="H128" s="445">
        <f t="shared" si="28"/>
        <v>44659920.072743677</v>
      </c>
      <c r="I128" s="448">
        <f t="shared" si="29"/>
        <v>5.8694686325688285E-2</v>
      </c>
      <c r="J128" s="449">
        <f t="shared" si="30"/>
        <v>1.0108436899472564</v>
      </c>
      <c r="K128" s="450">
        <f t="shared" si="31"/>
        <v>8786277.4357659593</v>
      </c>
      <c r="L128" s="451">
        <f t="shared" si="33"/>
        <v>53446197.508509636</v>
      </c>
      <c r="M128" s="446">
        <f t="shared" si="32"/>
        <v>0.61488783956708704</v>
      </c>
      <c r="N128" s="386"/>
      <c r="O128" s="387"/>
      <c r="P128" s="388"/>
    </row>
    <row r="129" spans="1:13" s="390" customFormat="1" ht="12" thickBot="1" x14ac:dyDescent="0.2">
      <c r="A129" s="391"/>
      <c r="B129" s="392" t="s">
        <v>156</v>
      </c>
      <c r="C129" s="453">
        <f t="shared" ref="C129:M129" si="34">SUM(C16:C128)</f>
        <v>4748846</v>
      </c>
      <c r="D129" s="454">
        <f t="shared" si="34"/>
        <v>100.00000000000004</v>
      </c>
      <c r="E129" s="453">
        <f t="shared" si="34"/>
        <v>3911410720.9800005</v>
      </c>
      <c r="F129" s="454">
        <f t="shared" si="34"/>
        <v>99.999999999999915</v>
      </c>
      <c r="G129" s="453">
        <f t="shared" si="34"/>
        <v>3911410720.9799986</v>
      </c>
      <c r="H129" s="453">
        <f t="shared" si="34"/>
        <v>7822821441.9599981</v>
      </c>
      <c r="I129" s="455">
        <f t="shared" si="34"/>
        <v>5.8065046959684583</v>
      </c>
      <c r="J129" s="454">
        <f t="shared" si="34"/>
        <v>100.00000000000006</v>
      </c>
      <c r="K129" s="453">
        <f t="shared" si="34"/>
        <v>869202382.44000041</v>
      </c>
      <c r="L129" s="453">
        <f t="shared" si="34"/>
        <v>8692023824.3999977</v>
      </c>
      <c r="M129" s="456">
        <f t="shared" si="34"/>
        <v>100.00000000000001</v>
      </c>
    </row>
    <row r="130" spans="1:13" s="360" customFormat="1" ht="12" thickTop="1" x14ac:dyDescent="0.15">
      <c r="E130" s="365"/>
      <c r="G130" s="365"/>
      <c r="H130" s="365"/>
      <c r="K130" s="365"/>
      <c r="L130" s="365"/>
    </row>
    <row r="131" spans="1:13" s="360" customFormat="1" x14ac:dyDescent="0.15">
      <c r="E131" s="365"/>
      <c r="F131" s="365"/>
      <c r="G131" s="365"/>
      <c r="H131" s="365"/>
      <c r="I131" s="365"/>
      <c r="J131" s="365"/>
      <c r="K131" s="365"/>
      <c r="L131" s="365"/>
      <c r="M131" s="365"/>
    </row>
    <row r="132" spans="1:13" s="360" customFormat="1" x14ac:dyDescent="0.15">
      <c r="K132" s="365"/>
    </row>
    <row r="133" spans="1:13" s="360" customFormat="1" x14ac:dyDescent="0.15">
      <c r="E133" s="365"/>
    </row>
    <row r="134" spans="1:13" s="360" customFormat="1" x14ac:dyDescent="0.15"/>
    <row r="135" spans="1:13" s="360" customFormat="1" x14ac:dyDescent="0.15">
      <c r="D135" s="393" t="s">
        <v>7</v>
      </c>
      <c r="E135" s="393"/>
      <c r="L135" s="370"/>
      <c r="M135" s="363"/>
    </row>
    <row r="136" spans="1:13" s="360" customFormat="1" x14ac:dyDescent="0.15">
      <c r="A136" s="360" t="s">
        <v>7</v>
      </c>
      <c r="B136" s="360" t="s">
        <v>7</v>
      </c>
      <c r="C136" s="394"/>
      <c r="L136" s="370"/>
      <c r="M136" s="363"/>
    </row>
    <row r="137" spans="1:13" s="360" customFormat="1" x14ac:dyDescent="0.15">
      <c r="A137" s="360" t="s">
        <v>7</v>
      </c>
      <c r="B137" s="360" t="s">
        <v>7</v>
      </c>
      <c r="L137" s="370"/>
      <c r="M137" s="363"/>
    </row>
    <row r="138" spans="1:13" s="360" customFormat="1" x14ac:dyDescent="0.15">
      <c r="L138" s="370"/>
      <c r="M138" s="363"/>
    </row>
    <row r="139" spans="1:13" s="360" customFormat="1" x14ac:dyDescent="0.15">
      <c r="L139" s="370"/>
      <c r="M139" s="363"/>
    </row>
    <row r="140" spans="1:13" s="360" customFormat="1" x14ac:dyDescent="0.15">
      <c r="L140" s="370"/>
      <c r="M140" s="363"/>
    </row>
    <row r="141" spans="1:13" s="360" customFormat="1" x14ac:dyDescent="0.15">
      <c r="L141" s="370"/>
      <c r="M141" s="363"/>
    </row>
    <row r="142" spans="1:13" s="360" customFormat="1" x14ac:dyDescent="0.15">
      <c r="L142" s="370"/>
      <c r="M142" s="363"/>
    </row>
    <row r="143" spans="1:13" s="360" customFormat="1" x14ac:dyDescent="0.15">
      <c r="L143" s="370"/>
      <c r="M143" s="363"/>
    </row>
    <row r="144" spans="1:13" s="360" customFormat="1" x14ac:dyDescent="0.15">
      <c r="L144" s="370"/>
      <c r="M144" s="363"/>
    </row>
    <row r="145" spans="12:13" s="360" customFormat="1" x14ac:dyDescent="0.15">
      <c r="L145" s="370"/>
      <c r="M145" s="363"/>
    </row>
    <row r="146" spans="12:13" s="360" customFormat="1" x14ac:dyDescent="0.15">
      <c r="L146" s="370"/>
      <c r="M146" s="363"/>
    </row>
    <row r="147" spans="12:13" s="360" customFormat="1" x14ac:dyDescent="0.15">
      <c r="L147" s="370"/>
      <c r="M147" s="363"/>
    </row>
    <row r="148" spans="12:13" s="360" customFormat="1" x14ac:dyDescent="0.15">
      <c r="L148" s="370"/>
      <c r="M148" s="363"/>
    </row>
    <row r="149" spans="12:13" s="360" customFormat="1" x14ac:dyDescent="0.15">
      <c r="L149" s="370"/>
      <c r="M149" s="363"/>
    </row>
    <row r="150" spans="12:13" s="360" customFormat="1" x14ac:dyDescent="0.15">
      <c r="L150" s="370"/>
      <c r="M150" s="363"/>
    </row>
    <row r="151" spans="12:13" s="360" customFormat="1" x14ac:dyDescent="0.15">
      <c r="L151" s="370"/>
      <c r="M151" s="363"/>
    </row>
    <row r="152" spans="12:13" s="360" customFormat="1" x14ac:dyDescent="0.15">
      <c r="L152" s="370"/>
      <c r="M152" s="363"/>
    </row>
    <row r="153" spans="12:13" s="360" customFormat="1" x14ac:dyDescent="0.15">
      <c r="L153" s="370"/>
      <c r="M153" s="363"/>
    </row>
    <row r="154" spans="12:13" s="360" customFormat="1" x14ac:dyDescent="0.15">
      <c r="L154" s="370"/>
      <c r="M154" s="363"/>
    </row>
    <row r="155" spans="12:13" s="360" customFormat="1" x14ac:dyDescent="0.15">
      <c r="L155" s="370"/>
      <c r="M155" s="363"/>
    </row>
    <row r="156" spans="12:13" s="360" customFormat="1" x14ac:dyDescent="0.15">
      <c r="L156" s="370"/>
      <c r="M156" s="363"/>
    </row>
    <row r="157" spans="12:13" s="360" customFormat="1" x14ac:dyDescent="0.15">
      <c r="L157" s="370"/>
      <c r="M157" s="363"/>
    </row>
    <row r="158" spans="12:13" s="360" customFormat="1" x14ac:dyDescent="0.15">
      <c r="L158" s="370"/>
      <c r="M158" s="363"/>
    </row>
    <row r="159" spans="12:13" s="360" customFormat="1" x14ac:dyDescent="0.15">
      <c r="L159" s="370"/>
      <c r="M159" s="363"/>
    </row>
    <row r="160" spans="12:13" s="360" customFormat="1" x14ac:dyDescent="0.15">
      <c r="L160" s="370"/>
      <c r="M160" s="363"/>
    </row>
    <row r="161" spans="12:13" s="360" customFormat="1" x14ac:dyDescent="0.15">
      <c r="L161" s="370"/>
      <c r="M161" s="363"/>
    </row>
    <row r="162" spans="12:13" s="360" customFormat="1" x14ac:dyDescent="0.15">
      <c r="L162" s="370"/>
      <c r="M162" s="363"/>
    </row>
    <row r="163" spans="12:13" s="360" customFormat="1" x14ac:dyDescent="0.15">
      <c r="L163" s="370"/>
      <c r="M163" s="363"/>
    </row>
    <row r="164" spans="12:13" s="360" customFormat="1" x14ac:dyDescent="0.15">
      <c r="L164" s="370"/>
      <c r="M164" s="363"/>
    </row>
    <row r="165" spans="12:13" s="360" customFormat="1" x14ac:dyDescent="0.15">
      <c r="L165" s="370"/>
      <c r="M165" s="363"/>
    </row>
    <row r="166" spans="12:13" s="360" customFormat="1" x14ac:dyDescent="0.15">
      <c r="L166" s="370"/>
      <c r="M166" s="363"/>
    </row>
    <row r="167" spans="12:13" s="360" customFormat="1" x14ac:dyDescent="0.15">
      <c r="L167" s="370"/>
      <c r="M167" s="363"/>
    </row>
    <row r="168" spans="12:13" s="360" customFormat="1" x14ac:dyDescent="0.15">
      <c r="L168" s="370"/>
      <c r="M168" s="363"/>
    </row>
    <row r="169" spans="12:13" s="360" customFormat="1" x14ac:dyDescent="0.15">
      <c r="L169" s="370"/>
      <c r="M169" s="363"/>
    </row>
    <row r="170" spans="12:13" s="360" customFormat="1" x14ac:dyDescent="0.15">
      <c r="L170" s="370"/>
      <c r="M170" s="363"/>
    </row>
    <row r="171" spans="12:13" s="360" customFormat="1" x14ac:dyDescent="0.15">
      <c r="L171" s="370"/>
      <c r="M171" s="363"/>
    </row>
    <row r="172" spans="12:13" s="360" customFormat="1" x14ac:dyDescent="0.15">
      <c r="L172" s="370"/>
      <c r="M172" s="363"/>
    </row>
    <row r="173" spans="12:13" s="360" customFormat="1" x14ac:dyDescent="0.15">
      <c r="L173" s="370"/>
      <c r="M173" s="363"/>
    </row>
    <row r="174" spans="12:13" s="360" customFormat="1" x14ac:dyDescent="0.15">
      <c r="L174" s="370"/>
      <c r="M174" s="363"/>
    </row>
    <row r="175" spans="12:13" s="360" customFormat="1" x14ac:dyDescent="0.15">
      <c r="L175" s="370"/>
      <c r="M175" s="363"/>
    </row>
    <row r="176" spans="12:13" s="360" customFormat="1" x14ac:dyDescent="0.15">
      <c r="L176" s="370"/>
      <c r="M176" s="363"/>
    </row>
    <row r="177" spans="12:13" s="360" customFormat="1" x14ac:dyDescent="0.15">
      <c r="L177" s="370"/>
      <c r="M177" s="363"/>
    </row>
    <row r="178" spans="12:13" s="360" customFormat="1" x14ac:dyDescent="0.15">
      <c r="L178" s="370"/>
      <c r="M178" s="363"/>
    </row>
    <row r="179" spans="12:13" s="360" customFormat="1" x14ac:dyDescent="0.15">
      <c r="L179" s="370"/>
      <c r="M179" s="363"/>
    </row>
    <row r="180" spans="12:13" s="360" customFormat="1" x14ac:dyDescent="0.15">
      <c r="L180" s="370"/>
      <c r="M180" s="363"/>
    </row>
    <row r="181" spans="12:13" s="360" customFormat="1" x14ac:dyDescent="0.15">
      <c r="L181" s="370"/>
      <c r="M181" s="363"/>
    </row>
    <row r="182" spans="12:13" s="360" customFormat="1" x14ac:dyDescent="0.15">
      <c r="L182" s="370"/>
      <c r="M182" s="363"/>
    </row>
    <row r="183" spans="12:13" s="360" customFormat="1" x14ac:dyDescent="0.15">
      <c r="L183" s="370"/>
      <c r="M183" s="363"/>
    </row>
    <row r="184" spans="12:13" s="360" customFormat="1" x14ac:dyDescent="0.15">
      <c r="L184" s="370"/>
      <c r="M184" s="363"/>
    </row>
    <row r="185" spans="12:13" s="360" customFormat="1" x14ac:dyDescent="0.15">
      <c r="L185" s="370"/>
      <c r="M185" s="363"/>
    </row>
    <row r="186" spans="12:13" s="360" customFormat="1" x14ac:dyDescent="0.15">
      <c r="L186" s="370"/>
      <c r="M186" s="363"/>
    </row>
    <row r="187" spans="12:13" s="360" customFormat="1" x14ac:dyDescent="0.15">
      <c r="L187" s="370"/>
      <c r="M187" s="363"/>
    </row>
    <row r="188" spans="12:13" s="360" customFormat="1" x14ac:dyDescent="0.15">
      <c r="L188" s="370"/>
      <c r="M188" s="363"/>
    </row>
    <row r="189" spans="12:13" s="360" customFormat="1" x14ac:dyDescent="0.15">
      <c r="L189" s="370"/>
      <c r="M189" s="363"/>
    </row>
    <row r="190" spans="12:13" s="360" customFormat="1" x14ac:dyDescent="0.15">
      <c r="L190" s="370"/>
      <c r="M190" s="363"/>
    </row>
    <row r="191" spans="12:13" s="360" customFormat="1" x14ac:dyDescent="0.15">
      <c r="L191" s="370"/>
      <c r="M191" s="363"/>
    </row>
    <row r="192" spans="12:13" s="360" customFormat="1" x14ac:dyDescent="0.15">
      <c r="L192" s="370"/>
      <c r="M192" s="363"/>
    </row>
    <row r="193" spans="12:13" s="360" customFormat="1" x14ac:dyDescent="0.15">
      <c r="L193" s="370"/>
      <c r="M193" s="363"/>
    </row>
    <row r="194" spans="12:13" s="360" customFormat="1" x14ac:dyDescent="0.15">
      <c r="L194" s="370"/>
      <c r="M194" s="363"/>
    </row>
    <row r="195" spans="12:13" s="360" customFormat="1" x14ac:dyDescent="0.15">
      <c r="L195" s="370"/>
      <c r="M195" s="363"/>
    </row>
    <row r="196" spans="12:13" s="360" customFormat="1" x14ac:dyDescent="0.15">
      <c r="L196" s="370"/>
      <c r="M196" s="363"/>
    </row>
    <row r="197" spans="12:13" s="360" customFormat="1" x14ac:dyDescent="0.15">
      <c r="L197" s="370"/>
      <c r="M197" s="363"/>
    </row>
    <row r="198" spans="12:13" s="360" customFormat="1" x14ac:dyDescent="0.15">
      <c r="L198" s="370"/>
      <c r="M198" s="363"/>
    </row>
    <row r="199" spans="12:13" s="360" customFormat="1" x14ac:dyDescent="0.15">
      <c r="L199" s="370"/>
      <c r="M199" s="363"/>
    </row>
    <row r="200" spans="12:13" s="360" customFormat="1" x14ac:dyDescent="0.15">
      <c r="L200" s="370"/>
      <c r="M200" s="363"/>
    </row>
    <row r="201" spans="12:13" s="360" customFormat="1" x14ac:dyDescent="0.15">
      <c r="L201" s="370"/>
      <c r="M201" s="363"/>
    </row>
    <row r="202" spans="12:13" s="360" customFormat="1" x14ac:dyDescent="0.15">
      <c r="L202" s="370"/>
      <c r="M202" s="363"/>
    </row>
    <row r="203" spans="12:13" s="360" customFormat="1" x14ac:dyDescent="0.15">
      <c r="L203" s="370"/>
      <c r="M203" s="363"/>
    </row>
    <row r="204" spans="12:13" s="360" customFormat="1" x14ac:dyDescent="0.15">
      <c r="L204" s="370"/>
      <c r="M204" s="363"/>
    </row>
    <row r="205" spans="12:13" s="360" customFormat="1" x14ac:dyDescent="0.15">
      <c r="L205" s="370"/>
      <c r="M205" s="363"/>
    </row>
    <row r="206" spans="12:13" s="360" customFormat="1" x14ac:dyDescent="0.15">
      <c r="L206" s="370"/>
      <c r="M206" s="363"/>
    </row>
    <row r="207" spans="12:13" s="360" customFormat="1" x14ac:dyDescent="0.15">
      <c r="L207" s="370"/>
      <c r="M207" s="363"/>
    </row>
    <row r="208" spans="12:13" s="360" customFormat="1" x14ac:dyDescent="0.15">
      <c r="L208" s="370"/>
      <c r="M208" s="363"/>
    </row>
    <row r="209" spans="12:13" s="360" customFormat="1" x14ac:dyDescent="0.15">
      <c r="L209" s="370"/>
      <c r="M209" s="363"/>
    </row>
    <row r="210" spans="12:13" s="360" customFormat="1" x14ac:dyDescent="0.15">
      <c r="L210" s="370"/>
      <c r="M210" s="363"/>
    </row>
    <row r="211" spans="12:13" s="360" customFormat="1" x14ac:dyDescent="0.15">
      <c r="L211" s="370"/>
      <c r="M211" s="363"/>
    </row>
    <row r="212" spans="12:13" s="360" customFormat="1" x14ac:dyDescent="0.15">
      <c r="L212" s="370"/>
      <c r="M212" s="363"/>
    </row>
    <row r="213" spans="12:13" s="360" customFormat="1" x14ac:dyDescent="0.15">
      <c r="L213" s="370"/>
      <c r="M213" s="363"/>
    </row>
    <row r="214" spans="12:13" s="360" customFormat="1" x14ac:dyDescent="0.15">
      <c r="L214" s="370"/>
      <c r="M214" s="363"/>
    </row>
    <row r="215" spans="12:13" s="360" customFormat="1" x14ac:dyDescent="0.15">
      <c r="L215" s="370"/>
      <c r="M215" s="363"/>
    </row>
    <row r="216" spans="12:13" s="360" customFormat="1" x14ac:dyDescent="0.15">
      <c r="L216" s="370"/>
      <c r="M216" s="363"/>
    </row>
    <row r="217" spans="12:13" s="360" customFormat="1" x14ac:dyDescent="0.15">
      <c r="L217" s="370"/>
      <c r="M217" s="363"/>
    </row>
    <row r="218" spans="12:13" s="360" customFormat="1" x14ac:dyDescent="0.15">
      <c r="L218" s="370"/>
      <c r="M218" s="363"/>
    </row>
    <row r="219" spans="12:13" s="360" customFormat="1" x14ac:dyDescent="0.15">
      <c r="L219" s="370"/>
      <c r="M219" s="363"/>
    </row>
    <row r="220" spans="12:13" s="360" customFormat="1" x14ac:dyDescent="0.15">
      <c r="L220" s="370"/>
      <c r="M220" s="363"/>
    </row>
    <row r="221" spans="12:13" s="360" customFormat="1" x14ac:dyDescent="0.15">
      <c r="L221" s="370"/>
      <c r="M221" s="363"/>
    </row>
    <row r="222" spans="12:13" s="360" customFormat="1" x14ac:dyDescent="0.15">
      <c r="L222" s="370"/>
      <c r="M222" s="363"/>
    </row>
    <row r="223" spans="12:13" s="360" customFormat="1" x14ac:dyDescent="0.15">
      <c r="L223" s="370"/>
      <c r="M223" s="363"/>
    </row>
    <row r="224" spans="12:13" s="360" customFormat="1" x14ac:dyDescent="0.15">
      <c r="L224" s="370"/>
      <c r="M224" s="363"/>
    </row>
    <row r="225" spans="12:13" s="360" customFormat="1" x14ac:dyDescent="0.15">
      <c r="L225" s="370"/>
      <c r="M225" s="363"/>
    </row>
    <row r="226" spans="12:13" s="360" customFormat="1" x14ac:dyDescent="0.15">
      <c r="L226" s="370"/>
      <c r="M226" s="363"/>
    </row>
    <row r="227" spans="12:13" s="360" customFormat="1" x14ac:dyDescent="0.15">
      <c r="L227" s="370"/>
      <c r="M227" s="363"/>
    </row>
    <row r="228" spans="12:13" s="360" customFormat="1" x14ac:dyDescent="0.15">
      <c r="L228" s="370"/>
      <c r="M228" s="363"/>
    </row>
    <row r="229" spans="12:13" s="360" customFormat="1" x14ac:dyDescent="0.15">
      <c r="L229" s="370"/>
      <c r="M229" s="363"/>
    </row>
    <row r="230" spans="12:13" s="360" customFormat="1" x14ac:dyDescent="0.15">
      <c r="L230" s="370"/>
      <c r="M230" s="363"/>
    </row>
    <row r="231" spans="12:13" s="360" customFormat="1" x14ac:dyDescent="0.15">
      <c r="L231" s="370"/>
      <c r="M231" s="363"/>
    </row>
    <row r="232" spans="12:13" s="360" customFormat="1" x14ac:dyDescent="0.15">
      <c r="L232" s="370"/>
      <c r="M232" s="363"/>
    </row>
    <row r="233" spans="12:13" s="360" customFormat="1" x14ac:dyDescent="0.15">
      <c r="L233" s="370"/>
      <c r="M233" s="363"/>
    </row>
    <row r="234" spans="12:13" s="360" customFormat="1" x14ac:dyDescent="0.15">
      <c r="L234" s="370"/>
      <c r="M234" s="363"/>
    </row>
    <row r="235" spans="12:13" s="360" customFormat="1" x14ac:dyDescent="0.15">
      <c r="L235" s="370"/>
      <c r="M235" s="363"/>
    </row>
    <row r="236" spans="12:13" s="360" customFormat="1" x14ac:dyDescent="0.15">
      <c r="L236" s="370"/>
      <c r="M236" s="363"/>
    </row>
    <row r="237" spans="12:13" s="360" customFormat="1" x14ac:dyDescent="0.15">
      <c r="L237" s="370"/>
      <c r="M237" s="363"/>
    </row>
    <row r="238" spans="12:13" s="360" customFormat="1" x14ac:dyDescent="0.15">
      <c r="L238" s="370"/>
      <c r="M238" s="363"/>
    </row>
    <row r="239" spans="12:13" s="360" customFormat="1" x14ac:dyDescent="0.15">
      <c r="L239" s="370"/>
      <c r="M239" s="363"/>
    </row>
    <row r="240" spans="12:13" s="360" customFormat="1" x14ac:dyDescent="0.15">
      <c r="L240" s="370"/>
      <c r="M240" s="363"/>
    </row>
    <row r="241" spans="12:13" s="360" customFormat="1" x14ac:dyDescent="0.15">
      <c r="L241" s="370"/>
      <c r="M241" s="363"/>
    </row>
    <row r="242" spans="12:13" s="360" customFormat="1" x14ac:dyDescent="0.15">
      <c r="L242" s="370"/>
      <c r="M242" s="363"/>
    </row>
    <row r="243" spans="12:13" s="360" customFormat="1" x14ac:dyDescent="0.15">
      <c r="L243" s="370"/>
      <c r="M243" s="363"/>
    </row>
    <row r="244" spans="12:13" s="360" customFormat="1" x14ac:dyDescent="0.15">
      <c r="L244" s="370"/>
      <c r="M244" s="363"/>
    </row>
    <row r="245" spans="12:13" s="360" customFormat="1" x14ac:dyDescent="0.15">
      <c r="L245" s="370"/>
      <c r="M245" s="363"/>
    </row>
    <row r="246" spans="12:13" s="360" customFormat="1" x14ac:dyDescent="0.15">
      <c r="L246" s="370"/>
      <c r="M246" s="363"/>
    </row>
    <row r="247" spans="12:13" s="360" customFormat="1" x14ac:dyDescent="0.15">
      <c r="L247" s="370"/>
      <c r="M247" s="363"/>
    </row>
    <row r="248" spans="12:13" s="360" customFormat="1" x14ac:dyDescent="0.15">
      <c r="L248" s="370"/>
      <c r="M248" s="363"/>
    </row>
    <row r="249" spans="12:13" s="360" customFormat="1" x14ac:dyDescent="0.15">
      <c r="L249" s="370"/>
      <c r="M249" s="363"/>
    </row>
    <row r="250" spans="12:13" s="360" customFormat="1" x14ac:dyDescent="0.15">
      <c r="L250" s="370"/>
      <c r="M250" s="363"/>
    </row>
    <row r="251" spans="12:13" s="360" customFormat="1" x14ac:dyDescent="0.15">
      <c r="L251" s="370"/>
      <c r="M251" s="363"/>
    </row>
    <row r="252" spans="12:13" s="360" customFormat="1" x14ac:dyDescent="0.15">
      <c r="L252" s="370"/>
      <c r="M252" s="363"/>
    </row>
    <row r="253" spans="12:13" s="360" customFormat="1" x14ac:dyDescent="0.15">
      <c r="L253" s="370"/>
      <c r="M253" s="363"/>
    </row>
    <row r="254" spans="12:13" s="360" customFormat="1" x14ac:dyDescent="0.15">
      <c r="L254" s="370"/>
      <c r="M254" s="363"/>
    </row>
    <row r="255" spans="12:13" s="360" customFormat="1" x14ac:dyDescent="0.15">
      <c r="L255" s="370"/>
      <c r="M255" s="363"/>
    </row>
    <row r="256" spans="12:13" s="360" customFormat="1" x14ac:dyDescent="0.15">
      <c r="L256" s="370"/>
      <c r="M256" s="363"/>
    </row>
    <row r="257" spans="12:13" s="360" customFormat="1" x14ac:dyDescent="0.15">
      <c r="L257" s="370"/>
      <c r="M257" s="363"/>
    </row>
    <row r="258" spans="12:13" s="360" customFormat="1" x14ac:dyDescent="0.15">
      <c r="L258" s="370"/>
      <c r="M258" s="363"/>
    </row>
    <row r="259" spans="12:13" s="360" customFormat="1" x14ac:dyDescent="0.15">
      <c r="L259" s="370"/>
      <c r="M259" s="363"/>
    </row>
    <row r="260" spans="12:13" s="360" customFormat="1" x14ac:dyDescent="0.15">
      <c r="L260" s="370"/>
      <c r="M260" s="363"/>
    </row>
    <row r="261" spans="12:13" s="360" customFormat="1" x14ac:dyDescent="0.15">
      <c r="L261" s="370"/>
      <c r="M261" s="363"/>
    </row>
    <row r="262" spans="12:13" s="360" customFormat="1" x14ac:dyDescent="0.15">
      <c r="L262" s="370"/>
      <c r="M262" s="363"/>
    </row>
    <row r="263" spans="12:13" s="360" customFormat="1" x14ac:dyDescent="0.15">
      <c r="L263" s="370"/>
      <c r="M263" s="363"/>
    </row>
    <row r="264" spans="12:13" s="360" customFormat="1" x14ac:dyDescent="0.15">
      <c r="L264" s="370"/>
      <c r="M264" s="363"/>
    </row>
    <row r="265" spans="12:13" s="360" customFormat="1" x14ac:dyDescent="0.15">
      <c r="L265" s="370"/>
      <c r="M265" s="363"/>
    </row>
    <row r="266" spans="12:13" s="360" customFormat="1" x14ac:dyDescent="0.15">
      <c r="L266" s="370"/>
      <c r="M266" s="363"/>
    </row>
    <row r="267" spans="12:13" s="360" customFormat="1" x14ac:dyDescent="0.15">
      <c r="L267" s="370"/>
      <c r="M267" s="363"/>
    </row>
    <row r="268" spans="12:13" s="360" customFormat="1" x14ac:dyDescent="0.15">
      <c r="L268" s="370"/>
      <c r="M268" s="363"/>
    </row>
    <row r="269" spans="12:13" s="360" customFormat="1" x14ac:dyDescent="0.15">
      <c r="L269" s="370"/>
      <c r="M269" s="363"/>
    </row>
    <row r="270" spans="12:13" s="360" customFormat="1" x14ac:dyDescent="0.15">
      <c r="L270" s="370"/>
      <c r="M270" s="363"/>
    </row>
    <row r="271" spans="12:13" s="360" customFormat="1" x14ac:dyDescent="0.15">
      <c r="L271" s="370"/>
      <c r="M271" s="363"/>
    </row>
    <row r="272" spans="12:13" s="360" customFormat="1" x14ac:dyDescent="0.15">
      <c r="L272" s="370"/>
      <c r="M272" s="363"/>
    </row>
    <row r="273" spans="12:13" s="360" customFormat="1" x14ac:dyDescent="0.15">
      <c r="L273" s="370"/>
      <c r="M273" s="363"/>
    </row>
    <row r="274" spans="12:13" s="360" customFormat="1" x14ac:dyDescent="0.15">
      <c r="L274" s="370"/>
      <c r="M274" s="363"/>
    </row>
    <row r="275" spans="12:13" s="360" customFormat="1" x14ac:dyDescent="0.15">
      <c r="L275" s="370"/>
      <c r="M275" s="363"/>
    </row>
    <row r="276" spans="12:13" s="360" customFormat="1" x14ac:dyDescent="0.15">
      <c r="L276" s="370"/>
      <c r="M276" s="363"/>
    </row>
    <row r="277" spans="12:13" s="360" customFormat="1" x14ac:dyDescent="0.15">
      <c r="L277" s="370"/>
      <c r="M277" s="363"/>
    </row>
    <row r="278" spans="12:13" s="360" customFormat="1" x14ac:dyDescent="0.15">
      <c r="L278" s="370"/>
      <c r="M278" s="363"/>
    </row>
    <row r="279" spans="12:13" s="360" customFormat="1" x14ac:dyDescent="0.15">
      <c r="L279" s="370"/>
      <c r="M279" s="363"/>
    </row>
    <row r="280" spans="12:13" s="360" customFormat="1" x14ac:dyDescent="0.15">
      <c r="L280" s="370"/>
      <c r="M280" s="363"/>
    </row>
    <row r="281" spans="12:13" s="360" customFormat="1" x14ac:dyDescent="0.15">
      <c r="L281" s="370"/>
      <c r="M281" s="363"/>
    </row>
    <row r="282" spans="12:13" s="360" customFormat="1" x14ac:dyDescent="0.15">
      <c r="L282" s="370"/>
      <c r="M282" s="363"/>
    </row>
    <row r="283" spans="12:13" s="360" customFormat="1" x14ac:dyDescent="0.15">
      <c r="L283" s="370"/>
      <c r="M283" s="363"/>
    </row>
    <row r="284" spans="12:13" s="360" customFormat="1" x14ac:dyDescent="0.15">
      <c r="L284" s="370"/>
      <c r="M284" s="363"/>
    </row>
    <row r="285" spans="12:13" s="360" customFormat="1" x14ac:dyDescent="0.15">
      <c r="L285" s="370"/>
      <c r="M285" s="363"/>
    </row>
    <row r="286" spans="12:13" s="360" customFormat="1" x14ac:dyDescent="0.15">
      <c r="L286" s="370"/>
      <c r="M286" s="363"/>
    </row>
    <row r="287" spans="12:13" s="360" customFormat="1" x14ac:dyDescent="0.15">
      <c r="L287" s="370"/>
      <c r="M287" s="363"/>
    </row>
    <row r="288" spans="12:13" s="360" customFormat="1" x14ac:dyDescent="0.15">
      <c r="L288" s="370"/>
      <c r="M288" s="363"/>
    </row>
    <row r="289" spans="12:13" s="360" customFormat="1" x14ac:dyDescent="0.15">
      <c r="L289" s="370"/>
      <c r="M289" s="363"/>
    </row>
    <row r="290" spans="12:13" s="360" customFormat="1" x14ac:dyDescent="0.15">
      <c r="L290" s="370"/>
      <c r="M290" s="363"/>
    </row>
    <row r="291" spans="12:13" s="360" customFormat="1" x14ac:dyDescent="0.15">
      <c r="L291" s="370"/>
      <c r="M291" s="363"/>
    </row>
    <row r="292" spans="12:13" s="360" customFormat="1" x14ac:dyDescent="0.15">
      <c r="L292" s="370"/>
      <c r="M292" s="363"/>
    </row>
    <row r="293" spans="12:13" s="360" customFormat="1" x14ac:dyDescent="0.15">
      <c r="L293" s="370"/>
      <c r="M293" s="363"/>
    </row>
    <row r="294" spans="12:13" s="360" customFormat="1" x14ac:dyDescent="0.15">
      <c r="L294" s="370"/>
      <c r="M294" s="363"/>
    </row>
    <row r="295" spans="12:13" s="360" customFormat="1" x14ac:dyDescent="0.15">
      <c r="L295" s="370"/>
      <c r="M295" s="363"/>
    </row>
    <row r="296" spans="12:13" s="360" customFormat="1" x14ac:dyDescent="0.15">
      <c r="L296" s="370"/>
      <c r="M296" s="363"/>
    </row>
    <row r="297" spans="12:13" s="360" customFormat="1" x14ac:dyDescent="0.15">
      <c r="L297" s="370"/>
      <c r="M297" s="363"/>
    </row>
    <row r="298" spans="12:13" s="360" customFormat="1" x14ac:dyDescent="0.15">
      <c r="L298" s="370"/>
      <c r="M298" s="363"/>
    </row>
    <row r="299" spans="12:13" s="360" customFormat="1" x14ac:dyDescent="0.15">
      <c r="L299" s="370"/>
      <c r="M299" s="363"/>
    </row>
    <row r="300" spans="12:13" s="360" customFormat="1" x14ac:dyDescent="0.15">
      <c r="L300" s="370"/>
      <c r="M300" s="363"/>
    </row>
    <row r="301" spans="12:13" s="360" customFormat="1" x14ac:dyDescent="0.15">
      <c r="L301" s="370"/>
      <c r="M301" s="363"/>
    </row>
    <row r="302" spans="12:13" s="360" customFormat="1" x14ac:dyDescent="0.15">
      <c r="L302" s="370"/>
      <c r="M302" s="363"/>
    </row>
    <row r="303" spans="12:13" s="360" customFormat="1" x14ac:dyDescent="0.15">
      <c r="L303" s="370"/>
      <c r="M303" s="363"/>
    </row>
    <row r="304" spans="12:13" s="360" customFormat="1" x14ac:dyDescent="0.15">
      <c r="L304" s="370"/>
      <c r="M304" s="363"/>
    </row>
    <row r="305" spans="12:13" s="360" customFormat="1" x14ac:dyDescent="0.15">
      <c r="L305" s="370"/>
      <c r="M305" s="363"/>
    </row>
    <row r="306" spans="12:13" s="360" customFormat="1" x14ac:dyDescent="0.15">
      <c r="L306" s="370"/>
      <c r="M306" s="363"/>
    </row>
    <row r="307" spans="12:13" s="360" customFormat="1" x14ac:dyDescent="0.15">
      <c r="L307" s="370"/>
      <c r="M307" s="363"/>
    </row>
    <row r="308" spans="12:13" s="360" customFormat="1" x14ac:dyDescent="0.15">
      <c r="L308" s="370"/>
      <c r="M308" s="363"/>
    </row>
    <row r="309" spans="12:13" s="360" customFormat="1" x14ac:dyDescent="0.15">
      <c r="L309" s="370"/>
      <c r="M309" s="363"/>
    </row>
    <row r="310" spans="12:13" s="360" customFormat="1" x14ac:dyDescent="0.15">
      <c r="L310" s="370"/>
      <c r="M310" s="363"/>
    </row>
    <row r="311" spans="12:13" s="360" customFormat="1" x14ac:dyDescent="0.15">
      <c r="L311" s="370"/>
      <c r="M311" s="363"/>
    </row>
    <row r="312" spans="12:13" s="360" customFormat="1" x14ac:dyDescent="0.15">
      <c r="L312" s="370"/>
      <c r="M312" s="363"/>
    </row>
    <row r="313" spans="12:13" s="360" customFormat="1" x14ac:dyDescent="0.15">
      <c r="L313" s="370"/>
      <c r="M313" s="363"/>
    </row>
    <row r="314" spans="12:13" s="360" customFormat="1" x14ac:dyDescent="0.15">
      <c r="L314" s="370"/>
      <c r="M314" s="363"/>
    </row>
    <row r="315" spans="12:13" s="360" customFormat="1" x14ac:dyDescent="0.15">
      <c r="L315" s="370"/>
      <c r="M315" s="363"/>
    </row>
    <row r="316" spans="12:13" s="360" customFormat="1" x14ac:dyDescent="0.15">
      <c r="L316" s="370"/>
      <c r="M316" s="363"/>
    </row>
    <row r="317" spans="12:13" s="360" customFormat="1" x14ac:dyDescent="0.15">
      <c r="L317" s="370"/>
      <c r="M317" s="363"/>
    </row>
    <row r="318" spans="12:13" s="360" customFormat="1" x14ac:dyDescent="0.15">
      <c r="L318" s="370"/>
      <c r="M318" s="363"/>
    </row>
    <row r="319" spans="12:13" s="360" customFormat="1" x14ac:dyDescent="0.15">
      <c r="L319" s="370"/>
      <c r="M319" s="363"/>
    </row>
    <row r="320" spans="12:13" s="360" customFormat="1" x14ac:dyDescent="0.15">
      <c r="L320" s="370"/>
      <c r="M320" s="363"/>
    </row>
    <row r="321" spans="12:13" s="360" customFormat="1" x14ac:dyDescent="0.15">
      <c r="L321" s="370"/>
      <c r="M321" s="363"/>
    </row>
    <row r="322" spans="12:13" s="360" customFormat="1" x14ac:dyDescent="0.15">
      <c r="L322" s="370"/>
      <c r="M322" s="363"/>
    </row>
    <row r="323" spans="12:13" s="360" customFormat="1" x14ac:dyDescent="0.15">
      <c r="L323" s="370"/>
      <c r="M323" s="363"/>
    </row>
    <row r="324" spans="12:13" s="360" customFormat="1" x14ac:dyDescent="0.15">
      <c r="L324" s="370"/>
      <c r="M324" s="363"/>
    </row>
    <row r="325" spans="12:13" s="360" customFormat="1" x14ac:dyDescent="0.15">
      <c r="L325" s="370"/>
      <c r="M325" s="363"/>
    </row>
    <row r="326" spans="12:13" s="360" customFormat="1" x14ac:dyDescent="0.15">
      <c r="L326" s="370"/>
      <c r="M326" s="363"/>
    </row>
    <row r="327" spans="12:13" s="360" customFormat="1" x14ac:dyDescent="0.15">
      <c r="L327" s="370"/>
      <c r="M327" s="363"/>
    </row>
    <row r="328" spans="12:13" s="360" customFormat="1" x14ac:dyDescent="0.15">
      <c r="L328" s="370"/>
      <c r="M328" s="363"/>
    </row>
    <row r="329" spans="12:13" s="360" customFormat="1" x14ac:dyDescent="0.15">
      <c r="L329" s="370"/>
      <c r="M329" s="363"/>
    </row>
    <row r="330" spans="12:13" s="360" customFormat="1" x14ac:dyDescent="0.15">
      <c r="L330" s="370"/>
      <c r="M330" s="363"/>
    </row>
    <row r="331" spans="12:13" s="360" customFormat="1" x14ac:dyDescent="0.15">
      <c r="L331" s="370"/>
      <c r="M331" s="363"/>
    </row>
    <row r="332" spans="12:13" s="360" customFormat="1" x14ac:dyDescent="0.15">
      <c r="L332" s="370"/>
      <c r="M332" s="363"/>
    </row>
    <row r="333" spans="12:13" s="360" customFormat="1" x14ac:dyDescent="0.15">
      <c r="L333" s="370"/>
      <c r="M333" s="363"/>
    </row>
    <row r="334" spans="12:13" s="360" customFormat="1" x14ac:dyDescent="0.15">
      <c r="L334" s="370"/>
      <c r="M334" s="363"/>
    </row>
    <row r="335" spans="12:13" s="360" customFormat="1" x14ac:dyDescent="0.15">
      <c r="L335" s="370"/>
      <c r="M335" s="363"/>
    </row>
    <row r="336" spans="12:13" s="360" customFormat="1" x14ac:dyDescent="0.15">
      <c r="L336" s="370"/>
      <c r="M336" s="363"/>
    </row>
    <row r="337" spans="12:13" s="360" customFormat="1" x14ac:dyDescent="0.15">
      <c r="L337" s="370"/>
      <c r="M337" s="363"/>
    </row>
    <row r="338" spans="12:13" s="360" customFormat="1" x14ac:dyDescent="0.15">
      <c r="L338" s="370"/>
      <c r="M338" s="363"/>
    </row>
    <row r="339" spans="12:13" s="360" customFormat="1" x14ac:dyDescent="0.15">
      <c r="L339" s="370"/>
      <c r="M339" s="363"/>
    </row>
    <row r="340" spans="12:13" s="360" customFormat="1" x14ac:dyDescent="0.15">
      <c r="L340" s="370"/>
      <c r="M340" s="363"/>
    </row>
    <row r="341" spans="12:13" s="360" customFormat="1" x14ac:dyDescent="0.15">
      <c r="L341" s="370"/>
      <c r="M341" s="363"/>
    </row>
    <row r="342" spans="12:13" s="360" customFormat="1" x14ac:dyDescent="0.15">
      <c r="L342" s="370"/>
      <c r="M342" s="363"/>
    </row>
    <row r="343" spans="12:13" s="360" customFormat="1" x14ac:dyDescent="0.15">
      <c r="L343" s="370"/>
      <c r="M343" s="363"/>
    </row>
    <row r="344" spans="12:13" s="360" customFormat="1" x14ac:dyDescent="0.15">
      <c r="L344" s="370"/>
      <c r="M344" s="363"/>
    </row>
    <row r="345" spans="12:13" s="360" customFormat="1" x14ac:dyDescent="0.15">
      <c r="L345" s="370"/>
      <c r="M345" s="363"/>
    </row>
    <row r="346" spans="12:13" s="360" customFormat="1" x14ac:dyDescent="0.15">
      <c r="L346" s="370"/>
      <c r="M346" s="363"/>
    </row>
    <row r="347" spans="12:13" s="360" customFormat="1" x14ac:dyDescent="0.15">
      <c r="L347" s="370"/>
      <c r="M347" s="363"/>
    </row>
    <row r="348" spans="12:13" s="360" customFormat="1" x14ac:dyDescent="0.15">
      <c r="L348" s="370"/>
      <c r="M348" s="363"/>
    </row>
    <row r="349" spans="12:13" s="360" customFormat="1" x14ac:dyDescent="0.15">
      <c r="L349" s="370"/>
      <c r="M349" s="363"/>
    </row>
    <row r="350" spans="12:13" s="360" customFormat="1" x14ac:dyDescent="0.15">
      <c r="L350" s="370"/>
      <c r="M350" s="363"/>
    </row>
    <row r="351" spans="12:13" s="360" customFormat="1" x14ac:dyDescent="0.15">
      <c r="L351" s="370"/>
      <c r="M351" s="363"/>
    </row>
    <row r="352" spans="12:13" s="360" customFormat="1" x14ac:dyDescent="0.15">
      <c r="L352" s="370"/>
      <c r="M352" s="363"/>
    </row>
    <row r="353" spans="12:13" s="360" customFormat="1" x14ac:dyDescent="0.15">
      <c r="L353" s="370"/>
      <c r="M353" s="363"/>
    </row>
    <row r="354" spans="12:13" s="360" customFormat="1" x14ac:dyDescent="0.15">
      <c r="L354" s="370"/>
      <c r="M354" s="363"/>
    </row>
    <row r="355" spans="12:13" s="360" customFormat="1" x14ac:dyDescent="0.15">
      <c r="L355" s="370"/>
      <c r="M355" s="363"/>
    </row>
    <row r="356" spans="12:13" s="360" customFormat="1" x14ac:dyDescent="0.15">
      <c r="L356" s="370"/>
      <c r="M356" s="363"/>
    </row>
    <row r="357" spans="12:13" s="360" customFormat="1" x14ac:dyDescent="0.15">
      <c r="L357" s="370"/>
      <c r="M357" s="363"/>
    </row>
    <row r="358" spans="12:13" s="360" customFormat="1" x14ac:dyDescent="0.15">
      <c r="L358" s="370"/>
      <c r="M358" s="363"/>
    </row>
    <row r="359" spans="12:13" s="360" customFormat="1" x14ac:dyDescent="0.15">
      <c r="L359" s="370"/>
      <c r="M359" s="363"/>
    </row>
    <row r="360" spans="12:13" s="360" customFormat="1" x14ac:dyDescent="0.15">
      <c r="L360" s="370"/>
      <c r="M360" s="363"/>
    </row>
    <row r="361" spans="12:13" s="360" customFormat="1" x14ac:dyDescent="0.15">
      <c r="L361" s="370"/>
      <c r="M361" s="363"/>
    </row>
    <row r="362" spans="12:13" s="360" customFormat="1" x14ac:dyDescent="0.15">
      <c r="L362" s="370"/>
      <c r="M362" s="363"/>
    </row>
    <row r="363" spans="12:13" s="360" customFormat="1" x14ac:dyDescent="0.15">
      <c r="L363" s="370"/>
      <c r="M363" s="363"/>
    </row>
    <row r="364" spans="12:13" s="360" customFormat="1" x14ac:dyDescent="0.15">
      <c r="L364" s="370"/>
      <c r="M364" s="363"/>
    </row>
    <row r="365" spans="12:13" s="360" customFormat="1" x14ac:dyDescent="0.15">
      <c r="L365" s="370"/>
      <c r="M365" s="363"/>
    </row>
    <row r="366" spans="12:13" s="360" customFormat="1" x14ac:dyDescent="0.15">
      <c r="L366" s="370"/>
      <c r="M366" s="363"/>
    </row>
    <row r="367" spans="12:13" s="360" customFormat="1" x14ac:dyDescent="0.15">
      <c r="L367" s="370"/>
      <c r="M367" s="363"/>
    </row>
    <row r="368" spans="12:13" s="360" customFormat="1" x14ac:dyDescent="0.15">
      <c r="L368" s="370"/>
      <c r="M368" s="363"/>
    </row>
    <row r="369" spans="12:13" s="360" customFormat="1" x14ac:dyDescent="0.15">
      <c r="L369" s="370"/>
      <c r="M369" s="363"/>
    </row>
    <row r="370" spans="12:13" s="360" customFormat="1" x14ac:dyDescent="0.15">
      <c r="L370" s="370"/>
      <c r="M370" s="363"/>
    </row>
    <row r="371" spans="12:13" s="360" customFormat="1" x14ac:dyDescent="0.15">
      <c r="L371" s="370"/>
      <c r="M371" s="363"/>
    </row>
    <row r="372" spans="12:13" s="360" customFormat="1" x14ac:dyDescent="0.15">
      <c r="L372" s="370"/>
      <c r="M372" s="363"/>
    </row>
    <row r="373" spans="12:13" s="360" customFormat="1" x14ac:dyDescent="0.15">
      <c r="L373" s="370"/>
      <c r="M373" s="363"/>
    </row>
    <row r="374" spans="12:13" s="360" customFormat="1" x14ac:dyDescent="0.15">
      <c r="L374" s="370"/>
      <c r="M374" s="363"/>
    </row>
    <row r="375" spans="12:13" s="360" customFormat="1" x14ac:dyDescent="0.15">
      <c r="L375" s="370"/>
      <c r="M375" s="363"/>
    </row>
    <row r="376" spans="12:13" s="360" customFormat="1" x14ac:dyDescent="0.15">
      <c r="L376" s="370"/>
      <c r="M376" s="363"/>
    </row>
    <row r="377" spans="12:13" s="360" customFormat="1" x14ac:dyDescent="0.15">
      <c r="L377" s="370"/>
      <c r="M377" s="363"/>
    </row>
    <row r="378" spans="12:13" s="360" customFormat="1" x14ac:dyDescent="0.15">
      <c r="L378" s="370"/>
      <c r="M378" s="363"/>
    </row>
    <row r="379" spans="12:13" s="360" customFormat="1" x14ac:dyDescent="0.15">
      <c r="L379" s="370"/>
      <c r="M379" s="363"/>
    </row>
    <row r="380" spans="12:13" s="360" customFormat="1" x14ac:dyDescent="0.15">
      <c r="L380" s="370"/>
      <c r="M380" s="363"/>
    </row>
    <row r="381" spans="12:13" s="360" customFormat="1" x14ac:dyDescent="0.15">
      <c r="L381" s="370"/>
      <c r="M381" s="363"/>
    </row>
    <row r="382" spans="12:13" s="360" customFormat="1" x14ac:dyDescent="0.15">
      <c r="L382" s="370"/>
      <c r="M382" s="363"/>
    </row>
    <row r="383" spans="12:13" s="360" customFormat="1" x14ac:dyDescent="0.15">
      <c r="L383" s="370"/>
      <c r="M383" s="363"/>
    </row>
    <row r="384" spans="12:13" s="360" customFormat="1" x14ac:dyDescent="0.15">
      <c r="L384" s="370"/>
      <c r="M384" s="363"/>
    </row>
    <row r="385" spans="12:13" s="360" customFormat="1" x14ac:dyDescent="0.15">
      <c r="L385" s="370"/>
      <c r="M385" s="363"/>
    </row>
    <row r="386" spans="12:13" s="360" customFormat="1" x14ac:dyDescent="0.15">
      <c r="L386" s="370"/>
      <c r="M386" s="363"/>
    </row>
    <row r="387" spans="12:13" s="360" customFormat="1" x14ac:dyDescent="0.15">
      <c r="L387" s="370"/>
      <c r="M387" s="363"/>
    </row>
    <row r="388" spans="12:13" s="360" customFormat="1" x14ac:dyDescent="0.15">
      <c r="L388" s="370"/>
      <c r="M388" s="363"/>
    </row>
    <row r="389" spans="12:13" s="360" customFormat="1" x14ac:dyDescent="0.15">
      <c r="L389" s="370"/>
      <c r="M389" s="363"/>
    </row>
    <row r="390" spans="12:13" s="360" customFormat="1" x14ac:dyDescent="0.15">
      <c r="L390" s="370"/>
      <c r="M390" s="363"/>
    </row>
    <row r="391" spans="12:13" s="360" customFormat="1" x14ac:dyDescent="0.15">
      <c r="L391" s="370"/>
      <c r="M391" s="363"/>
    </row>
    <row r="392" spans="12:13" s="360" customFormat="1" x14ac:dyDescent="0.15">
      <c r="L392" s="370"/>
      <c r="M392" s="363"/>
    </row>
    <row r="393" spans="12:13" s="360" customFormat="1" x14ac:dyDescent="0.15">
      <c r="L393" s="370"/>
      <c r="M393" s="363"/>
    </row>
    <row r="394" spans="12:13" s="360" customFormat="1" x14ac:dyDescent="0.15">
      <c r="L394" s="370"/>
      <c r="M394" s="363"/>
    </row>
    <row r="395" spans="12:13" s="360" customFormat="1" x14ac:dyDescent="0.15">
      <c r="L395" s="370"/>
      <c r="M395" s="363"/>
    </row>
    <row r="396" spans="12:13" s="360" customFormat="1" x14ac:dyDescent="0.15">
      <c r="L396" s="370"/>
      <c r="M396" s="363"/>
    </row>
    <row r="397" spans="12:13" s="360" customFormat="1" x14ac:dyDescent="0.15">
      <c r="L397" s="370"/>
      <c r="M397" s="363"/>
    </row>
    <row r="398" spans="12:13" s="360" customFormat="1" x14ac:dyDescent="0.15">
      <c r="L398" s="370"/>
      <c r="M398" s="363"/>
    </row>
    <row r="399" spans="12:13" s="360" customFormat="1" x14ac:dyDescent="0.15">
      <c r="L399" s="370"/>
      <c r="M399" s="363"/>
    </row>
    <row r="400" spans="12:13" s="360" customFormat="1" x14ac:dyDescent="0.15">
      <c r="L400" s="370"/>
      <c r="M400" s="363"/>
    </row>
    <row r="401" spans="12:13" s="360" customFormat="1" x14ac:dyDescent="0.15">
      <c r="L401" s="370"/>
      <c r="M401" s="363"/>
    </row>
    <row r="402" spans="12:13" s="360" customFormat="1" x14ac:dyDescent="0.15">
      <c r="L402" s="370"/>
      <c r="M402" s="363"/>
    </row>
    <row r="403" spans="12:13" s="360" customFormat="1" x14ac:dyDescent="0.15">
      <c r="L403" s="370"/>
      <c r="M403" s="363"/>
    </row>
    <row r="404" spans="12:13" s="360" customFormat="1" x14ac:dyDescent="0.15">
      <c r="L404" s="370"/>
      <c r="M404" s="363"/>
    </row>
    <row r="405" spans="12:13" s="360" customFormat="1" x14ac:dyDescent="0.15">
      <c r="L405" s="370"/>
      <c r="M405" s="363"/>
    </row>
    <row r="406" spans="12:13" s="360" customFormat="1" x14ac:dyDescent="0.15">
      <c r="L406" s="370"/>
      <c r="M406" s="363"/>
    </row>
    <row r="407" spans="12:13" s="360" customFormat="1" x14ac:dyDescent="0.15">
      <c r="L407" s="370"/>
      <c r="M407" s="363"/>
    </row>
    <row r="408" spans="12:13" s="360" customFormat="1" x14ac:dyDescent="0.15">
      <c r="L408" s="370"/>
      <c r="M408" s="363"/>
    </row>
    <row r="409" spans="12:13" s="360" customFormat="1" x14ac:dyDescent="0.15">
      <c r="L409" s="370"/>
      <c r="M409" s="363"/>
    </row>
    <row r="410" spans="12:13" s="360" customFormat="1" x14ac:dyDescent="0.15">
      <c r="L410" s="370"/>
      <c r="M410" s="363"/>
    </row>
    <row r="411" spans="12:13" s="360" customFormat="1" x14ac:dyDescent="0.15">
      <c r="L411" s="370"/>
      <c r="M411" s="363"/>
    </row>
    <row r="412" spans="12:13" s="360" customFormat="1" x14ac:dyDescent="0.15">
      <c r="L412" s="370"/>
      <c r="M412" s="363"/>
    </row>
    <row r="413" spans="12:13" s="360" customFormat="1" x14ac:dyDescent="0.15">
      <c r="L413" s="370"/>
      <c r="M413" s="363"/>
    </row>
    <row r="414" spans="12:13" s="360" customFormat="1" x14ac:dyDescent="0.15">
      <c r="L414" s="370"/>
      <c r="M414" s="363"/>
    </row>
    <row r="415" spans="12:13" s="360" customFormat="1" x14ac:dyDescent="0.15">
      <c r="L415" s="370"/>
      <c r="M415" s="363"/>
    </row>
    <row r="416" spans="12:13" s="360" customFormat="1" x14ac:dyDescent="0.15">
      <c r="L416" s="370"/>
      <c r="M416" s="363"/>
    </row>
    <row r="417" spans="12:13" s="360" customFormat="1" x14ac:dyDescent="0.15">
      <c r="L417" s="370"/>
      <c r="M417" s="363"/>
    </row>
    <row r="418" spans="12:13" s="360" customFormat="1" x14ac:dyDescent="0.15">
      <c r="L418" s="370"/>
      <c r="M418" s="363"/>
    </row>
    <row r="419" spans="12:13" s="360" customFormat="1" x14ac:dyDescent="0.15">
      <c r="L419" s="370"/>
      <c r="M419" s="363"/>
    </row>
    <row r="420" spans="12:13" s="360" customFormat="1" x14ac:dyDescent="0.15">
      <c r="L420" s="370"/>
      <c r="M420" s="363"/>
    </row>
    <row r="421" spans="12:13" s="360" customFormat="1" x14ac:dyDescent="0.15">
      <c r="L421" s="370"/>
      <c r="M421" s="363"/>
    </row>
    <row r="422" spans="12:13" s="360" customFormat="1" x14ac:dyDescent="0.15">
      <c r="L422" s="370"/>
      <c r="M422" s="363"/>
    </row>
    <row r="423" spans="12:13" s="360" customFormat="1" x14ac:dyDescent="0.15">
      <c r="L423" s="370"/>
      <c r="M423" s="363"/>
    </row>
    <row r="424" spans="12:13" s="360" customFormat="1" x14ac:dyDescent="0.15">
      <c r="L424" s="370"/>
      <c r="M424" s="363"/>
    </row>
    <row r="425" spans="12:13" s="360" customFormat="1" x14ac:dyDescent="0.15">
      <c r="L425" s="370"/>
      <c r="M425" s="363"/>
    </row>
    <row r="426" spans="12:13" s="360" customFormat="1" x14ac:dyDescent="0.15">
      <c r="L426" s="370"/>
      <c r="M426" s="363"/>
    </row>
    <row r="427" spans="12:13" s="360" customFormat="1" x14ac:dyDescent="0.15">
      <c r="L427" s="370"/>
      <c r="M427" s="363"/>
    </row>
    <row r="428" spans="12:13" s="360" customFormat="1" x14ac:dyDescent="0.15">
      <c r="L428" s="370"/>
      <c r="M428" s="363"/>
    </row>
    <row r="429" spans="12:13" s="360" customFormat="1" x14ac:dyDescent="0.15">
      <c r="L429" s="370"/>
      <c r="M429" s="363"/>
    </row>
    <row r="430" spans="12:13" s="360" customFormat="1" x14ac:dyDescent="0.15">
      <c r="L430" s="370"/>
      <c r="M430" s="363"/>
    </row>
    <row r="431" spans="12:13" s="360" customFormat="1" x14ac:dyDescent="0.15">
      <c r="L431" s="370"/>
      <c r="M431" s="363"/>
    </row>
    <row r="432" spans="12:13" s="360" customFormat="1" x14ac:dyDescent="0.15">
      <c r="L432" s="370"/>
      <c r="M432" s="363"/>
    </row>
    <row r="433" spans="12:13" s="360" customFormat="1" x14ac:dyDescent="0.15">
      <c r="L433" s="370"/>
      <c r="M433" s="363"/>
    </row>
    <row r="434" spans="12:13" s="360" customFormat="1" x14ac:dyDescent="0.15">
      <c r="L434" s="370"/>
      <c r="M434" s="363"/>
    </row>
    <row r="435" spans="12:13" s="360" customFormat="1" x14ac:dyDescent="0.15">
      <c r="L435" s="370"/>
      <c r="M435" s="363"/>
    </row>
    <row r="436" spans="12:13" s="360" customFormat="1" x14ac:dyDescent="0.15">
      <c r="L436" s="370"/>
      <c r="M436" s="363"/>
    </row>
    <row r="437" spans="12:13" s="360" customFormat="1" x14ac:dyDescent="0.15">
      <c r="L437" s="370"/>
      <c r="M437" s="363"/>
    </row>
    <row r="438" spans="12:13" s="360" customFormat="1" x14ac:dyDescent="0.15">
      <c r="L438" s="370"/>
      <c r="M438" s="363"/>
    </row>
    <row r="439" spans="12:13" s="360" customFormat="1" x14ac:dyDescent="0.15">
      <c r="L439" s="370"/>
      <c r="M439" s="363"/>
    </row>
    <row r="440" spans="12:13" s="360" customFormat="1" x14ac:dyDescent="0.15">
      <c r="L440" s="370"/>
      <c r="M440" s="363"/>
    </row>
    <row r="441" spans="12:13" s="360" customFormat="1" x14ac:dyDescent="0.15">
      <c r="L441" s="370"/>
      <c r="M441" s="363"/>
    </row>
    <row r="442" spans="12:13" s="360" customFormat="1" x14ac:dyDescent="0.15">
      <c r="L442" s="370"/>
      <c r="M442" s="363"/>
    </row>
    <row r="443" spans="12:13" s="360" customFormat="1" x14ac:dyDescent="0.15">
      <c r="L443" s="370"/>
      <c r="M443" s="363"/>
    </row>
    <row r="444" spans="12:13" s="360" customFormat="1" x14ac:dyDescent="0.15">
      <c r="L444" s="370"/>
      <c r="M444" s="363"/>
    </row>
    <row r="445" spans="12:13" s="360" customFormat="1" x14ac:dyDescent="0.15">
      <c r="L445" s="370"/>
      <c r="M445" s="363"/>
    </row>
    <row r="446" spans="12:13" s="360" customFormat="1" x14ac:dyDescent="0.15">
      <c r="L446" s="370"/>
      <c r="M446" s="363"/>
    </row>
    <row r="447" spans="12:13" s="360" customFormat="1" x14ac:dyDescent="0.15">
      <c r="L447" s="370"/>
      <c r="M447" s="363"/>
    </row>
    <row r="448" spans="12:13" s="360" customFormat="1" x14ac:dyDescent="0.15">
      <c r="L448" s="370"/>
      <c r="M448" s="363"/>
    </row>
    <row r="449" spans="12:13" s="360" customFormat="1" x14ac:dyDescent="0.15">
      <c r="L449" s="370"/>
      <c r="M449" s="363"/>
    </row>
    <row r="450" spans="12:13" s="360" customFormat="1" x14ac:dyDescent="0.15">
      <c r="L450" s="370"/>
      <c r="M450" s="363"/>
    </row>
    <row r="451" spans="12:13" s="360" customFormat="1" x14ac:dyDescent="0.15">
      <c r="L451" s="370"/>
      <c r="M451" s="363"/>
    </row>
    <row r="452" spans="12:13" s="360" customFormat="1" x14ac:dyDescent="0.15">
      <c r="L452" s="370"/>
      <c r="M452" s="363"/>
    </row>
    <row r="453" spans="12:13" s="360" customFormat="1" x14ac:dyDescent="0.15">
      <c r="L453" s="370"/>
      <c r="M453" s="363"/>
    </row>
    <row r="454" spans="12:13" s="360" customFormat="1" x14ac:dyDescent="0.15">
      <c r="L454" s="370"/>
      <c r="M454" s="363"/>
    </row>
    <row r="455" spans="12:13" s="360" customFormat="1" x14ac:dyDescent="0.15">
      <c r="L455" s="370"/>
      <c r="M455" s="363"/>
    </row>
    <row r="456" spans="12:13" s="360" customFormat="1" x14ac:dyDescent="0.15">
      <c r="L456" s="370"/>
      <c r="M456" s="363"/>
    </row>
    <row r="457" spans="12:13" s="360" customFormat="1" x14ac:dyDescent="0.15">
      <c r="L457" s="370"/>
      <c r="M457" s="363"/>
    </row>
    <row r="458" spans="12:13" s="360" customFormat="1" x14ac:dyDescent="0.15">
      <c r="L458" s="370"/>
      <c r="M458" s="363"/>
    </row>
    <row r="459" spans="12:13" s="360" customFormat="1" x14ac:dyDescent="0.15">
      <c r="L459" s="370"/>
      <c r="M459" s="363"/>
    </row>
    <row r="460" spans="12:13" s="360" customFormat="1" x14ac:dyDescent="0.15">
      <c r="L460" s="370"/>
      <c r="M460" s="363"/>
    </row>
    <row r="461" spans="12:13" s="360" customFormat="1" x14ac:dyDescent="0.15">
      <c r="L461" s="370"/>
      <c r="M461" s="363"/>
    </row>
    <row r="462" spans="12:13" s="360" customFormat="1" x14ac:dyDescent="0.15">
      <c r="L462" s="370"/>
      <c r="M462" s="363"/>
    </row>
    <row r="463" spans="12:13" s="360" customFormat="1" x14ac:dyDescent="0.15">
      <c r="L463" s="370"/>
      <c r="M463" s="363"/>
    </row>
    <row r="464" spans="12:13" s="360" customFormat="1" x14ac:dyDescent="0.15">
      <c r="L464" s="370"/>
      <c r="M464" s="363"/>
    </row>
    <row r="465" spans="12:13" s="360" customFormat="1" x14ac:dyDescent="0.15">
      <c r="L465" s="370"/>
      <c r="M465" s="363"/>
    </row>
    <row r="466" spans="12:13" s="360" customFormat="1" x14ac:dyDescent="0.15">
      <c r="L466" s="370"/>
      <c r="M466" s="363"/>
    </row>
    <row r="467" spans="12:13" s="360" customFormat="1" x14ac:dyDescent="0.15">
      <c r="L467" s="370"/>
      <c r="M467" s="363"/>
    </row>
    <row r="468" spans="12:13" s="360" customFormat="1" x14ac:dyDescent="0.15">
      <c r="L468" s="370"/>
      <c r="M468" s="363"/>
    </row>
    <row r="469" spans="12:13" s="360" customFormat="1" x14ac:dyDescent="0.15">
      <c r="L469" s="370"/>
      <c r="M469" s="363"/>
    </row>
    <row r="470" spans="12:13" s="360" customFormat="1" x14ac:dyDescent="0.15">
      <c r="L470" s="370"/>
      <c r="M470" s="363"/>
    </row>
    <row r="471" spans="12:13" s="360" customFormat="1" x14ac:dyDescent="0.15">
      <c r="L471" s="370"/>
      <c r="M471" s="363"/>
    </row>
    <row r="472" spans="12:13" s="360" customFormat="1" x14ac:dyDescent="0.15">
      <c r="L472" s="370"/>
      <c r="M472" s="363"/>
    </row>
    <row r="473" spans="12:13" s="360" customFormat="1" x14ac:dyDescent="0.15">
      <c r="L473" s="370"/>
      <c r="M473" s="363"/>
    </row>
    <row r="474" spans="12:13" s="360" customFormat="1" x14ac:dyDescent="0.15">
      <c r="L474" s="370"/>
      <c r="M474" s="363"/>
    </row>
    <row r="475" spans="12:13" s="360" customFormat="1" x14ac:dyDescent="0.15">
      <c r="L475" s="370"/>
      <c r="M475" s="363"/>
    </row>
    <row r="476" spans="12:13" s="360" customFormat="1" x14ac:dyDescent="0.15">
      <c r="L476" s="370"/>
      <c r="M476" s="363"/>
    </row>
    <row r="477" spans="12:13" s="360" customFormat="1" x14ac:dyDescent="0.15">
      <c r="L477" s="370"/>
      <c r="M477" s="363"/>
    </row>
    <row r="478" spans="12:13" s="360" customFormat="1" x14ac:dyDescent="0.15">
      <c r="L478" s="370"/>
      <c r="M478" s="363"/>
    </row>
    <row r="479" spans="12:13" s="360" customFormat="1" x14ac:dyDescent="0.15">
      <c r="L479" s="370"/>
      <c r="M479" s="363"/>
    </row>
    <row r="480" spans="12:13" s="360" customFormat="1" x14ac:dyDescent="0.15">
      <c r="L480" s="370"/>
      <c r="M480" s="363"/>
    </row>
    <row r="481" spans="12:13" s="360" customFormat="1" x14ac:dyDescent="0.15">
      <c r="L481" s="370"/>
      <c r="M481" s="363"/>
    </row>
    <row r="482" spans="12:13" s="360" customFormat="1" x14ac:dyDescent="0.15">
      <c r="L482" s="370"/>
      <c r="M482" s="363"/>
    </row>
    <row r="483" spans="12:13" s="360" customFormat="1" x14ac:dyDescent="0.15">
      <c r="L483" s="370"/>
      <c r="M483" s="363"/>
    </row>
    <row r="484" spans="12:13" s="360" customFormat="1" x14ac:dyDescent="0.15">
      <c r="L484" s="370"/>
      <c r="M484" s="363"/>
    </row>
    <row r="485" spans="12:13" s="360" customFormat="1" x14ac:dyDescent="0.15">
      <c r="L485" s="370"/>
      <c r="M485" s="363"/>
    </row>
    <row r="486" spans="12:13" s="360" customFormat="1" x14ac:dyDescent="0.15">
      <c r="L486" s="370"/>
      <c r="M486" s="363"/>
    </row>
    <row r="487" spans="12:13" s="360" customFormat="1" x14ac:dyDescent="0.15">
      <c r="L487" s="370"/>
      <c r="M487" s="363"/>
    </row>
    <row r="488" spans="12:13" s="360" customFormat="1" x14ac:dyDescent="0.15">
      <c r="L488" s="370"/>
      <c r="M488" s="363"/>
    </row>
    <row r="489" spans="12:13" s="360" customFormat="1" x14ac:dyDescent="0.15">
      <c r="L489" s="370"/>
      <c r="M489" s="363"/>
    </row>
    <row r="490" spans="12:13" s="360" customFormat="1" x14ac:dyDescent="0.15">
      <c r="L490" s="370"/>
      <c r="M490" s="363"/>
    </row>
    <row r="491" spans="12:13" s="360" customFormat="1" x14ac:dyDescent="0.15">
      <c r="L491" s="370"/>
      <c r="M491" s="363"/>
    </row>
    <row r="492" spans="12:13" s="360" customFormat="1" x14ac:dyDescent="0.15">
      <c r="L492" s="370"/>
      <c r="M492" s="363"/>
    </row>
    <row r="493" spans="12:13" s="360" customFormat="1" x14ac:dyDescent="0.15">
      <c r="L493" s="370"/>
      <c r="M493" s="363"/>
    </row>
    <row r="494" spans="12:13" s="360" customFormat="1" x14ac:dyDescent="0.15">
      <c r="L494" s="370"/>
      <c r="M494" s="363"/>
    </row>
    <row r="495" spans="12:13" s="360" customFormat="1" x14ac:dyDescent="0.15">
      <c r="L495" s="370"/>
      <c r="M495" s="363"/>
    </row>
    <row r="496" spans="12:13" s="360" customFormat="1" x14ac:dyDescent="0.15">
      <c r="L496" s="370"/>
      <c r="M496" s="363"/>
    </row>
    <row r="497" spans="12:13" s="360" customFormat="1" x14ac:dyDescent="0.15">
      <c r="L497" s="370"/>
      <c r="M497" s="363"/>
    </row>
    <row r="498" spans="12:13" s="360" customFormat="1" x14ac:dyDescent="0.15">
      <c r="L498" s="370"/>
      <c r="M498" s="363"/>
    </row>
    <row r="499" spans="12:13" s="360" customFormat="1" x14ac:dyDescent="0.15">
      <c r="L499" s="370"/>
      <c r="M499" s="363"/>
    </row>
    <row r="500" spans="12:13" s="360" customFormat="1" x14ac:dyDescent="0.15">
      <c r="L500" s="370"/>
      <c r="M500" s="363"/>
    </row>
    <row r="501" spans="12:13" s="360" customFormat="1" x14ac:dyDescent="0.15">
      <c r="L501" s="370"/>
      <c r="M501" s="363"/>
    </row>
    <row r="502" spans="12:13" s="360" customFormat="1" x14ac:dyDescent="0.15">
      <c r="L502" s="370"/>
      <c r="M502" s="363"/>
    </row>
    <row r="503" spans="12:13" s="360" customFormat="1" x14ac:dyDescent="0.15">
      <c r="L503" s="370"/>
      <c r="M503" s="363"/>
    </row>
    <row r="504" spans="12:13" s="360" customFormat="1" x14ac:dyDescent="0.15">
      <c r="L504" s="370"/>
      <c r="M504" s="363"/>
    </row>
    <row r="505" spans="12:13" s="360" customFormat="1" x14ac:dyDescent="0.15">
      <c r="L505" s="370"/>
      <c r="M505" s="363"/>
    </row>
    <row r="506" spans="12:13" s="360" customFormat="1" x14ac:dyDescent="0.15">
      <c r="L506" s="370"/>
      <c r="M506" s="363"/>
    </row>
    <row r="507" spans="12:13" s="360" customFormat="1" x14ac:dyDescent="0.15">
      <c r="L507" s="370"/>
      <c r="M507" s="363"/>
    </row>
    <row r="508" spans="12:13" s="360" customFormat="1" x14ac:dyDescent="0.15">
      <c r="L508" s="370"/>
      <c r="M508" s="363"/>
    </row>
    <row r="509" spans="12:13" s="360" customFormat="1" x14ac:dyDescent="0.15">
      <c r="L509" s="370"/>
      <c r="M509" s="363"/>
    </row>
    <row r="510" spans="12:13" s="360" customFormat="1" x14ac:dyDescent="0.15">
      <c r="L510" s="370"/>
      <c r="M510" s="363"/>
    </row>
    <row r="511" spans="12:13" s="360" customFormat="1" x14ac:dyDescent="0.15">
      <c r="L511" s="370"/>
      <c r="M511" s="363"/>
    </row>
    <row r="512" spans="12:13" s="360" customFormat="1" x14ac:dyDescent="0.15">
      <c r="L512" s="370"/>
      <c r="M512" s="363"/>
    </row>
    <row r="513" spans="12:13" s="360" customFormat="1" x14ac:dyDescent="0.15">
      <c r="L513" s="370"/>
      <c r="M513" s="363"/>
    </row>
    <row r="514" spans="12:13" s="360" customFormat="1" x14ac:dyDescent="0.15">
      <c r="L514" s="370"/>
      <c r="M514" s="363"/>
    </row>
    <row r="515" spans="12:13" s="360" customFormat="1" x14ac:dyDescent="0.15">
      <c r="L515" s="370"/>
      <c r="M515" s="363"/>
    </row>
    <row r="516" spans="12:13" s="360" customFormat="1" x14ac:dyDescent="0.15">
      <c r="L516" s="370"/>
      <c r="M516" s="363"/>
    </row>
    <row r="517" spans="12:13" s="360" customFormat="1" x14ac:dyDescent="0.15">
      <c r="L517" s="370"/>
      <c r="M517" s="363"/>
    </row>
    <row r="518" spans="12:13" s="360" customFormat="1" x14ac:dyDescent="0.15">
      <c r="L518" s="370"/>
      <c r="M518" s="363"/>
    </row>
    <row r="519" spans="12:13" s="360" customFormat="1" x14ac:dyDescent="0.15">
      <c r="L519" s="370"/>
      <c r="M519" s="363"/>
    </row>
    <row r="520" spans="12:13" s="360" customFormat="1" x14ac:dyDescent="0.15">
      <c r="L520" s="370"/>
      <c r="M520" s="363"/>
    </row>
    <row r="521" spans="12:13" s="360" customFormat="1" x14ac:dyDescent="0.15">
      <c r="L521" s="370"/>
      <c r="M521" s="363"/>
    </row>
    <row r="522" spans="12:13" s="360" customFormat="1" x14ac:dyDescent="0.15">
      <c r="L522" s="370"/>
      <c r="M522" s="363"/>
    </row>
    <row r="523" spans="12:13" s="360" customFormat="1" x14ac:dyDescent="0.15">
      <c r="L523" s="370"/>
      <c r="M523" s="363"/>
    </row>
    <row r="524" spans="12:13" s="360" customFormat="1" x14ac:dyDescent="0.15">
      <c r="L524" s="370"/>
      <c r="M524" s="363"/>
    </row>
    <row r="525" spans="12:13" s="360" customFormat="1" x14ac:dyDescent="0.15">
      <c r="L525" s="370"/>
      <c r="M525" s="363"/>
    </row>
    <row r="526" spans="12:13" s="360" customFormat="1" x14ac:dyDescent="0.15">
      <c r="L526" s="370"/>
      <c r="M526" s="363"/>
    </row>
    <row r="527" spans="12:13" s="360" customFormat="1" x14ac:dyDescent="0.15">
      <c r="L527" s="370"/>
      <c r="M527" s="363"/>
    </row>
    <row r="528" spans="12:13" s="360" customFormat="1" x14ac:dyDescent="0.15">
      <c r="L528" s="370"/>
      <c r="M528" s="363"/>
    </row>
    <row r="529" spans="12:13" s="360" customFormat="1" x14ac:dyDescent="0.15">
      <c r="L529" s="370"/>
      <c r="M529" s="363"/>
    </row>
    <row r="530" spans="12:13" s="360" customFormat="1" x14ac:dyDescent="0.15">
      <c r="L530" s="370"/>
      <c r="M530" s="363"/>
    </row>
    <row r="531" spans="12:13" s="360" customFormat="1" x14ac:dyDescent="0.15">
      <c r="L531" s="370"/>
      <c r="M531" s="363"/>
    </row>
    <row r="532" spans="12:13" s="360" customFormat="1" x14ac:dyDescent="0.15">
      <c r="L532" s="370"/>
      <c r="M532" s="363"/>
    </row>
    <row r="533" spans="12:13" s="360" customFormat="1" x14ac:dyDescent="0.15">
      <c r="L533" s="370"/>
      <c r="M533" s="363"/>
    </row>
    <row r="534" spans="12:13" s="360" customFormat="1" x14ac:dyDescent="0.15">
      <c r="L534" s="370"/>
      <c r="M534" s="363"/>
    </row>
    <row r="535" spans="12:13" s="360" customFormat="1" x14ac:dyDescent="0.15">
      <c r="L535" s="370"/>
      <c r="M535" s="363"/>
    </row>
    <row r="536" spans="12:13" s="360" customFormat="1" x14ac:dyDescent="0.15">
      <c r="L536" s="370"/>
      <c r="M536" s="363"/>
    </row>
    <row r="537" spans="12:13" s="360" customFormat="1" x14ac:dyDescent="0.15">
      <c r="L537" s="370"/>
      <c r="M537" s="363"/>
    </row>
    <row r="538" spans="12:13" s="360" customFormat="1" x14ac:dyDescent="0.15">
      <c r="L538" s="370"/>
      <c r="M538" s="363"/>
    </row>
    <row r="539" spans="12:13" s="360" customFormat="1" x14ac:dyDescent="0.15">
      <c r="L539" s="370"/>
      <c r="M539" s="363"/>
    </row>
    <row r="540" spans="12:13" s="360" customFormat="1" x14ac:dyDescent="0.15">
      <c r="L540" s="370"/>
      <c r="M540" s="363"/>
    </row>
    <row r="541" spans="12:13" s="360" customFormat="1" x14ac:dyDescent="0.15">
      <c r="L541" s="370"/>
      <c r="M541" s="363"/>
    </row>
    <row r="542" spans="12:13" s="360" customFormat="1" x14ac:dyDescent="0.15">
      <c r="L542" s="370"/>
      <c r="M542" s="363"/>
    </row>
    <row r="543" spans="12:13" s="360" customFormat="1" x14ac:dyDescent="0.15">
      <c r="L543" s="370"/>
      <c r="M543" s="363"/>
    </row>
    <row r="544" spans="12:13" s="360" customFormat="1" x14ac:dyDescent="0.15">
      <c r="L544" s="370"/>
      <c r="M544" s="363"/>
    </row>
    <row r="545" spans="12:13" s="360" customFormat="1" x14ac:dyDescent="0.15">
      <c r="L545" s="370"/>
      <c r="M545" s="363"/>
    </row>
    <row r="546" spans="12:13" s="360" customFormat="1" x14ac:dyDescent="0.15">
      <c r="L546" s="370"/>
      <c r="M546" s="363"/>
    </row>
    <row r="547" spans="12:13" s="360" customFormat="1" x14ac:dyDescent="0.15">
      <c r="L547" s="370"/>
      <c r="M547" s="363"/>
    </row>
    <row r="548" spans="12:13" s="360" customFormat="1" x14ac:dyDescent="0.15">
      <c r="L548" s="370"/>
      <c r="M548" s="363"/>
    </row>
    <row r="549" spans="12:13" s="360" customFormat="1" x14ac:dyDescent="0.15">
      <c r="L549" s="370"/>
      <c r="M549" s="363"/>
    </row>
    <row r="550" spans="12:13" s="360" customFormat="1" x14ac:dyDescent="0.15">
      <c r="L550" s="370"/>
      <c r="M550" s="363"/>
    </row>
    <row r="551" spans="12:13" s="360" customFormat="1" x14ac:dyDescent="0.15">
      <c r="L551" s="370"/>
      <c r="M551" s="363"/>
    </row>
    <row r="552" spans="12:13" s="360" customFormat="1" x14ac:dyDescent="0.15">
      <c r="L552" s="370"/>
      <c r="M552" s="363"/>
    </row>
    <row r="553" spans="12:13" s="360" customFormat="1" x14ac:dyDescent="0.15">
      <c r="L553" s="370"/>
      <c r="M553" s="363"/>
    </row>
    <row r="554" spans="12:13" s="360" customFormat="1" x14ac:dyDescent="0.15">
      <c r="L554" s="370"/>
      <c r="M554" s="363"/>
    </row>
    <row r="555" spans="12:13" s="360" customFormat="1" x14ac:dyDescent="0.15">
      <c r="L555" s="370"/>
      <c r="M555" s="363"/>
    </row>
    <row r="556" spans="12:13" s="360" customFormat="1" x14ac:dyDescent="0.15">
      <c r="L556" s="370"/>
      <c r="M556" s="363"/>
    </row>
    <row r="557" spans="12:13" s="360" customFormat="1" x14ac:dyDescent="0.15">
      <c r="L557" s="370"/>
      <c r="M557" s="363"/>
    </row>
    <row r="558" spans="12:13" s="360" customFormat="1" x14ac:dyDescent="0.15">
      <c r="L558" s="370"/>
      <c r="M558" s="363"/>
    </row>
    <row r="559" spans="12:13" s="360" customFormat="1" x14ac:dyDescent="0.15">
      <c r="L559" s="370"/>
      <c r="M559" s="363"/>
    </row>
    <row r="560" spans="12:13" s="360" customFormat="1" x14ac:dyDescent="0.15">
      <c r="L560" s="370"/>
      <c r="M560" s="363"/>
    </row>
    <row r="561" spans="12:13" s="360" customFormat="1" x14ac:dyDescent="0.15">
      <c r="L561" s="370"/>
      <c r="M561" s="363"/>
    </row>
    <row r="562" spans="12:13" s="360" customFormat="1" x14ac:dyDescent="0.15">
      <c r="L562" s="370"/>
      <c r="M562" s="363"/>
    </row>
    <row r="563" spans="12:13" s="360" customFormat="1" x14ac:dyDescent="0.15">
      <c r="L563" s="370"/>
      <c r="M563" s="363"/>
    </row>
    <row r="564" spans="12:13" s="360" customFormat="1" x14ac:dyDescent="0.15">
      <c r="L564" s="370"/>
      <c r="M564" s="363"/>
    </row>
    <row r="565" spans="12:13" s="360" customFormat="1" x14ac:dyDescent="0.15">
      <c r="L565" s="370"/>
      <c r="M565" s="363"/>
    </row>
    <row r="566" spans="12:13" s="360" customFormat="1" x14ac:dyDescent="0.15">
      <c r="L566" s="370"/>
      <c r="M566" s="363"/>
    </row>
    <row r="567" spans="12:13" s="360" customFormat="1" x14ac:dyDescent="0.15">
      <c r="L567" s="370"/>
      <c r="M567" s="363"/>
    </row>
    <row r="568" spans="12:13" s="360" customFormat="1" x14ac:dyDescent="0.15">
      <c r="L568" s="370"/>
      <c r="M568" s="363"/>
    </row>
    <row r="569" spans="12:13" s="360" customFormat="1" x14ac:dyDescent="0.15">
      <c r="L569" s="370"/>
      <c r="M569" s="363"/>
    </row>
    <row r="570" spans="12:13" s="360" customFormat="1" x14ac:dyDescent="0.15">
      <c r="L570" s="370"/>
      <c r="M570" s="363"/>
    </row>
    <row r="571" spans="12:13" s="360" customFormat="1" x14ac:dyDescent="0.15">
      <c r="L571" s="370"/>
      <c r="M571" s="363"/>
    </row>
    <row r="572" spans="12:13" s="360" customFormat="1" x14ac:dyDescent="0.15">
      <c r="L572" s="370"/>
      <c r="M572" s="363"/>
    </row>
    <row r="573" spans="12:13" s="360" customFormat="1" x14ac:dyDescent="0.15">
      <c r="L573" s="370"/>
      <c r="M573" s="363"/>
    </row>
    <row r="574" spans="12:13" s="360" customFormat="1" x14ac:dyDescent="0.15">
      <c r="L574" s="370"/>
      <c r="M574" s="363"/>
    </row>
    <row r="575" spans="12:13" s="360" customFormat="1" x14ac:dyDescent="0.15">
      <c r="L575" s="370"/>
      <c r="M575" s="363"/>
    </row>
    <row r="576" spans="12:13" s="360" customFormat="1" x14ac:dyDescent="0.15">
      <c r="L576" s="370"/>
      <c r="M576" s="363"/>
    </row>
    <row r="577" spans="12:13" s="360" customFormat="1" x14ac:dyDescent="0.15">
      <c r="L577" s="370"/>
      <c r="M577" s="363"/>
    </row>
    <row r="578" spans="12:13" s="360" customFormat="1" x14ac:dyDescent="0.15">
      <c r="L578" s="370"/>
      <c r="M578" s="363"/>
    </row>
    <row r="579" spans="12:13" s="360" customFormat="1" x14ac:dyDescent="0.15">
      <c r="L579" s="370"/>
      <c r="M579" s="363"/>
    </row>
    <row r="580" spans="12:13" s="360" customFormat="1" x14ac:dyDescent="0.15">
      <c r="L580" s="370"/>
      <c r="M580" s="363"/>
    </row>
    <row r="581" spans="12:13" s="360" customFormat="1" x14ac:dyDescent="0.15">
      <c r="L581" s="370"/>
      <c r="M581" s="363"/>
    </row>
    <row r="582" spans="12:13" s="360" customFormat="1" x14ac:dyDescent="0.15">
      <c r="L582" s="370"/>
      <c r="M582" s="363"/>
    </row>
    <row r="583" spans="12:13" s="360" customFormat="1" x14ac:dyDescent="0.15">
      <c r="L583" s="370"/>
      <c r="M583" s="363"/>
    </row>
    <row r="584" spans="12:13" s="360" customFormat="1" x14ac:dyDescent="0.15">
      <c r="L584" s="370"/>
      <c r="M584" s="363"/>
    </row>
    <row r="585" spans="12:13" s="360" customFormat="1" x14ac:dyDescent="0.15">
      <c r="L585" s="370"/>
      <c r="M585" s="363"/>
    </row>
    <row r="586" spans="12:13" s="360" customFormat="1" x14ac:dyDescent="0.15">
      <c r="L586" s="370"/>
      <c r="M586" s="363"/>
    </row>
    <row r="587" spans="12:13" s="360" customFormat="1" x14ac:dyDescent="0.15">
      <c r="L587" s="370"/>
      <c r="M587" s="363"/>
    </row>
    <row r="588" spans="12:13" s="360" customFormat="1" x14ac:dyDescent="0.15">
      <c r="L588" s="370"/>
      <c r="M588" s="363"/>
    </row>
    <row r="589" spans="12:13" s="360" customFormat="1" x14ac:dyDescent="0.15">
      <c r="L589" s="370"/>
      <c r="M589" s="363"/>
    </row>
    <row r="590" spans="12:13" s="360" customFormat="1" x14ac:dyDescent="0.15">
      <c r="L590" s="370"/>
      <c r="M590" s="363"/>
    </row>
    <row r="591" spans="12:13" s="360" customFormat="1" x14ac:dyDescent="0.15">
      <c r="L591" s="370"/>
      <c r="M591" s="363"/>
    </row>
    <row r="592" spans="12:13" s="360" customFormat="1" x14ac:dyDescent="0.15">
      <c r="L592" s="370"/>
      <c r="M592" s="363"/>
    </row>
    <row r="593" spans="12:13" s="360" customFormat="1" x14ac:dyDescent="0.15">
      <c r="L593" s="370"/>
      <c r="M593" s="363"/>
    </row>
    <row r="594" spans="12:13" s="360" customFormat="1" x14ac:dyDescent="0.15">
      <c r="L594" s="370"/>
      <c r="M594" s="363"/>
    </row>
    <row r="595" spans="12:13" s="360" customFormat="1" x14ac:dyDescent="0.15">
      <c r="L595" s="370"/>
      <c r="M595" s="363"/>
    </row>
    <row r="596" spans="12:13" s="360" customFormat="1" x14ac:dyDescent="0.15">
      <c r="L596" s="370"/>
      <c r="M596" s="363"/>
    </row>
    <row r="597" spans="12:13" s="360" customFormat="1" x14ac:dyDescent="0.15">
      <c r="L597" s="370"/>
      <c r="M597" s="363"/>
    </row>
    <row r="598" spans="12:13" s="360" customFormat="1" x14ac:dyDescent="0.15">
      <c r="L598" s="370"/>
      <c r="M598" s="363"/>
    </row>
    <row r="599" spans="12:13" s="360" customFormat="1" x14ac:dyDescent="0.15">
      <c r="L599" s="370"/>
      <c r="M599" s="363"/>
    </row>
    <row r="600" spans="12:13" s="360" customFormat="1" x14ac:dyDescent="0.15">
      <c r="L600" s="370"/>
      <c r="M600" s="363"/>
    </row>
    <row r="601" spans="12:13" s="360" customFormat="1" x14ac:dyDescent="0.15">
      <c r="L601" s="370"/>
      <c r="M601" s="363"/>
    </row>
    <row r="602" spans="12:13" s="360" customFormat="1" x14ac:dyDescent="0.15">
      <c r="L602" s="370"/>
      <c r="M602" s="363"/>
    </row>
    <row r="603" spans="12:13" s="360" customFormat="1" x14ac:dyDescent="0.15">
      <c r="L603" s="370"/>
      <c r="M603" s="363"/>
    </row>
    <row r="604" spans="12:13" s="360" customFormat="1" x14ac:dyDescent="0.15">
      <c r="L604" s="370"/>
      <c r="M604" s="363"/>
    </row>
    <row r="605" spans="12:13" s="360" customFormat="1" x14ac:dyDescent="0.15">
      <c r="L605" s="370"/>
      <c r="M605" s="363"/>
    </row>
    <row r="606" spans="12:13" s="360" customFormat="1" x14ac:dyDescent="0.15">
      <c r="L606" s="370"/>
      <c r="M606" s="363"/>
    </row>
    <row r="607" spans="12:13" s="360" customFormat="1" x14ac:dyDescent="0.15">
      <c r="L607" s="370"/>
      <c r="M607" s="363"/>
    </row>
    <row r="608" spans="12:13" s="360" customFormat="1" x14ac:dyDescent="0.15">
      <c r="L608" s="370"/>
      <c r="M608" s="363"/>
    </row>
    <row r="609" spans="12:13" s="360" customFormat="1" x14ac:dyDescent="0.15">
      <c r="L609" s="370"/>
      <c r="M609" s="363"/>
    </row>
    <row r="610" spans="12:13" s="360" customFormat="1" x14ac:dyDescent="0.15">
      <c r="L610" s="370"/>
      <c r="M610" s="363"/>
    </row>
    <row r="611" spans="12:13" s="360" customFormat="1" x14ac:dyDescent="0.15">
      <c r="L611" s="370"/>
      <c r="M611" s="363"/>
    </row>
    <row r="612" spans="12:13" s="360" customFormat="1" x14ac:dyDescent="0.15">
      <c r="L612" s="370"/>
      <c r="M612" s="363"/>
    </row>
    <row r="613" spans="12:13" s="360" customFormat="1" x14ac:dyDescent="0.15">
      <c r="L613" s="370"/>
      <c r="M613" s="363"/>
    </row>
    <row r="614" spans="12:13" s="360" customFormat="1" x14ac:dyDescent="0.15">
      <c r="L614" s="370"/>
      <c r="M614" s="363"/>
    </row>
    <row r="615" spans="12:13" s="360" customFormat="1" x14ac:dyDescent="0.15">
      <c r="L615" s="370"/>
      <c r="M615" s="363"/>
    </row>
    <row r="616" spans="12:13" s="360" customFormat="1" x14ac:dyDescent="0.15">
      <c r="L616" s="370"/>
      <c r="M616" s="363"/>
    </row>
    <row r="617" spans="12:13" s="360" customFormat="1" x14ac:dyDescent="0.15">
      <c r="L617" s="370"/>
      <c r="M617" s="363"/>
    </row>
    <row r="618" spans="12:13" s="360" customFormat="1" x14ac:dyDescent="0.15">
      <c r="L618" s="370"/>
      <c r="M618" s="363"/>
    </row>
    <row r="619" spans="12:13" s="360" customFormat="1" x14ac:dyDescent="0.15">
      <c r="L619" s="370"/>
      <c r="M619" s="363"/>
    </row>
    <row r="620" spans="12:13" s="360" customFormat="1" x14ac:dyDescent="0.15">
      <c r="L620" s="370"/>
      <c r="M620" s="363"/>
    </row>
    <row r="621" spans="12:13" s="360" customFormat="1" x14ac:dyDescent="0.15">
      <c r="L621" s="370"/>
      <c r="M621" s="363"/>
    </row>
    <row r="622" spans="12:13" s="360" customFormat="1" x14ac:dyDescent="0.15">
      <c r="L622" s="370"/>
      <c r="M622" s="363"/>
    </row>
    <row r="623" spans="12:13" s="360" customFormat="1" x14ac:dyDescent="0.15">
      <c r="L623" s="370"/>
      <c r="M623" s="363"/>
    </row>
    <row r="624" spans="12:13" s="360" customFormat="1" x14ac:dyDescent="0.15">
      <c r="L624" s="370"/>
      <c r="M624" s="363"/>
    </row>
    <row r="625" spans="12:13" s="360" customFormat="1" x14ac:dyDescent="0.15">
      <c r="L625" s="370"/>
      <c r="M625" s="363"/>
    </row>
    <row r="626" spans="12:13" s="360" customFormat="1" x14ac:dyDescent="0.15">
      <c r="L626" s="370"/>
      <c r="M626" s="363"/>
    </row>
    <row r="627" spans="12:13" s="360" customFormat="1" x14ac:dyDescent="0.15">
      <c r="L627" s="370"/>
      <c r="M627" s="363"/>
    </row>
    <row r="628" spans="12:13" s="360" customFormat="1" x14ac:dyDescent="0.15">
      <c r="L628" s="370"/>
      <c r="M628" s="363"/>
    </row>
    <row r="629" spans="12:13" s="360" customFormat="1" x14ac:dyDescent="0.15">
      <c r="L629" s="370"/>
      <c r="M629" s="363"/>
    </row>
    <row r="630" spans="12:13" s="360" customFormat="1" x14ac:dyDescent="0.15">
      <c r="L630" s="370"/>
      <c r="M630" s="363"/>
    </row>
    <row r="631" spans="12:13" s="360" customFormat="1" x14ac:dyDescent="0.15">
      <c r="L631" s="370"/>
      <c r="M631" s="363"/>
    </row>
    <row r="632" spans="12:13" s="360" customFormat="1" x14ac:dyDescent="0.15">
      <c r="L632" s="370"/>
      <c r="M632" s="363"/>
    </row>
    <row r="633" spans="12:13" s="360" customFormat="1" x14ac:dyDescent="0.15">
      <c r="L633" s="370"/>
      <c r="M633" s="363"/>
    </row>
    <row r="634" spans="12:13" s="360" customFormat="1" x14ac:dyDescent="0.15">
      <c r="L634" s="370"/>
      <c r="M634" s="363"/>
    </row>
    <row r="635" spans="12:13" s="360" customFormat="1" x14ac:dyDescent="0.15">
      <c r="L635" s="370"/>
      <c r="M635" s="363"/>
    </row>
    <row r="636" spans="12:13" s="360" customFormat="1" x14ac:dyDescent="0.15">
      <c r="L636" s="370"/>
      <c r="M636" s="363"/>
    </row>
    <row r="637" spans="12:13" s="360" customFormat="1" x14ac:dyDescent="0.15">
      <c r="L637" s="370"/>
      <c r="M637" s="363"/>
    </row>
    <row r="638" spans="12:13" s="360" customFormat="1" x14ac:dyDescent="0.15">
      <c r="L638" s="370"/>
      <c r="M638" s="363"/>
    </row>
    <row r="639" spans="12:13" s="360" customFormat="1" x14ac:dyDescent="0.15">
      <c r="L639" s="370"/>
      <c r="M639" s="363"/>
    </row>
    <row r="640" spans="12:13" s="360" customFormat="1" x14ac:dyDescent="0.15">
      <c r="L640" s="370"/>
      <c r="M640" s="363"/>
    </row>
    <row r="641" spans="12:13" s="360" customFormat="1" x14ac:dyDescent="0.15">
      <c r="L641" s="370"/>
      <c r="M641" s="363"/>
    </row>
    <row r="642" spans="12:13" s="360" customFormat="1" x14ac:dyDescent="0.15">
      <c r="L642" s="370"/>
      <c r="M642" s="363"/>
    </row>
    <row r="643" spans="12:13" s="360" customFormat="1" x14ac:dyDescent="0.15">
      <c r="L643" s="370"/>
      <c r="M643" s="363"/>
    </row>
    <row r="644" spans="12:13" s="360" customFormat="1" x14ac:dyDescent="0.15">
      <c r="L644" s="370"/>
      <c r="M644" s="363"/>
    </row>
    <row r="645" spans="12:13" s="360" customFormat="1" x14ac:dyDescent="0.15">
      <c r="L645" s="370"/>
      <c r="M645" s="363"/>
    </row>
    <row r="646" spans="12:13" s="360" customFormat="1" x14ac:dyDescent="0.15">
      <c r="L646" s="370"/>
      <c r="M646" s="363"/>
    </row>
    <row r="647" spans="12:13" s="360" customFormat="1" x14ac:dyDescent="0.15">
      <c r="L647" s="370"/>
      <c r="M647" s="363"/>
    </row>
    <row r="648" spans="12:13" s="360" customFormat="1" x14ac:dyDescent="0.15">
      <c r="L648" s="370"/>
      <c r="M648" s="363"/>
    </row>
    <row r="649" spans="12:13" s="360" customFormat="1" x14ac:dyDescent="0.15">
      <c r="L649" s="370"/>
      <c r="M649" s="363"/>
    </row>
    <row r="650" spans="12:13" s="360" customFormat="1" x14ac:dyDescent="0.15">
      <c r="L650" s="370"/>
      <c r="M650" s="363"/>
    </row>
    <row r="651" spans="12:13" s="360" customFormat="1" x14ac:dyDescent="0.15">
      <c r="L651" s="370"/>
      <c r="M651" s="363"/>
    </row>
    <row r="652" spans="12:13" s="360" customFormat="1" x14ac:dyDescent="0.15">
      <c r="L652" s="370"/>
      <c r="M652" s="363"/>
    </row>
    <row r="653" spans="12:13" s="360" customFormat="1" x14ac:dyDescent="0.15">
      <c r="L653" s="370"/>
      <c r="M653" s="363"/>
    </row>
    <row r="654" spans="12:13" s="360" customFormat="1" x14ac:dyDescent="0.15">
      <c r="L654" s="370"/>
      <c r="M654" s="363"/>
    </row>
    <row r="655" spans="12:13" s="360" customFormat="1" x14ac:dyDescent="0.15">
      <c r="L655" s="370"/>
      <c r="M655" s="363"/>
    </row>
    <row r="656" spans="12:13" s="360" customFormat="1" x14ac:dyDescent="0.15">
      <c r="L656" s="370"/>
      <c r="M656" s="363"/>
    </row>
    <row r="657" spans="12:13" s="360" customFormat="1" x14ac:dyDescent="0.15">
      <c r="L657" s="370"/>
      <c r="M657" s="363"/>
    </row>
    <row r="658" spans="12:13" s="360" customFormat="1" x14ac:dyDescent="0.15">
      <c r="L658" s="370"/>
      <c r="M658" s="363"/>
    </row>
    <row r="659" spans="12:13" s="360" customFormat="1" x14ac:dyDescent="0.15">
      <c r="L659" s="370"/>
      <c r="M659" s="363"/>
    </row>
    <row r="660" spans="12:13" s="360" customFormat="1" x14ac:dyDescent="0.15">
      <c r="L660" s="370"/>
      <c r="M660" s="363"/>
    </row>
    <row r="661" spans="12:13" s="360" customFormat="1" x14ac:dyDescent="0.15">
      <c r="L661" s="370"/>
      <c r="M661" s="363"/>
    </row>
    <row r="662" spans="12:13" s="360" customFormat="1" x14ac:dyDescent="0.15">
      <c r="L662" s="370"/>
      <c r="M662" s="363"/>
    </row>
    <row r="663" spans="12:13" s="360" customFormat="1" x14ac:dyDescent="0.15">
      <c r="L663" s="370"/>
      <c r="M663" s="363"/>
    </row>
    <row r="664" spans="12:13" s="360" customFormat="1" x14ac:dyDescent="0.15">
      <c r="L664" s="370"/>
      <c r="M664" s="363"/>
    </row>
    <row r="665" spans="12:13" s="360" customFormat="1" x14ac:dyDescent="0.15">
      <c r="L665" s="370"/>
      <c r="M665" s="363"/>
    </row>
    <row r="666" spans="12:13" s="360" customFormat="1" x14ac:dyDescent="0.15">
      <c r="L666" s="370"/>
      <c r="M666" s="363"/>
    </row>
    <row r="667" spans="12:13" s="360" customFormat="1" x14ac:dyDescent="0.15">
      <c r="L667" s="370"/>
      <c r="M667" s="363"/>
    </row>
    <row r="668" spans="12:13" s="360" customFormat="1" x14ac:dyDescent="0.15">
      <c r="L668" s="370"/>
      <c r="M668" s="363"/>
    </row>
    <row r="669" spans="12:13" s="360" customFormat="1" x14ac:dyDescent="0.15">
      <c r="L669" s="370"/>
      <c r="M669" s="363"/>
    </row>
    <row r="670" spans="12:13" s="360" customFormat="1" x14ac:dyDescent="0.15">
      <c r="L670" s="370"/>
      <c r="M670" s="363"/>
    </row>
    <row r="671" spans="12:13" s="360" customFormat="1" x14ac:dyDescent="0.15">
      <c r="L671" s="370"/>
      <c r="M671" s="363"/>
    </row>
    <row r="672" spans="12:13" s="360" customFormat="1" x14ac:dyDescent="0.15">
      <c r="L672" s="370"/>
      <c r="M672" s="363"/>
    </row>
    <row r="673" spans="12:13" s="360" customFormat="1" x14ac:dyDescent="0.15">
      <c r="L673" s="370"/>
      <c r="M673" s="363"/>
    </row>
    <row r="674" spans="12:13" s="360" customFormat="1" x14ac:dyDescent="0.15">
      <c r="L674" s="370"/>
      <c r="M674" s="363"/>
    </row>
    <row r="675" spans="12:13" s="360" customFormat="1" x14ac:dyDescent="0.15">
      <c r="L675" s="370"/>
      <c r="M675" s="363"/>
    </row>
    <row r="676" spans="12:13" s="360" customFormat="1" x14ac:dyDescent="0.15">
      <c r="L676" s="370"/>
      <c r="M676" s="363"/>
    </row>
    <row r="677" spans="12:13" s="360" customFormat="1" x14ac:dyDescent="0.15">
      <c r="L677" s="370"/>
      <c r="M677" s="363"/>
    </row>
    <row r="678" spans="12:13" s="360" customFormat="1" x14ac:dyDescent="0.15">
      <c r="L678" s="370"/>
      <c r="M678" s="363"/>
    </row>
    <row r="679" spans="12:13" s="360" customFormat="1" x14ac:dyDescent="0.15">
      <c r="L679" s="370"/>
      <c r="M679" s="363"/>
    </row>
    <row r="680" spans="12:13" s="360" customFormat="1" x14ac:dyDescent="0.15">
      <c r="L680" s="370"/>
      <c r="M680" s="363"/>
    </row>
    <row r="681" spans="12:13" s="360" customFormat="1" x14ac:dyDescent="0.15">
      <c r="L681" s="370"/>
      <c r="M681" s="363"/>
    </row>
    <row r="682" spans="12:13" s="360" customFormat="1" x14ac:dyDescent="0.15">
      <c r="L682" s="370"/>
      <c r="M682" s="363"/>
    </row>
    <row r="683" spans="12:13" s="360" customFormat="1" x14ac:dyDescent="0.15">
      <c r="L683" s="370"/>
      <c r="M683" s="363"/>
    </row>
    <row r="684" spans="12:13" s="360" customFormat="1" x14ac:dyDescent="0.15">
      <c r="L684" s="370"/>
      <c r="M684" s="363"/>
    </row>
    <row r="685" spans="12:13" s="360" customFormat="1" x14ac:dyDescent="0.15">
      <c r="L685" s="370"/>
      <c r="M685" s="363"/>
    </row>
    <row r="686" spans="12:13" s="360" customFormat="1" x14ac:dyDescent="0.15">
      <c r="L686" s="370"/>
      <c r="M686" s="363"/>
    </row>
    <row r="687" spans="12:13" s="360" customFormat="1" x14ac:dyDescent="0.15">
      <c r="L687" s="370"/>
      <c r="M687" s="363"/>
    </row>
    <row r="688" spans="12:13" s="360" customFormat="1" x14ac:dyDescent="0.15">
      <c r="L688" s="370"/>
      <c r="M688" s="363"/>
    </row>
    <row r="689" spans="12:13" s="360" customFormat="1" x14ac:dyDescent="0.15">
      <c r="L689" s="370"/>
      <c r="M689" s="363"/>
    </row>
    <row r="690" spans="12:13" s="360" customFormat="1" x14ac:dyDescent="0.15">
      <c r="L690" s="370"/>
      <c r="M690" s="363"/>
    </row>
    <row r="691" spans="12:13" s="360" customFormat="1" x14ac:dyDescent="0.15">
      <c r="L691" s="370"/>
      <c r="M691" s="363"/>
    </row>
    <row r="692" spans="12:13" s="360" customFormat="1" x14ac:dyDescent="0.15">
      <c r="L692" s="370"/>
      <c r="M692" s="363"/>
    </row>
    <row r="693" spans="12:13" s="360" customFormat="1" x14ac:dyDescent="0.15">
      <c r="L693" s="370"/>
      <c r="M693" s="363"/>
    </row>
    <row r="694" spans="12:13" s="360" customFormat="1" x14ac:dyDescent="0.15">
      <c r="L694" s="370"/>
      <c r="M694" s="363"/>
    </row>
    <row r="695" spans="12:13" s="360" customFormat="1" x14ac:dyDescent="0.15">
      <c r="L695" s="370"/>
      <c r="M695" s="363"/>
    </row>
    <row r="696" spans="12:13" s="360" customFormat="1" x14ac:dyDescent="0.15">
      <c r="L696" s="370"/>
      <c r="M696" s="363"/>
    </row>
    <row r="697" spans="12:13" s="360" customFormat="1" x14ac:dyDescent="0.15">
      <c r="L697" s="370"/>
      <c r="M697" s="363"/>
    </row>
    <row r="698" spans="12:13" s="360" customFormat="1" x14ac:dyDescent="0.15">
      <c r="L698" s="370"/>
      <c r="M698" s="363"/>
    </row>
    <row r="699" spans="12:13" s="360" customFormat="1" x14ac:dyDescent="0.15">
      <c r="L699" s="370"/>
      <c r="M699" s="363"/>
    </row>
    <row r="700" spans="12:13" s="360" customFormat="1" x14ac:dyDescent="0.15">
      <c r="L700" s="370"/>
      <c r="M700" s="363"/>
    </row>
    <row r="701" spans="12:13" s="360" customFormat="1" x14ac:dyDescent="0.15">
      <c r="L701" s="370"/>
      <c r="M701" s="363"/>
    </row>
    <row r="702" spans="12:13" s="360" customFormat="1" x14ac:dyDescent="0.15">
      <c r="L702" s="370"/>
      <c r="M702" s="363"/>
    </row>
    <row r="703" spans="12:13" s="360" customFormat="1" x14ac:dyDescent="0.15">
      <c r="L703" s="370"/>
      <c r="M703" s="363"/>
    </row>
    <row r="704" spans="12:13" s="360" customFormat="1" x14ac:dyDescent="0.15">
      <c r="L704" s="370"/>
      <c r="M704" s="363"/>
    </row>
    <row r="705" spans="12:13" s="360" customFormat="1" x14ac:dyDescent="0.15">
      <c r="L705" s="370"/>
      <c r="M705" s="363"/>
    </row>
    <row r="706" spans="12:13" s="360" customFormat="1" x14ac:dyDescent="0.15">
      <c r="L706" s="370"/>
      <c r="M706" s="363"/>
    </row>
    <row r="707" spans="12:13" s="360" customFormat="1" x14ac:dyDescent="0.15">
      <c r="L707" s="370"/>
      <c r="M707" s="363"/>
    </row>
    <row r="708" spans="12:13" s="360" customFormat="1" x14ac:dyDescent="0.15">
      <c r="L708" s="370"/>
      <c r="M708" s="363"/>
    </row>
    <row r="709" spans="12:13" s="360" customFormat="1" x14ac:dyDescent="0.15">
      <c r="L709" s="370"/>
      <c r="M709" s="363"/>
    </row>
    <row r="710" spans="12:13" s="360" customFormat="1" x14ac:dyDescent="0.15">
      <c r="L710" s="370"/>
      <c r="M710" s="363"/>
    </row>
    <row r="711" spans="12:13" s="360" customFormat="1" x14ac:dyDescent="0.15">
      <c r="L711" s="370"/>
      <c r="M711" s="363"/>
    </row>
    <row r="712" spans="12:13" s="360" customFormat="1" x14ac:dyDescent="0.15">
      <c r="L712" s="370"/>
      <c r="M712" s="363"/>
    </row>
    <row r="713" spans="12:13" s="360" customFormat="1" x14ac:dyDescent="0.15">
      <c r="L713" s="370"/>
      <c r="M713" s="363"/>
    </row>
    <row r="714" spans="12:13" s="360" customFormat="1" x14ac:dyDescent="0.15">
      <c r="L714" s="370"/>
      <c r="M714" s="363"/>
    </row>
    <row r="715" spans="12:13" s="360" customFormat="1" x14ac:dyDescent="0.15">
      <c r="L715" s="370"/>
      <c r="M715" s="363"/>
    </row>
    <row r="716" spans="12:13" s="360" customFormat="1" x14ac:dyDescent="0.15">
      <c r="L716" s="370"/>
      <c r="M716" s="363"/>
    </row>
    <row r="717" spans="12:13" s="360" customFormat="1" x14ac:dyDescent="0.15">
      <c r="L717" s="370"/>
      <c r="M717" s="363"/>
    </row>
    <row r="718" spans="12:13" s="360" customFormat="1" x14ac:dyDescent="0.15">
      <c r="L718" s="370"/>
      <c r="M718" s="363"/>
    </row>
    <row r="719" spans="12:13" s="360" customFormat="1" x14ac:dyDescent="0.15">
      <c r="L719" s="370"/>
      <c r="M719" s="363"/>
    </row>
    <row r="720" spans="12:13" s="360" customFormat="1" x14ac:dyDescent="0.15">
      <c r="L720" s="370"/>
      <c r="M720" s="363"/>
    </row>
    <row r="721" spans="12:13" s="360" customFormat="1" x14ac:dyDescent="0.15">
      <c r="L721" s="370"/>
      <c r="M721" s="363"/>
    </row>
    <row r="722" spans="12:13" s="360" customFormat="1" x14ac:dyDescent="0.15">
      <c r="L722" s="370"/>
      <c r="M722" s="363"/>
    </row>
    <row r="723" spans="12:13" s="360" customFormat="1" x14ac:dyDescent="0.15">
      <c r="L723" s="370"/>
      <c r="M723" s="363"/>
    </row>
    <row r="724" spans="12:13" s="360" customFormat="1" x14ac:dyDescent="0.15">
      <c r="L724" s="370"/>
      <c r="M724" s="363"/>
    </row>
    <row r="725" spans="12:13" s="360" customFormat="1" x14ac:dyDescent="0.15">
      <c r="L725" s="370"/>
      <c r="M725" s="363"/>
    </row>
    <row r="726" spans="12:13" s="360" customFormat="1" x14ac:dyDescent="0.15">
      <c r="L726" s="370"/>
      <c r="M726" s="363"/>
    </row>
    <row r="727" spans="12:13" s="360" customFormat="1" x14ac:dyDescent="0.15">
      <c r="L727" s="370"/>
      <c r="M727" s="363"/>
    </row>
    <row r="728" spans="12:13" s="360" customFormat="1" x14ac:dyDescent="0.15">
      <c r="L728" s="370"/>
      <c r="M728" s="363"/>
    </row>
    <row r="729" spans="12:13" s="360" customFormat="1" x14ac:dyDescent="0.15">
      <c r="L729" s="370"/>
      <c r="M729" s="363"/>
    </row>
    <row r="730" spans="12:13" s="360" customFormat="1" x14ac:dyDescent="0.15">
      <c r="L730" s="370"/>
      <c r="M730" s="363"/>
    </row>
    <row r="731" spans="12:13" s="360" customFormat="1" x14ac:dyDescent="0.15">
      <c r="L731" s="370"/>
      <c r="M731" s="363"/>
    </row>
    <row r="732" spans="12:13" s="360" customFormat="1" x14ac:dyDescent="0.15">
      <c r="L732" s="370"/>
      <c r="M732" s="363"/>
    </row>
    <row r="733" spans="12:13" s="360" customFormat="1" x14ac:dyDescent="0.15">
      <c r="L733" s="370"/>
      <c r="M733" s="363"/>
    </row>
    <row r="734" spans="12:13" s="360" customFormat="1" x14ac:dyDescent="0.15">
      <c r="L734" s="370"/>
      <c r="M734" s="363"/>
    </row>
    <row r="735" spans="12:13" s="360" customFormat="1" x14ac:dyDescent="0.15">
      <c r="L735" s="370"/>
      <c r="M735" s="363"/>
    </row>
    <row r="736" spans="12:13" s="360" customFormat="1" x14ac:dyDescent="0.15">
      <c r="L736" s="370"/>
      <c r="M736" s="363"/>
    </row>
    <row r="737" spans="12:13" s="360" customFormat="1" x14ac:dyDescent="0.15">
      <c r="L737" s="370"/>
      <c r="M737" s="363"/>
    </row>
    <row r="738" spans="12:13" s="360" customFormat="1" x14ac:dyDescent="0.15">
      <c r="L738" s="370"/>
      <c r="M738" s="363"/>
    </row>
    <row r="739" spans="12:13" s="360" customFormat="1" x14ac:dyDescent="0.15">
      <c r="L739" s="370"/>
      <c r="M739" s="363"/>
    </row>
    <row r="740" spans="12:13" s="360" customFormat="1" x14ac:dyDescent="0.15">
      <c r="L740" s="370"/>
      <c r="M740" s="363"/>
    </row>
    <row r="741" spans="12:13" s="360" customFormat="1" x14ac:dyDescent="0.15">
      <c r="L741" s="370"/>
      <c r="M741" s="363"/>
    </row>
    <row r="742" spans="12:13" s="360" customFormat="1" x14ac:dyDescent="0.15">
      <c r="L742" s="370"/>
      <c r="M742" s="363"/>
    </row>
    <row r="743" spans="12:13" s="360" customFormat="1" x14ac:dyDescent="0.15">
      <c r="L743" s="370"/>
      <c r="M743" s="363"/>
    </row>
    <row r="744" spans="12:13" s="360" customFormat="1" x14ac:dyDescent="0.15">
      <c r="L744" s="370"/>
      <c r="M744" s="363"/>
    </row>
  </sheetData>
  <mergeCells count="9">
    <mergeCell ref="F12:F13"/>
    <mergeCell ref="I12:I13"/>
    <mergeCell ref="D12:D13"/>
    <mergeCell ref="B12:B14"/>
    <mergeCell ref="A1:M1"/>
    <mergeCell ref="A2:M2"/>
    <mergeCell ref="A3:M3"/>
    <mergeCell ref="A6:M6"/>
    <mergeCell ref="B7:E7"/>
  </mergeCells>
  <printOptions horizontalCentered="1"/>
  <pageMargins left="0.39370078740157477" right="0" top="0.9838582677165354" bottom="0.59015748031496074" header="0.59015748031496063" footer="0.19645669291338586"/>
  <pageSetup paperSize="9" scale="80" fitToWidth="0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44"/>
  <sheetViews>
    <sheetView showGridLines="0" workbookViewId="0">
      <selection activeCell="E12" sqref="E12"/>
    </sheetView>
  </sheetViews>
  <sheetFormatPr baseColWidth="10" defaultRowHeight="14.25" x14ac:dyDescent="0.2"/>
  <cols>
    <col min="1" max="1" width="6" style="675" customWidth="1"/>
    <col min="2" max="2" width="20.375" style="675" customWidth="1"/>
    <col min="3" max="3" width="14.625" style="675" customWidth="1"/>
    <col min="4" max="4" width="16.75" style="675" customWidth="1"/>
    <col min="5" max="5" width="14.25" style="675" customWidth="1"/>
    <col min="6" max="6" width="16.25" style="675" customWidth="1"/>
    <col min="7" max="7" width="16.5" style="675" customWidth="1"/>
    <col min="8" max="8" width="13.625" style="675" customWidth="1"/>
    <col min="9" max="9" width="14.375" style="681" customWidth="1"/>
    <col min="10" max="1024" width="12.875" style="675" customWidth="1"/>
    <col min="1025" max="16384" width="11" style="674"/>
  </cols>
  <sheetData>
    <row r="1" spans="1:15" s="675" customFormat="1" ht="12.75" x14ac:dyDescent="0.2">
      <c r="A1" s="212"/>
      <c r="B1" s="212"/>
      <c r="C1" s="671" t="s">
        <v>0</v>
      </c>
      <c r="D1" s="212"/>
      <c r="F1" s="212"/>
      <c r="G1" s="212"/>
      <c r="H1" s="212"/>
      <c r="I1" s="212"/>
      <c r="J1" s="673"/>
      <c r="K1" s="673"/>
      <c r="L1" s="673"/>
      <c r="M1" s="673"/>
    </row>
    <row r="2" spans="1:15" s="675" customFormat="1" ht="12.75" x14ac:dyDescent="0.2">
      <c r="A2" s="212"/>
      <c r="B2" s="212"/>
      <c r="C2" s="671" t="s">
        <v>163</v>
      </c>
      <c r="D2" s="212"/>
      <c r="F2" s="212"/>
      <c r="G2" s="212"/>
      <c r="H2" s="212"/>
      <c r="I2" s="212"/>
      <c r="J2" s="673"/>
      <c r="K2" s="673"/>
      <c r="L2" s="673"/>
      <c r="M2" s="673"/>
    </row>
    <row r="3" spans="1:15" s="675" customFormat="1" ht="12.75" x14ac:dyDescent="0.2">
      <c r="A3" s="212"/>
      <c r="B3" s="212"/>
      <c r="C3" s="212"/>
      <c r="D3" s="212"/>
      <c r="E3" s="212"/>
      <c r="F3" s="212"/>
      <c r="G3" s="212"/>
      <c r="H3" s="212"/>
      <c r="I3" s="212"/>
      <c r="J3" s="673"/>
      <c r="K3" s="673"/>
      <c r="L3" s="673"/>
      <c r="M3" s="673"/>
    </row>
    <row r="4" spans="1:15" s="675" customFormat="1" ht="12.75" x14ac:dyDescent="0.2">
      <c r="A4" s="759" t="s">
        <v>524</v>
      </c>
      <c r="B4" s="759"/>
      <c r="C4" s="759"/>
      <c r="D4" s="759"/>
      <c r="E4" s="759"/>
      <c r="F4" s="759"/>
      <c r="G4" s="759"/>
      <c r="H4" s="759"/>
      <c r="I4" s="759"/>
      <c r="J4" s="673"/>
      <c r="K4" s="673"/>
      <c r="L4" s="673"/>
      <c r="M4" s="673"/>
    </row>
    <row r="5" spans="1:15" s="675" customFormat="1" x14ac:dyDescent="0.2">
      <c r="A5" s="760"/>
      <c r="B5" s="760"/>
      <c r="C5" s="760"/>
      <c r="D5" s="760"/>
      <c r="E5" s="760"/>
      <c r="F5" s="760"/>
      <c r="G5" s="760"/>
      <c r="H5" s="760"/>
      <c r="I5" s="760"/>
    </row>
    <row r="6" spans="1:15" s="675" customFormat="1" ht="12.75" x14ac:dyDescent="0.2">
      <c r="B6" s="761" t="s">
        <v>359</v>
      </c>
      <c r="C6" s="761"/>
      <c r="D6" s="761"/>
      <c r="E6" s="676"/>
      <c r="F6" s="677"/>
      <c r="H6" s="678"/>
      <c r="I6" s="676"/>
      <c r="J6" s="714"/>
    </row>
    <row r="7" spans="1:15" s="675" customFormat="1" ht="12.75" x14ac:dyDescent="0.2">
      <c r="B7" s="671" t="s">
        <v>314</v>
      </c>
      <c r="F7" s="679">
        <f>'FONDOS PART 2024'!H9</f>
        <v>6376217188.8000002</v>
      </c>
      <c r="G7" s="682" t="s">
        <v>360</v>
      </c>
      <c r="H7" s="680"/>
      <c r="I7" s="681"/>
    </row>
    <row r="8" spans="1:15" s="675" customFormat="1" ht="12.75" x14ac:dyDescent="0.2">
      <c r="B8" s="671" t="s">
        <v>315</v>
      </c>
      <c r="F8" s="682">
        <f>F7*0.45</f>
        <v>2869297734.96</v>
      </c>
      <c r="G8" s="682" t="s">
        <v>361</v>
      </c>
      <c r="H8" s="678"/>
    </row>
    <row r="9" spans="1:15" s="675" customFormat="1" ht="12.75" x14ac:dyDescent="0.2">
      <c r="B9" s="671" t="s">
        <v>317</v>
      </c>
      <c r="F9" s="682">
        <f>F7*0.45</f>
        <v>2869297734.96</v>
      </c>
      <c r="G9" s="682" t="s">
        <v>362</v>
      </c>
      <c r="H9" s="684"/>
      <c r="I9" s="681"/>
      <c r="J9" s="714"/>
    </row>
    <row r="10" spans="1:15" s="675" customFormat="1" ht="12.75" x14ac:dyDescent="0.2">
      <c r="B10" s="671" t="s">
        <v>319</v>
      </c>
      <c r="F10" s="715">
        <f>F7*0.1</f>
        <v>637621718.88</v>
      </c>
      <c r="G10" s="682" t="s">
        <v>363</v>
      </c>
      <c r="H10" s="684"/>
      <c r="I10" s="681"/>
    </row>
    <row r="11" spans="1:15" s="675" customFormat="1" ht="12.75" x14ac:dyDescent="0.2">
      <c r="A11" s="685"/>
      <c r="B11" s="685"/>
      <c r="C11" s="686"/>
      <c r="D11" s="687"/>
      <c r="F11" s="688"/>
      <c r="G11" s="678"/>
      <c r="I11" s="681"/>
    </row>
    <row r="12" spans="1:15" s="675" customFormat="1" ht="12.75" x14ac:dyDescent="0.2">
      <c r="A12" s="604" t="s">
        <v>364</v>
      </c>
      <c r="B12" s="604" t="s">
        <v>29</v>
      </c>
      <c r="C12" s="604"/>
      <c r="D12" s="604" t="s">
        <v>186</v>
      </c>
      <c r="E12" s="604"/>
      <c r="F12" s="604" t="s">
        <v>186</v>
      </c>
      <c r="G12" s="604"/>
      <c r="H12" s="604" t="s">
        <v>186</v>
      </c>
      <c r="I12" s="604" t="s">
        <v>186</v>
      </c>
    </row>
    <row r="13" spans="1:15" s="675" customFormat="1" ht="12.75" x14ac:dyDescent="0.2">
      <c r="A13" s="603"/>
      <c r="B13" s="603"/>
      <c r="C13" s="603" t="s">
        <v>10</v>
      </c>
      <c r="D13" s="603" t="s">
        <v>365</v>
      </c>
      <c r="E13" s="603" t="s">
        <v>366</v>
      </c>
      <c r="F13" s="603" t="s">
        <v>367</v>
      </c>
      <c r="G13" s="603" t="s">
        <v>368</v>
      </c>
      <c r="H13" s="603" t="s">
        <v>369</v>
      </c>
      <c r="I13" s="689" t="s">
        <v>331</v>
      </c>
    </row>
    <row r="14" spans="1:15" s="675" customFormat="1" ht="12.75" x14ac:dyDescent="0.2">
      <c r="A14" s="685"/>
      <c r="B14" s="685"/>
      <c r="C14" s="685" t="s">
        <v>370</v>
      </c>
      <c r="D14" s="685" t="s">
        <v>371</v>
      </c>
      <c r="E14" s="685" t="s">
        <v>372</v>
      </c>
      <c r="F14" s="685" t="s">
        <v>373</v>
      </c>
      <c r="G14" s="685" t="s">
        <v>374</v>
      </c>
      <c r="H14" s="685" t="s">
        <v>375</v>
      </c>
      <c r="I14" s="685" t="s">
        <v>376</v>
      </c>
    </row>
    <row r="15" spans="1:15" s="675" customFormat="1" ht="12.75" x14ac:dyDescent="0.2">
      <c r="A15" s="685"/>
      <c r="B15" s="685"/>
      <c r="C15" s="690">
        <v>100</v>
      </c>
      <c r="D15" s="691">
        <f t="shared" ref="D15:I15" si="0">SUM(D16:D128)</f>
        <v>2869297734.960001</v>
      </c>
      <c r="E15" s="692">
        <f t="shared" si="0"/>
        <v>99.999999999999915</v>
      </c>
      <c r="F15" s="691">
        <f t="shared" si="0"/>
        <v>2869297734.9599986</v>
      </c>
      <c r="G15" s="693">
        <f t="shared" si="0"/>
        <v>100.00000000000006</v>
      </c>
      <c r="H15" s="691">
        <f t="shared" si="0"/>
        <v>637621718.88000023</v>
      </c>
      <c r="I15" s="691">
        <f t="shared" si="0"/>
        <v>6376217188.7999983</v>
      </c>
      <c r="J15" s="693"/>
      <c r="K15" s="693"/>
      <c r="L15" s="693"/>
      <c r="M15" s="693"/>
      <c r="N15" s="693"/>
      <c r="O15" s="693"/>
    </row>
    <row r="16" spans="1:15" s="675" customFormat="1" ht="12.75" x14ac:dyDescent="0.2">
      <c r="A16" s="694">
        <v>1</v>
      </c>
      <c r="B16" s="694" t="s">
        <v>43</v>
      </c>
      <c r="C16" s="695">
        <f>'COEFIC 2023'!I8</f>
        <v>0.23797360453465957</v>
      </c>
      <c r="D16" s="696">
        <f t="shared" ref="D16:D47" si="1">$F$8*C16%</f>
        <v>6828171.2447156552</v>
      </c>
      <c r="E16" s="697">
        <f>'COEFIC 2023'!P8</f>
        <v>0.39190942225476838</v>
      </c>
      <c r="F16" s="698">
        <f t="shared" ref="F16:F47" si="2">$F$9*E16%</f>
        <v>11245048.175850892</v>
      </c>
      <c r="G16" s="699">
        <f>FPART!J16</f>
        <v>0.78996666580088204</v>
      </c>
      <c r="H16" s="700">
        <f t="shared" ref="H16:H47" si="3">$F$10*G16%</f>
        <v>5036999.0330586089</v>
      </c>
      <c r="I16" s="701">
        <f t="shared" ref="I16:I47" si="4">D16+F16+H16</f>
        <v>23110218.453625157</v>
      </c>
      <c r="M16" s="702"/>
      <c r="N16" s="703"/>
      <c r="O16" s="704"/>
    </row>
    <row r="17" spans="1:15" s="675" customFormat="1" ht="12.75" x14ac:dyDescent="0.2">
      <c r="A17" s="694">
        <v>2</v>
      </c>
      <c r="B17" s="694" t="s">
        <v>46</v>
      </c>
      <c r="C17" s="695">
        <f>'COEFIC 2023'!I9</f>
        <v>0.31068600666351365</v>
      </c>
      <c r="D17" s="696">
        <f t="shared" si="1"/>
        <v>8914506.5520338714</v>
      </c>
      <c r="E17" s="697">
        <f>'COEFIC 2023'!P9</f>
        <v>1.2675015186709291</v>
      </c>
      <c r="F17" s="698">
        <f t="shared" si="2"/>
        <v>36368392.365808569</v>
      </c>
      <c r="G17" s="699">
        <f>FPART!J17</f>
        <v>0.41162616179693873</v>
      </c>
      <c r="H17" s="700">
        <f t="shared" si="3"/>
        <v>2624617.8082094104</v>
      </c>
      <c r="I17" s="701">
        <f t="shared" si="4"/>
        <v>47907516.726051852</v>
      </c>
      <c r="M17" s="702"/>
      <c r="N17" s="703"/>
      <c r="O17" s="704"/>
    </row>
    <row r="18" spans="1:15" s="675" customFormat="1" ht="12.75" x14ac:dyDescent="0.2">
      <c r="A18" s="694">
        <v>3</v>
      </c>
      <c r="B18" s="694" t="s">
        <v>49</v>
      </c>
      <c r="C18" s="695">
        <f>'COEFIC 2023'!I10</f>
        <v>0.48432819257562787</v>
      </c>
      <c r="D18" s="696">
        <f t="shared" si="1"/>
        <v>13896817.859345198</v>
      </c>
      <c r="E18" s="697">
        <f>'COEFIC 2023'!P10</f>
        <v>0.6143607387492529</v>
      </c>
      <c r="F18" s="698">
        <f t="shared" si="2"/>
        <v>17627838.761415835</v>
      </c>
      <c r="G18" s="699">
        <f>FPART!J18</f>
        <v>0.92173246284482802</v>
      </c>
      <c r="H18" s="700">
        <f t="shared" si="3"/>
        <v>5877166.3730661497</v>
      </c>
      <c r="I18" s="701">
        <f t="shared" si="4"/>
        <v>37401822.993827179</v>
      </c>
      <c r="M18" s="702"/>
      <c r="N18" s="703"/>
      <c r="O18" s="704"/>
    </row>
    <row r="19" spans="1:15" s="675" customFormat="1" ht="12.75" x14ac:dyDescent="0.2">
      <c r="A19" s="694">
        <v>4</v>
      </c>
      <c r="B19" s="694" t="s">
        <v>52</v>
      </c>
      <c r="C19" s="695">
        <f>'COEFIC 2023'!I11</f>
        <v>0.31466592094163509</v>
      </c>
      <c r="D19" s="696">
        <f t="shared" si="1"/>
        <v>9028702.1422693599</v>
      </c>
      <c r="E19" s="697">
        <f>'COEFIC 2023'!P11</f>
        <v>0.39045222807652885</v>
      </c>
      <c r="F19" s="698">
        <f t="shared" si="2"/>
        <v>11203236.936300695</v>
      </c>
      <c r="G19" s="699">
        <f>FPART!J19</f>
        <v>0.93309894828124873</v>
      </c>
      <c r="H19" s="700">
        <f t="shared" si="3"/>
        <v>5949641.5528821005</v>
      </c>
      <c r="I19" s="701">
        <f t="shared" si="4"/>
        <v>26181580.631452154</v>
      </c>
      <c r="M19" s="702"/>
      <c r="N19" s="703"/>
      <c r="O19" s="704"/>
    </row>
    <row r="20" spans="1:15" s="675" customFormat="1" ht="12.75" x14ac:dyDescent="0.2">
      <c r="A20" s="694">
        <v>5</v>
      </c>
      <c r="B20" s="694" t="s">
        <v>54</v>
      </c>
      <c r="C20" s="695">
        <f>'COEFIC 2023'!I12</f>
        <v>0.22936098580581471</v>
      </c>
      <c r="D20" s="696">
        <f t="shared" si="1"/>
        <v>6581049.5706081679</v>
      </c>
      <c r="E20" s="697">
        <f>'COEFIC 2023'!P12</f>
        <v>0.41290602770742135</v>
      </c>
      <c r="F20" s="698">
        <f t="shared" si="2"/>
        <v>11847503.300522352</v>
      </c>
      <c r="G20" s="699">
        <f>FPART!J20</f>
        <v>0.74669597756376371</v>
      </c>
      <c r="H20" s="700">
        <f t="shared" si="3"/>
        <v>4761095.7269498892</v>
      </c>
      <c r="I20" s="701">
        <f t="shared" si="4"/>
        <v>23189648.598080408</v>
      </c>
      <c r="M20" s="702"/>
      <c r="N20" s="703"/>
      <c r="O20" s="704"/>
    </row>
    <row r="21" spans="1:15" s="675" customFormat="1" ht="12.75" x14ac:dyDescent="0.2">
      <c r="A21" s="694">
        <v>6</v>
      </c>
      <c r="B21" s="694" t="s">
        <v>57</v>
      </c>
      <c r="C21" s="695">
        <f>'COEFIC 2023'!I13</f>
        <v>2.6572982151874371</v>
      </c>
      <c r="D21" s="696">
        <f t="shared" si="1"/>
        <v>76245797.499505639</v>
      </c>
      <c r="E21" s="697">
        <f>'COEFIC 2023'!P13</f>
        <v>2.3148565147498155</v>
      </c>
      <c r="F21" s="698">
        <f t="shared" si="2"/>
        <v>66420125.545290455</v>
      </c>
      <c r="G21" s="699">
        <f>FPART!J21</f>
        <v>1.1174691526029661</v>
      </c>
      <c r="H21" s="700">
        <f t="shared" si="3"/>
        <v>7125226.0187808024</v>
      </c>
      <c r="I21" s="701">
        <f t="shared" si="4"/>
        <v>149791149.06357691</v>
      </c>
      <c r="M21" s="702"/>
      <c r="N21" s="703"/>
      <c r="O21" s="704"/>
    </row>
    <row r="22" spans="1:15" s="675" customFormat="1" ht="12.75" x14ac:dyDescent="0.2">
      <c r="A22" s="694">
        <v>7</v>
      </c>
      <c r="B22" s="694" t="s">
        <v>44</v>
      </c>
      <c r="C22" s="695">
        <f>'COEFIC 2023'!I14</f>
        <v>7.4312790939103937E-2</v>
      </c>
      <c r="D22" s="696">
        <f t="shared" si="1"/>
        <v>2132255.2272012695</v>
      </c>
      <c r="E22" s="697">
        <f>'COEFIC 2023'!P14</f>
        <v>0.37653818456552185</v>
      </c>
      <c r="F22" s="698">
        <f t="shared" si="2"/>
        <v>10804001.600998024</v>
      </c>
      <c r="G22" s="699">
        <f>FPART!J22</f>
        <v>0.3446437770918015</v>
      </c>
      <c r="H22" s="700">
        <f t="shared" si="3"/>
        <v>2197523.5755057004</v>
      </c>
      <c r="I22" s="701">
        <f t="shared" si="4"/>
        <v>15133780.403704993</v>
      </c>
      <c r="M22" s="702"/>
      <c r="N22" s="703"/>
      <c r="O22" s="704"/>
    </row>
    <row r="23" spans="1:15" s="675" customFormat="1" ht="12.75" x14ac:dyDescent="0.2">
      <c r="A23" s="694">
        <v>8</v>
      </c>
      <c r="B23" s="694" t="s">
        <v>59</v>
      </c>
      <c r="C23" s="695">
        <f>'COEFIC 2023'!I15</f>
        <v>0.51962097739113877</v>
      </c>
      <c r="D23" s="696">
        <f t="shared" si="1"/>
        <v>14909472.934660958</v>
      </c>
      <c r="E23" s="697">
        <f>'COEFIC 2023'!P15</f>
        <v>2.3668185263996966</v>
      </c>
      <c r="F23" s="698">
        <f t="shared" si="2"/>
        <v>67911070.368600145</v>
      </c>
      <c r="G23" s="699">
        <f>FPART!J23</f>
        <v>0.37641255317525624</v>
      </c>
      <c r="H23" s="700">
        <f t="shared" si="3"/>
        <v>2400088.1916361628</v>
      </c>
      <c r="I23" s="701">
        <f t="shared" si="4"/>
        <v>85220631.494897261</v>
      </c>
      <c r="M23" s="702"/>
      <c r="N23" s="703"/>
      <c r="O23" s="704"/>
    </row>
    <row r="24" spans="1:15" s="675" customFormat="1" ht="12.75" x14ac:dyDescent="0.2">
      <c r="A24" s="694">
        <v>9</v>
      </c>
      <c r="B24" s="694" t="s">
        <v>342</v>
      </c>
      <c r="C24" s="695">
        <f>'COEFIC 2023'!I16</f>
        <v>0.76372238644925527</v>
      </c>
      <c r="D24" s="696">
        <f t="shared" si="1"/>
        <v>21913469.135770939</v>
      </c>
      <c r="E24" s="697">
        <f>'COEFIC 2023'!P16</f>
        <v>0.92206001121936687</v>
      </c>
      <c r="F24" s="698">
        <f t="shared" si="2"/>
        <v>26456647.016889215</v>
      </c>
      <c r="G24" s="699">
        <f>FPART!J24</f>
        <v>0.9472702299654876</v>
      </c>
      <c r="H24" s="700">
        <f t="shared" si="3"/>
        <v>6040000.7227444714</v>
      </c>
      <c r="I24" s="701">
        <f t="shared" si="4"/>
        <v>54410116.875404626</v>
      </c>
      <c r="M24" s="702"/>
      <c r="N24" s="703"/>
      <c r="O24" s="704"/>
    </row>
    <row r="25" spans="1:15" s="675" customFormat="1" ht="12.75" x14ac:dyDescent="0.2">
      <c r="A25" s="694">
        <v>10</v>
      </c>
      <c r="B25" s="694" t="s">
        <v>64</v>
      </c>
      <c r="C25" s="695">
        <f>'COEFIC 2023'!I17</f>
        <v>0.428146122236855</v>
      </c>
      <c r="D25" s="696">
        <f t="shared" si="1"/>
        <v>12284786.987661153</v>
      </c>
      <c r="E25" s="697">
        <f>'COEFIC 2023'!P17</f>
        <v>2.5709050555810502</v>
      </c>
      <c r="F25" s="698">
        <f t="shared" si="2"/>
        <v>73766920.527759209</v>
      </c>
      <c r="G25" s="699">
        <f>FPART!J25</f>
        <v>0.29850253295498103</v>
      </c>
      <c r="H25" s="700">
        <f t="shared" si="3"/>
        <v>1903316.9815278884</v>
      </c>
      <c r="I25" s="701">
        <f t="shared" si="4"/>
        <v>87955024.496948257</v>
      </c>
      <c r="M25" s="702"/>
      <c r="N25" s="703"/>
      <c r="O25" s="704"/>
    </row>
    <row r="26" spans="1:15" s="675" customFormat="1" ht="12.75" x14ac:dyDescent="0.2">
      <c r="A26" s="694">
        <v>11</v>
      </c>
      <c r="B26" s="694" t="s">
        <v>343</v>
      </c>
      <c r="C26" s="695">
        <f>'COEFIC 2023'!I18</f>
        <v>0.24597554858590909</v>
      </c>
      <c r="D26" s="696">
        <f t="shared" si="1"/>
        <v>7057770.844130924</v>
      </c>
      <c r="E26" s="697">
        <f>'COEFIC 2023'!P18</f>
        <v>0.48150914529440353</v>
      </c>
      <c r="F26" s="698">
        <f t="shared" si="2"/>
        <v>13815930.999557575</v>
      </c>
      <c r="G26" s="699">
        <f>FPART!J26</f>
        <v>0.7069813546622179</v>
      </c>
      <c r="H26" s="700">
        <f t="shared" si="3"/>
        <v>4507866.6657583425</v>
      </c>
      <c r="I26" s="701">
        <f t="shared" si="4"/>
        <v>25381568.509446841</v>
      </c>
      <c r="M26" s="702"/>
      <c r="N26" s="703"/>
      <c r="O26" s="704"/>
    </row>
    <row r="27" spans="1:15" s="675" customFormat="1" ht="12.75" x14ac:dyDescent="0.2">
      <c r="A27" s="694">
        <v>12</v>
      </c>
      <c r="B27" s="694" t="s">
        <v>70</v>
      </c>
      <c r="C27" s="695">
        <f>'COEFIC 2023'!I19</f>
        <v>0.95892770580473663</v>
      </c>
      <c r="D27" s="696">
        <f t="shared" si="1"/>
        <v>27514490.942559198</v>
      </c>
      <c r="E27" s="697">
        <f>'COEFIC 2023'!P19</f>
        <v>1.0229413737008273</v>
      </c>
      <c r="F27" s="698">
        <f t="shared" si="2"/>
        <v>29351233.665566549</v>
      </c>
      <c r="G27" s="699">
        <f>FPART!J27</f>
        <v>1.0116977575122408</v>
      </c>
      <c r="H27" s="700">
        <f t="shared" si="3"/>
        <v>6450804.6313199634</v>
      </c>
      <c r="I27" s="701">
        <f t="shared" si="4"/>
        <v>63316529.239445709</v>
      </c>
      <c r="M27" s="702"/>
      <c r="N27" s="703"/>
      <c r="O27" s="704"/>
    </row>
    <row r="28" spans="1:15" s="675" customFormat="1" ht="12.75" x14ac:dyDescent="0.2">
      <c r="A28" s="694">
        <v>13</v>
      </c>
      <c r="B28" s="694" t="s">
        <v>73</v>
      </c>
      <c r="C28" s="695">
        <f>'COEFIC 2023'!I20</f>
        <v>0.19322589109017221</v>
      </c>
      <c r="D28" s="696">
        <f t="shared" si="1"/>
        <v>5544226.1164065879</v>
      </c>
      <c r="E28" s="697">
        <f>'COEFIC 2023'!P20</f>
        <v>0.96514801886169921</v>
      </c>
      <c r="F28" s="698">
        <f t="shared" si="2"/>
        <v>27692970.24421005</v>
      </c>
      <c r="G28" s="699">
        <f>FPART!J28</f>
        <v>0.34878390370081253</v>
      </c>
      <c r="H28" s="700">
        <f t="shared" si="3"/>
        <v>2223921.9219538849</v>
      </c>
      <c r="I28" s="701">
        <f t="shared" si="4"/>
        <v>35461118.282570526</v>
      </c>
      <c r="M28" s="702"/>
      <c r="N28" s="703"/>
      <c r="O28" s="704"/>
    </row>
    <row r="29" spans="1:15" s="675" customFormat="1" ht="12.75" x14ac:dyDescent="0.2">
      <c r="A29" s="694">
        <v>14</v>
      </c>
      <c r="B29" s="694" t="s">
        <v>75</v>
      </c>
      <c r="C29" s="695">
        <f>'COEFIC 2023'!I21</f>
        <v>0.35844497800097119</v>
      </c>
      <c r="D29" s="696">
        <f t="shared" si="1"/>
        <v>10284853.634859737</v>
      </c>
      <c r="E29" s="697">
        <f>'COEFIC 2023'!P21</f>
        <v>0.57115855003271865</v>
      </c>
      <c r="F29" s="698">
        <f t="shared" si="2"/>
        <v>16388239.339119175</v>
      </c>
      <c r="G29" s="699">
        <f>FPART!J29</f>
        <v>0.80624051696347643</v>
      </c>
      <c r="H29" s="700">
        <f t="shared" si="3"/>
        <v>5140764.6425695168</v>
      </c>
      <c r="I29" s="701">
        <f t="shared" si="4"/>
        <v>31813857.61654843</v>
      </c>
      <c r="M29" s="702"/>
      <c r="N29" s="703"/>
      <c r="O29" s="704"/>
    </row>
    <row r="30" spans="1:15" s="675" customFormat="1" ht="12.75" x14ac:dyDescent="0.2">
      <c r="A30" s="694">
        <v>15</v>
      </c>
      <c r="B30" s="224" t="s">
        <v>77</v>
      </c>
      <c r="C30" s="695">
        <f>'COEFIC 2023'!I22</f>
        <v>0.41342675673205659</v>
      </c>
      <c r="D30" s="696">
        <f t="shared" si="1"/>
        <v>11862444.56663149</v>
      </c>
      <c r="E30" s="697">
        <f>'COEFIC 2023'!P22</f>
        <v>2.4541796257109025</v>
      </c>
      <c r="F30" s="698">
        <f t="shared" si="2"/>
        <v>70417720.412372738</v>
      </c>
      <c r="G30" s="699">
        <f>FPART!J30</f>
        <v>0.30145252425752023</v>
      </c>
      <c r="H30" s="700">
        <f t="shared" si="3"/>
        <v>1922126.7667779494</v>
      </c>
      <c r="I30" s="716">
        <f t="shared" si="4"/>
        <v>84202291.745782182</v>
      </c>
      <c r="M30" s="702"/>
      <c r="N30" s="703"/>
      <c r="O30" s="704"/>
    </row>
    <row r="31" spans="1:15" s="675" customFormat="1" ht="12.75" x14ac:dyDescent="0.2">
      <c r="A31" s="694">
        <v>16</v>
      </c>
      <c r="B31" s="694" t="s">
        <v>79</v>
      </c>
      <c r="C31" s="695">
        <f>'COEFIC 2023'!I23</f>
        <v>0.44147567640643642</v>
      </c>
      <c r="D31" s="696">
        <f t="shared" si="1"/>
        <v>12667251.583529221</v>
      </c>
      <c r="E31" s="697">
        <f>'COEFIC 2023'!P23</f>
        <v>0.50820227003137264</v>
      </c>
      <c r="F31" s="698">
        <f t="shared" si="2"/>
        <v>14581836.223025478</v>
      </c>
      <c r="G31" s="699">
        <f>FPART!J31</f>
        <v>0.97200905439695728</v>
      </c>
      <c r="H31" s="700">
        <f t="shared" si="3"/>
        <v>6197740.8403151138</v>
      </c>
      <c r="I31" s="701">
        <f t="shared" si="4"/>
        <v>33446828.646869812</v>
      </c>
      <c r="M31" s="702"/>
      <c r="N31" s="703"/>
      <c r="O31" s="704"/>
    </row>
    <row r="32" spans="1:15" s="675" customFormat="1" ht="12.75" x14ac:dyDescent="0.2">
      <c r="A32" s="694">
        <v>17</v>
      </c>
      <c r="B32" s="694" t="s">
        <v>81</v>
      </c>
      <c r="C32" s="695">
        <f>'COEFIC 2023'!I24</f>
        <v>0.73849520494031606</v>
      </c>
      <c r="D32" s="696">
        <f t="shared" si="1"/>
        <v>21189626.188140698</v>
      </c>
      <c r="E32" s="697">
        <f>'COEFIC 2023'!P24</f>
        <v>0.66896812392176042</v>
      </c>
      <c r="F32" s="698">
        <f t="shared" si="2"/>
        <v>19194687.22729148</v>
      </c>
      <c r="G32" s="699">
        <f>FPART!J32</f>
        <v>1.0971107594620315</v>
      </c>
      <c r="H32" s="700">
        <f t="shared" si="3"/>
        <v>6995416.4824992279</v>
      </c>
      <c r="I32" s="701">
        <f t="shared" si="4"/>
        <v>47379729.897931404</v>
      </c>
      <c r="M32" s="702"/>
      <c r="N32" s="703"/>
      <c r="O32" s="704"/>
    </row>
    <row r="33" spans="1:15" s="675" customFormat="1" ht="12.75" x14ac:dyDescent="0.2">
      <c r="A33" s="694">
        <v>18</v>
      </c>
      <c r="B33" s="694" t="s">
        <v>82</v>
      </c>
      <c r="C33" s="695">
        <f>'COEFIC 2023'!I25</f>
        <v>0.19971167732118497</v>
      </c>
      <c r="D33" s="696">
        <f t="shared" si="1"/>
        <v>5730322.6338273846</v>
      </c>
      <c r="E33" s="697">
        <f>'COEFIC 2023'!P25</f>
        <v>0.28026543034401025</v>
      </c>
      <c r="F33" s="698">
        <f t="shared" si="2"/>
        <v>8041649.6447365824</v>
      </c>
      <c r="G33" s="699">
        <f>FPART!J33</f>
        <v>0.87000714146065139</v>
      </c>
      <c r="H33" s="700">
        <f t="shared" si="3"/>
        <v>5547354.4897601586</v>
      </c>
      <c r="I33" s="701">
        <f t="shared" si="4"/>
        <v>19319326.768324126</v>
      </c>
      <c r="M33" s="702"/>
      <c r="N33" s="703"/>
      <c r="O33" s="704"/>
    </row>
    <row r="34" spans="1:15" s="675" customFormat="1" ht="12.75" x14ac:dyDescent="0.2">
      <c r="A34" s="694">
        <v>19</v>
      </c>
      <c r="B34" s="694" t="s">
        <v>344</v>
      </c>
      <c r="C34" s="695">
        <f>'COEFIC 2023'!I26</f>
        <v>0.42532438407141443</v>
      </c>
      <c r="D34" s="696">
        <f t="shared" si="1"/>
        <v>12203822.918393666</v>
      </c>
      <c r="E34" s="697">
        <f>'COEFIC 2023'!P26</f>
        <v>0.62493143387391448</v>
      </c>
      <c r="F34" s="698">
        <f t="shared" si="2"/>
        <v>17931143.477197278</v>
      </c>
      <c r="G34" s="699">
        <f>FPART!J34</f>
        <v>0.84676923048551944</v>
      </c>
      <c r="H34" s="700">
        <f t="shared" si="3"/>
        <v>5399184.5223687179</v>
      </c>
      <c r="I34" s="701">
        <f t="shared" si="4"/>
        <v>35534150.91795966</v>
      </c>
      <c r="M34" s="702"/>
      <c r="N34" s="703"/>
      <c r="O34" s="704"/>
    </row>
    <row r="35" spans="1:15" s="675" customFormat="1" ht="12.75" x14ac:dyDescent="0.2">
      <c r="A35" s="694">
        <v>20</v>
      </c>
      <c r="B35" s="694" t="s">
        <v>87</v>
      </c>
      <c r="C35" s="695">
        <f>'COEFIC 2023'!I27</f>
        <v>0.62983722782334906</v>
      </c>
      <c r="D35" s="696">
        <f t="shared" si="1"/>
        <v>18071905.31187021</v>
      </c>
      <c r="E35" s="697">
        <f>'COEFIC 2023'!P27</f>
        <v>0.53262041220293821</v>
      </c>
      <c r="F35" s="698">
        <f t="shared" si="2"/>
        <v>15282465.423273522</v>
      </c>
      <c r="G35" s="699">
        <f>FPART!J35</f>
        <v>1.1328986870144744</v>
      </c>
      <c r="H35" s="700">
        <f t="shared" si="3"/>
        <v>7223608.0813106429</v>
      </c>
      <c r="I35" s="701">
        <f t="shared" si="4"/>
        <v>40577978.816454373</v>
      </c>
      <c r="M35" s="702"/>
      <c r="N35" s="703"/>
      <c r="O35" s="704"/>
    </row>
    <row r="36" spans="1:15" s="675" customFormat="1" ht="12.75" x14ac:dyDescent="0.2">
      <c r="A36" s="694">
        <v>21</v>
      </c>
      <c r="B36" s="694" t="s">
        <v>88</v>
      </c>
      <c r="C36" s="695">
        <f>'COEFIC 2023'!I28</f>
        <v>0.28510084344701853</v>
      </c>
      <c r="D36" s="696">
        <f t="shared" si="1"/>
        <v>8180392.0433771592</v>
      </c>
      <c r="E36" s="697">
        <f>'COEFIC 2023'!P28</f>
        <v>0.29534014984136081</v>
      </c>
      <c r="F36" s="698">
        <f t="shared" si="2"/>
        <v>8474188.2298256364</v>
      </c>
      <c r="G36" s="699">
        <f>FPART!J36</f>
        <v>1.0270233276278691</v>
      </c>
      <c r="H36" s="700">
        <f t="shared" si="3"/>
        <v>6548523.794919393</v>
      </c>
      <c r="I36" s="701">
        <f t="shared" si="4"/>
        <v>23203104.068122189</v>
      </c>
      <c r="M36" s="702"/>
      <c r="N36" s="703"/>
      <c r="O36" s="704"/>
    </row>
    <row r="37" spans="1:15" s="675" customFormat="1" ht="12.75" x14ac:dyDescent="0.2">
      <c r="A37" s="694">
        <v>22</v>
      </c>
      <c r="B37" s="694" t="s">
        <v>91</v>
      </c>
      <c r="C37" s="695">
        <f>'COEFIC 2023'!I29</f>
        <v>0.52934965673765799</v>
      </c>
      <c r="D37" s="696">
        <f t="shared" si="1"/>
        <v>15188617.710792156</v>
      </c>
      <c r="E37" s="697">
        <f>'COEFIC 2023'!P29</f>
        <v>0.58909725889407172</v>
      </c>
      <c r="F37" s="698">
        <f t="shared" si="2"/>
        <v>16902954.306159046</v>
      </c>
      <c r="G37" s="699">
        <f>FPART!J37</f>
        <v>0.9896169889340688</v>
      </c>
      <c r="H37" s="700">
        <f t="shared" si="3"/>
        <v>6310012.8551699091</v>
      </c>
      <c r="I37" s="701">
        <f t="shared" si="4"/>
        <v>38401584.872121111</v>
      </c>
      <c r="M37" s="702"/>
      <c r="N37" s="703"/>
      <c r="O37" s="704"/>
    </row>
    <row r="38" spans="1:15" s="675" customFormat="1" ht="12.75" x14ac:dyDescent="0.2">
      <c r="A38" s="694">
        <v>23</v>
      </c>
      <c r="B38" s="694" t="s">
        <v>60</v>
      </c>
      <c r="C38" s="695">
        <f>'COEFIC 2023'!I30</f>
        <v>0.21935855574175284</v>
      </c>
      <c r="D38" s="696">
        <f t="shared" si="1"/>
        <v>6294050.0713390838</v>
      </c>
      <c r="E38" s="697">
        <f>'COEFIC 2023'!P30</f>
        <v>0.33156680672772304</v>
      </c>
      <c r="F38" s="698">
        <f t="shared" si="2"/>
        <v>9513638.8753177579</v>
      </c>
      <c r="G38" s="699">
        <f>FPART!J38</f>
        <v>0.83253345540973678</v>
      </c>
      <c r="H38" s="700">
        <f t="shared" si="3"/>
        <v>5308414.1286346214</v>
      </c>
      <c r="I38" s="701">
        <f t="shared" si="4"/>
        <v>21116103.075291462</v>
      </c>
      <c r="M38" s="702"/>
      <c r="N38" s="703"/>
      <c r="O38" s="704"/>
    </row>
    <row r="39" spans="1:15" s="675" customFormat="1" ht="12.75" x14ac:dyDescent="0.2">
      <c r="A39" s="694">
        <v>24</v>
      </c>
      <c r="B39" s="694" t="s">
        <v>95</v>
      </c>
      <c r="C39" s="695">
        <f>'COEFIC 2023'!I31</f>
        <v>0.43349479010269021</v>
      </c>
      <c r="D39" s="696">
        <f t="shared" si="1"/>
        <v>12438256.193586096</v>
      </c>
      <c r="E39" s="697">
        <f>'COEFIC 2023'!P31</f>
        <v>0.37830699446529953</v>
      </c>
      <c r="F39" s="698">
        <f t="shared" si="2"/>
        <v>10854754.023388091</v>
      </c>
      <c r="G39" s="699">
        <f>FPART!J39</f>
        <v>1.1165386556009005</v>
      </c>
      <c r="H39" s="700">
        <f t="shared" si="3"/>
        <v>7119292.9678021055</v>
      </c>
      <c r="I39" s="701">
        <f t="shared" si="4"/>
        <v>30412303.184776291</v>
      </c>
      <c r="M39" s="702"/>
      <c r="N39" s="703"/>
      <c r="O39" s="704"/>
    </row>
    <row r="40" spans="1:15" s="675" customFormat="1" ht="12.75" x14ac:dyDescent="0.2">
      <c r="A40" s="694">
        <v>25</v>
      </c>
      <c r="B40" s="694" t="s">
        <v>97</v>
      </c>
      <c r="C40" s="695">
        <f>'COEFIC 2023'!I32</f>
        <v>0.8541022387333681</v>
      </c>
      <c r="D40" s="696">
        <f t="shared" si="1"/>
        <v>24506736.190219183</v>
      </c>
      <c r="E40" s="697">
        <f>'COEFIC 2023'!P32</f>
        <v>0.57696638894395824</v>
      </c>
      <c r="F40" s="698">
        <f t="shared" si="2"/>
        <v>16554883.529449498</v>
      </c>
      <c r="G40" s="699">
        <f>FPART!J40</f>
        <v>1.2479272892564075</v>
      </c>
      <c r="H40" s="700">
        <f t="shared" si="3"/>
        <v>7957055.4321292946</v>
      </c>
      <c r="I40" s="701">
        <f t="shared" si="4"/>
        <v>49018675.151797973</v>
      </c>
      <c r="M40" s="702"/>
      <c r="N40" s="703"/>
      <c r="O40" s="704"/>
    </row>
    <row r="41" spans="1:15" s="675" customFormat="1" ht="12.75" x14ac:dyDescent="0.2">
      <c r="A41" s="694">
        <v>26</v>
      </c>
      <c r="B41" s="694" t="s">
        <v>345</v>
      </c>
      <c r="C41" s="695">
        <f>'COEFIC 2023'!I33</f>
        <v>0.10050862883319442</v>
      </c>
      <c r="D41" s="696">
        <f t="shared" si="1"/>
        <v>2883891.8105502008</v>
      </c>
      <c r="E41" s="697">
        <f>'COEFIC 2023'!P33</f>
        <v>0.94812774970318459</v>
      </c>
      <c r="F41" s="698">
        <f t="shared" si="2"/>
        <v>27204608.046760693</v>
      </c>
      <c r="G41" s="699">
        <f>FPART!J41</f>
        <v>0.20040950302944549</v>
      </c>
      <c r="H41" s="700">
        <f t="shared" si="3"/>
        <v>1277854.5180152159</v>
      </c>
      <c r="I41" s="701">
        <f t="shared" si="4"/>
        <v>31366354.375326112</v>
      </c>
      <c r="M41" s="702"/>
      <c r="N41" s="703"/>
      <c r="O41" s="704"/>
    </row>
    <row r="42" spans="1:15" s="675" customFormat="1" ht="12.75" x14ac:dyDescent="0.2">
      <c r="A42" s="694">
        <v>27</v>
      </c>
      <c r="B42" s="694" t="s">
        <v>71</v>
      </c>
      <c r="C42" s="695">
        <f>'COEFIC 2023'!I34</f>
        <v>0.10410950365625671</v>
      </c>
      <c r="D42" s="696">
        <f t="shared" si="1"/>
        <v>2987211.6302870722</v>
      </c>
      <c r="E42" s="697">
        <f>'COEFIC 2023'!P34</f>
        <v>0.23628668401264072</v>
      </c>
      <c r="F42" s="698">
        <f t="shared" si="2"/>
        <v>6779768.4723867923</v>
      </c>
      <c r="G42" s="699">
        <f>FPART!J42</f>
        <v>0.63950739550870017</v>
      </c>
      <c r="H42" s="700">
        <f t="shared" si="3"/>
        <v>4077638.0476072943</v>
      </c>
      <c r="I42" s="701">
        <f t="shared" si="4"/>
        <v>13844618.150281157</v>
      </c>
      <c r="M42" s="702"/>
      <c r="N42" s="703"/>
      <c r="O42" s="704"/>
    </row>
    <row r="43" spans="1:15" s="675" customFormat="1" ht="12.75" x14ac:dyDescent="0.2">
      <c r="A43" s="694">
        <v>28</v>
      </c>
      <c r="B43" s="694" t="s">
        <v>72</v>
      </c>
      <c r="C43" s="695">
        <f>'COEFIC 2023'!I35</f>
        <v>0.11019519268470698</v>
      </c>
      <c r="D43" s="696">
        <f t="shared" si="1"/>
        <v>3161828.1677371054</v>
      </c>
      <c r="E43" s="697">
        <f>'COEFIC 2023'!P35</f>
        <v>0.25822216015596905</v>
      </c>
      <c r="F43" s="698">
        <f t="shared" si="2"/>
        <v>7409162.5925200041</v>
      </c>
      <c r="G43" s="699">
        <f>FPART!J43</f>
        <v>0.62540659063940485</v>
      </c>
      <c r="H43" s="700">
        <f t="shared" si="3"/>
        <v>3987728.2532237787</v>
      </c>
      <c r="I43" s="701">
        <f t="shared" si="4"/>
        <v>14558719.013480889</v>
      </c>
      <c r="M43" s="702"/>
      <c r="N43" s="703"/>
      <c r="O43" s="704"/>
    </row>
    <row r="44" spans="1:15" s="675" customFormat="1" ht="12.75" x14ac:dyDescent="0.2">
      <c r="A44" s="694">
        <v>29</v>
      </c>
      <c r="B44" s="694" t="s">
        <v>61</v>
      </c>
      <c r="C44" s="695">
        <f>'COEFIC 2023'!I36</f>
        <v>0.25989471968558259</v>
      </c>
      <c r="D44" s="696">
        <f t="shared" si="1"/>
        <v>7457153.3052190626</v>
      </c>
      <c r="E44" s="697">
        <f>'COEFIC 2023'!P36</f>
        <v>0.80482357884115929</v>
      </c>
      <c r="F44" s="698">
        <f t="shared" si="2"/>
        <v>23092784.718113396</v>
      </c>
      <c r="G44" s="699">
        <f>FPART!J44</f>
        <v>0.51039054519633531</v>
      </c>
      <c r="H44" s="700">
        <f t="shared" si="3"/>
        <v>3254360.9672818761</v>
      </c>
      <c r="I44" s="701">
        <f t="shared" si="4"/>
        <v>33804298.990614332</v>
      </c>
      <c r="M44" s="702"/>
      <c r="N44" s="703"/>
      <c r="O44" s="704"/>
    </row>
    <row r="45" spans="1:15" s="675" customFormat="1" ht="12.75" x14ac:dyDescent="0.2">
      <c r="A45" s="694">
        <v>30</v>
      </c>
      <c r="B45" s="694" t="s">
        <v>104</v>
      </c>
      <c r="C45" s="695">
        <f>'COEFIC 2023'!I37</f>
        <v>0.24953430791396478</v>
      </c>
      <c r="D45" s="696">
        <f t="shared" si="1"/>
        <v>7159882.2449235031</v>
      </c>
      <c r="E45" s="697">
        <f>'COEFIC 2023'!P37</f>
        <v>0.37167013004425603</v>
      </c>
      <c r="F45" s="698">
        <f t="shared" si="2"/>
        <v>10664322.622882726</v>
      </c>
      <c r="G45" s="699">
        <f>FPART!J45</f>
        <v>0.83991550252888769</v>
      </c>
      <c r="H45" s="700">
        <f t="shared" si="3"/>
        <v>5355483.6643642839</v>
      </c>
      <c r="I45" s="701">
        <f t="shared" si="4"/>
        <v>23179688.532170512</v>
      </c>
      <c r="M45" s="702"/>
      <c r="N45" s="703"/>
      <c r="O45" s="704"/>
    </row>
    <row r="46" spans="1:15" s="675" customFormat="1" ht="12.75" x14ac:dyDescent="0.2">
      <c r="A46" s="694">
        <v>31</v>
      </c>
      <c r="B46" s="694" t="s">
        <v>48</v>
      </c>
      <c r="C46" s="695">
        <f>'COEFIC 2023'!I38</f>
        <v>0.33928242777297896</v>
      </c>
      <c r="D46" s="696">
        <f t="shared" si="1"/>
        <v>9735023.0152073838</v>
      </c>
      <c r="E46" s="697">
        <f>'COEFIC 2023'!P38</f>
        <v>0.55583300952537551</v>
      </c>
      <c r="F46" s="698">
        <f t="shared" si="2"/>
        <v>15948503.952471599</v>
      </c>
      <c r="G46" s="699">
        <f>FPART!J46</f>
        <v>0.79254184703312069</v>
      </c>
      <c r="H46" s="700">
        <f t="shared" si="3"/>
        <v>5053418.9478958836</v>
      </c>
      <c r="I46" s="701">
        <f t="shared" si="4"/>
        <v>30736945.915574867</v>
      </c>
      <c r="M46" s="702"/>
      <c r="N46" s="703"/>
      <c r="O46" s="704"/>
    </row>
    <row r="47" spans="1:15" s="675" customFormat="1" ht="12.75" x14ac:dyDescent="0.2">
      <c r="A47" s="694">
        <v>32</v>
      </c>
      <c r="B47" s="694" t="s">
        <v>83</v>
      </c>
      <c r="C47" s="695">
        <f>'COEFIC 2023'!I39</f>
        <v>0.33092250201417356</v>
      </c>
      <c r="D47" s="696">
        <f t="shared" si="1"/>
        <v>9495151.8547656424</v>
      </c>
      <c r="E47" s="697">
        <f>'COEFIC 2023'!P39</f>
        <v>0.35285067758515876</v>
      </c>
      <c r="F47" s="698">
        <f t="shared" si="2"/>
        <v>10124336.499741973</v>
      </c>
      <c r="G47" s="699">
        <f>FPART!J47</f>
        <v>1.0119385015504034</v>
      </c>
      <c r="H47" s="700">
        <f t="shared" si="3"/>
        <v>6452339.6675941972</v>
      </c>
      <c r="I47" s="701">
        <f t="shared" si="4"/>
        <v>26071828.022101816</v>
      </c>
      <c r="M47" s="702"/>
      <c r="N47" s="703"/>
      <c r="O47" s="704"/>
    </row>
    <row r="48" spans="1:15" s="675" customFormat="1" ht="12.75" x14ac:dyDescent="0.2">
      <c r="A48" s="694">
        <v>33</v>
      </c>
      <c r="B48" s="694" t="s">
        <v>108</v>
      </c>
      <c r="C48" s="695">
        <f>'COEFIC 2023'!I40</f>
        <v>0.45202560790558383</v>
      </c>
      <c r="D48" s="696">
        <f t="shared" ref="D48:D79" si="5">$F$8*C48%</f>
        <v>12969960.529074088</v>
      </c>
      <c r="E48" s="697">
        <f>'COEFIC 2023'!P40</f>
        <v>0.49576725952589529</v>
      </c>
      <c r="F48" s="698">
        <f t="shared" ref="F48:F79" si="6">$F$9*E48%</f>
        <v>14225038.748249779</v>
      </c>
      <c r="G48" s="699">
        <f>FPART!J48</f>
        <v>0.99721656830305083</v>
      </c>
      <c r="H48" s="700">
        <f t="shared" ref="H48:H79" si="7">$F$10*G48%</f>
        <v>6358469.4237700626</v>
      </c>
      <c r="I48" s="701">
        <f t="shared" ref="I48:I79" si="8">D48+F48+H48</f>
        <v>33553468.701093927</v>
      </c>
      <c r="M48" s="702"/>
      <c r="N48" s="703"/>
      <c r="O48" s="704"/>
    </row>
    <row r="49" spans="1:15" s="675" customFormat="1" ht="12.75" x14ac:dyDescent="0.2">
      <c r="A49" s="694">
        <v>34</v>
      </c>
      <c r="B49" s="694" t="s">
        <v>110</v>
      </c>
      <c r="C49" s="695">
        <f>'COEFIC 2023'!I41</f>
        <v>2.6472115541333623</v>
      </c>
      <c r="D49" s="696">
        <f t="shared" si="5"/>
        <v>75956381.162347972</v>
      </c>
      <c r="E49" s="697">
        <f>'COEFIC 2023'!P41</f>
        <v>1.9717994179898699</v>
      </c>
      <c r="F49" s="698">
        <f t="shared" si="6"/>
        <v>56576796.038337804</v>
      </c>
      <c r="G49" s="699">
        <f>FPART!J49</f>
        <v>1.1983385718274551</v>
      </c>
      <c r="H49" s="700">
        <f t="shared" si="7"/>
        <v>7640866.9996882621</v>
      </c>
      <c r="I49" s="701">
        <f t="shared" si="8"/>
        <v>140174044.20037404</v>
      </c>
      <c r="M49" s="702"/>
      <c r="N49" s="703"/>
      <c r="O49" s="704"/>
    </row>
    <row r="50" spans="1:15" s="675" customFormat="1" ht="12.75" x14ac:dyDescent="0.2">
      <c r="A50" s="694">
        <v>35</v>
      </c>
      <c r="B50" s="694" t="s">
        <v>112</v>
      </c>
      <c r="C50" s="695">
        <f>'COEFIC 2023'!I42</f>
        <v>0.64493563278320676</v>
      </c>
      <c r="D50" s="696">
        <f t="shared" si="5"/>
        <v>18505123.503398497</v>
      </c>
      <c r="E50" s="697">
        <f>'COEFIC 2023'!P42</f>
        <v>1.3912005894388211</v>
      </c>
      <c r="F50" s="698">
        <f t="shared" si="6"/>
        <v>39917687.001518264</v>
      </c>
      <c r="G50" s="699">
        <f>FPART!J50</f>
        <v>0.66229187199343809</v>
      </c>
      <c r="H50" s="700">
        <f t="shared" si="7"/>
        <v>4222916.8182070889</v>
      </c>
      <c r="I50" s="701">
        <f t="shared" si="8"/>
        <v>62645727.323123842</v>
      </c>
      <c r="M50" s="702"/>
      <c r="N50" s="703"/>
      <c r="O50" s="704"/>
    </row>
    <row r="51" spans="1:15" s="675" customFormat="1" ht="12.75" x14ac:dyDescent="0.2">
      <c r="A51" s="694">
        <v>36</v>
      </c>
      <c r="B51" s="694" t="s">
        <v>114</v>
      </c>
      <c r="C51" s="695">
        <f>'COEFIC 2023'!I43</f>
        <v>0.24519641192828742</v>
      </c>
      <c r="D51" s="696">
        <f t="shared" si="5"/>
        <v>7035415.093661543</v>
      </c>
      <c r="E51" s="697">
        <f>'COEFIC 2023'!P43</f>
        <v>0.38634093434527844</v>
      </c>
      <c r="F51" s="698">
        <f t="shared" si="6"/>
        <v>11085271.678392375</v>
      </c>
      <c r="G51" s="699">
        <f>FPART!J51</f>
        <v>0.81181104447788688</v>
      </c>
      <c r="H51" s="700">
        <f t="shared" si="7"/>
        <v>5176283.5358575843</v>
      </c>
      <c r="I51" s="701">
        <f t="shared" si="8"/>
        <v>23296970.307911504</v>
      </c>
      <c r="M51" s="702"/>
      <c r="N51" s="703"/>
      <c r="O51" s="704"/>
    </row>
    <row r="52" spans="1:15" s="675" customFormat="1" ht="12.75" x14ac:dyDescent="0.2">
      <c r="A52" s="694">
        <v>37</v>
      </c>
      <c r="B52" s="694" t="s">
        <v>92</v>
      </c>
      <c r="C52" s="695">
        <f>'COEFIC 2023'!I44</f>
        <v>0.16730380391362448</v>
      </c>
      <c r="D52" s="696">
        <f t="shared" si="5"/>
        <v>4800444.2561955471</v>
      </c>
      <c r="E52" s="697">
        <f>'COEFIC 2023'!P44</f>
        <v>0.29726517420617776</v>
      </c>
      <c r="F52" s="698">
        <f t="shared" si="6"/>
        <v>8529422.9103227574</v>
      </c>
      <c r="G52" s="699">
        <f>FPART!J52</f>
        <v>0.75300089428431383</v>
      </c>
      <c r="H52" s="700">
        <f t="shared" si="7"/>
        <v>4801297.2453174135</v>
      </c>
      <c r="I52" s="701">
        <f t="shared" si="8"/>
        <v>18131164.411835719</v>
      </c>
      <c r="M52" s="702"/>
      <c r="N52" s="703"/>
      <c r="O52" s="704"/>
    </row>
    <row r="53" spans="1:15" s="675" customFormat="1" ht="12.75" x14ac:dyDescent="0.2">
      <c r="A53" s="694">
        <v>38</v>
      </c>
      <c r="B53" s="694" t="s">
        <v>51</v>
      </c>
      <c r="C53" s="695">
        <f>'COEFIC 2023'!I45</f>
        <v>0.88385683595551423</v>
      </c>
      <c r="D53" s="696">
        <f t="shared" si="5"/>
        <v>25360484.174360693</v>
      </c>
      <c r="E53" s="697">
        <f>'COEFIC 2023'!P45</f>
        <v>1.9184634861274525</v>
      </c>
      <c r="F53" s="698">
        <f t="shared" si="6"/>
        <v>55046429.353489652</v>
      </c>
      <c r="G53" s="699">
        <f>FPART!J53</f>
        <v>0.65948364803154547</v>
      </c>
      <c r="H53" s="700">
        <f t="shared" si="7"/>
        <v>4205010.9723112695</v>
      </c>
      <c r="I53" s="701">
        <f t="shared" si="8"/>
        <v>84611924.500161618</v>
      </c>
      <c r="M53" s="702"/>
      <c r="N53" s="703"/>
      <c r="O53" s="704"/>
    </row>
    <row r="54" spans="1:15" s="675" customFormat="1" ht="12.75" x14ac:dyDescent="0.2">
      <c r="A54" s="694">
        <v>39</v>
      </c>
      <c r="B54" s="694" t="s">
        <v>105</v>
      </c>
      <c r="C54" s="695">
        <f>'COEFIC 2023'!I46</f>
        <v>0.18983559374214284</v>
      </c>
      <c r="D54" s="696">
        <f t="shared" si="5"/>
        <v>5446948.3913911721</v>
      </c>
      <c r="E54" s="697">
        <f>'COEFIC 2023'!P46</f>
        <v>0.31996796117075799</v>
      </c>
      <c r="F54" s="698">
        <f t="shared" si="6"/>
        <v>9180833.4624702521</v>
      </c>
      <c r="G54" s="699">
        <f>FPART!J54</f>
        <v>0.77860048179540364</v>
      </c>
      <c r="H54" s="700">
        <f t="shared" si="7"/>
        <v>4964525.775231814</v>
      </c>
      <c r="I54" s="701">
        <f t="shared" si="8"/>
        <v>19592307.629093237</v>
      </c>
      <c r="M54" s="702"/>
      <c r="N54" s="703"/>
      <c r="O54" s="704"/>
    </row>
    <row r="55" spans="1:15" s="675" customFormat="1" ht="12.75" x14ac:dyDescent="0.2">
      <c r="A55" s="694">
        <v>40</v>
      </c>
      <c r="B55" s="694" t="s">
        <v>96</v>
      </c>
      <c r="C55" s="695">
        <f>'COEFIC 2023'!I47</f>
        <v>0.38714668784795297</v>
      </c>
      <c r="D55" s="696">
        <f t="shared" si="5"/>
        <v>11108391.145393977</v>
      </c>
      <c r="E55" s="697">
        <f>'COEFIC 2023'!P47</f>
        <v>0.4670133881314788</v>
      </c>
      <c r="F55" s="698">
        <f t="shared" si="6"/>
        <v>13400004.567616476</v>
      </c>
      <c r="G55" s="699">
        <f>FPART!J55</f>
        <v>0.94771152584822815</v>
      </c>
      <c r="H55" s="700">
        <f t="shared" si="7"/>
        <v>6042814.5211373484</v>
      </c>
      <c r="I55" s="701">
        <f t="shared" si="8"/>
        <v>30551210.234147802</v>
      </c>
      <c r="M55" s="702"/>
      <c r="N55" s="703"/>
      <c r="O55" s="704"/>
    </row>
    <row r="56" spans="1:15" s="675" customFormat="1" ht="12.75" x14ac:dyDescent="0.2">
      <c r="A56" s="694">
        <v>41</v>
      </c>
      <c r="B56" s="694" t="s">
        <v>98</v>
      </c>
      <c r="C56" s="695">
        <f>'COEFIC 2023'!I48</f>
        <v>0.3378294431952521</v>
      </c>
      <c r="D56" s="696">
        <f t="shared" si="5"/>
        <v>9693332.5616293494</v>
      </c>
      <c r="E56" s="697">
        <f>'COEFIC 2023'!P48</f>
        <v>0.51242411214883699</v>
      </c>
      <c r="F56" s="698">
        <f t="shared" si="6"/>
        <v>14702973.443275468</v>
      </c>
      <c r="G56" s="699">
        <f>FPART!J56</f>
        <v>0.83078552954091656</v>
      </c>
      <c r="H56" s="700">
        <f t="shared" si="7"/>
        <v>5297268.9736651024</v>
      </c>
      <c r="I56" s="701">
        <f t="shared" si="8"/>
        <v>29693574.978569921</v>
      </c>
      <c r="M56" s="702"/>
      <c r="N56" s="703"/>
      <c r="O56" s="704"/>
    </row>
    <row r="57" spans="1:15" s="675" customFormat="1" ht="12.75" x14ac:dyDescent="0.2">
      <c r="A57" s="694">
        <v>42</v>
      </c>
      <c r="B57" s="694" t="s">
        <v>122</v>
      </c>
      <c r="C57" s="695">
        <f>'COEFIC 2023'!I49</f>
        <v>0.30116790479202737</v>
      </c>
      <c r="D57" s="696">
        <f t="shared" si="5"/>
        <v>8641403.8706241306</v>
      </c>
      <c r="E57" s="697">
        <f>'COEFIC 2023'!P49</f>
        <v>0.39561419725385255</v>
      </c>
      <c r="F57" s="698">
        <f t="shared" si="6"/>
        <v>11351349.200984977</v>
      </c>
      <c r="G57" s="699">
        <f>FPART!J57</f>
        <v>0.90375681182419565</v>
      </c>
      <c r="H57" s="700">
        <f t="shared" si="7"/>
        <v>5762549.7180485241</v>
      </c>
      <c r="I57" s="701">
        <f t="shared" si="8"/>
        <v>25755302.789657634</v>
      </c>
      <c r="M57" s="702"/>
      <c r="N57" s="703"/>
      <c r="O57" s="704"/>
    </row>
    <row r="58" spans="1:15" s="675" customFormat="1" ht="12.75" x14ac:dyDescent="0.2">
      <c r="A58" s="694">
        <v>43</v>
      </c>
      <c r="B58" s="694" t="s">
        <v>346</v>
      </c>
      <c r="C58" s="695">
        <f>'COEFIC 2023'!I50</f>
        <v>1.4483729310236635</v>
      </c>
      <c r="D58" s="696">
        <f t="shared" si="5"/>
        <v>41558131.703635745</v>
      </c>
      <c r="E58" s="697">
        <f>'COEFIC 2023'!P50</f>
        <v>1.9015322371627141</v>
      </c>
      <c r="F58" s="698">
        <f t="shared" si="6"/>
        <v>54560621.410443969</v>
      </c>
      <c r="G58" s="699">
        <f>FPART!J58</f>
        <v>0.90404025564543489</v>
      </c>
      <c r="H58" s="700">
        <f t="shared" si="7"/>
        <v>5764357.0174135687</v>
      </c>
      <c r="I58" s="701">
        <f t="shared" si="8"/>
        <v>101883110.13149329</v>
      </c>
      <c r="M58" s="702"/>
      <c r="N58" s="703"/>
      <c r="O58" s="704"/>
    </row>
    <row r="59" spans="1:15" s="675" customFormat="1" ht="12.75" x14ac:dyDescent="0.2">
      <c r="A59" s="694">
        <v>44</v>
      </c>
      <c r="B59" s="694" t="s">
        <v>102</v>
      </c>
      <c r="C59" s="695">
        <f>'COEFIC 2023'!I51</f>
        <v>0.27261359917756861</v>
      </c>
      <c r="D59" s="696">
        <f t="shared" si="5"/>
        <v>7822095.8263949091</v>
      </c>
      <c r="E59" s="697">
        <f>'COEFIC 2023'!P51</f>
        <v>0.37461514740795937</v>
      </c>
      <c r="F59" s="698">
        <f t="shared" si="6"/>
        <v>10748823.939393643</v>
      </c>
      <c r="G59" s="699">
        <f>FPART!J59</f>
        <v>0.88070325427299512</v>
      </c>
      <c r="H59" s="700">
        <f t="shared" si="7"/>
        <v>5615555.228127568</v>
      </c>
      <c r="I59" s="701">
        <f t="shared" si="8"/>
        <v>24186474.99391612</v>
      </c>
      <c r="M59" s="702"/>
      <c r="N59" s="703"/>
      <c r="O59" s="704"/>
    </row>
    <row r="60" spans="1:15" s="675" customFormat="1" ht="12.75" x14ac:dyDescent="0.2">
      <c r="A60" s="694">
        <v>45</v>
      </c>
      <c r="B60" s="694" t="s">
        <v>127</v>
      </c>
      <c r="C60" s="695">
        <f>'COEFIC 2023'!I52</f>
        <v>0.76140603422389352</v>
      </c>
      <c r="D60" s="696">
        <f t="shared" si="5"/>
        <v>21847006.09383494</v>
      </c>
      <c r="E60" s="697">
        <f>'COEFIC 2023'!P52</f>
        <v>0.75599148751357081</v>
      </c>
      <c r="F60" s="698">
        <f t="shared" si="6"/>
        <v>21691646.627717298</v>
      </c>
      <c r="G60" s="699">
        <f>FPART!J60</f>
        <v>1.0491964841174999</v>
      </c>
      <c r="H60" s="700">
        <f t="shared" si="7"/>
        <v>6689904.6564585287</v>
      </c>
      <c r="I60" s="701">
        <f t="shared" si="8"/>
        <v>50228557.378010765</v>
      </c>
      <c r="M60" s="702"/>
      <c r="N60" s="703"/>
      <c r="O60" s="704"/>
    </row>
    <row r="61" spans="1:15" s="675" customFormat="1" ht="12.75" x14ac:dyDescent="0.2">
      <c r="A61" s="694">
        <v>46</v>
      </c>
      <c r="B61" s="694" t="s">
        <v>119</v>
      </c>
      <c r="C61" s="695">
        <f>'COEFIC 2023'!I53</f>
        <v>0.31451851670911207</v>
      </c>
      <c r="D61" s="696">
        <f t="shared" si="5"/>
        <v>9024472.6759643424</v>
      </c>
      <c r="E61" s="697">
        <f>'COEFIC 2023'!P53</f>
        <v>0.43928797738663627</v>
      </c>
      <c r="F61" s="698">
        <f t="shared" si="6"/>
        <v>12604479.985106353</v>
      </c>
      <c r="G61" s="699">
        <f>FPART!J61</f>
        <v>0.87242123304316332</v>
      </c>
      <c r="H61" s="700">
        <f t="shared" si="7"/>
        <v>5562747.2620039089</v>
      </c>
      <c r="I61" s="701">
        <f t="shared" si="8"/>
        <v>27191699.923074607</v>
      </c>
      <c r="M61" s="702"/>
      <c r="N61" s="703"/>
      <c r="O61" s="704"/>
    </row>
    <row r="62" spans="1:15" s="675" customFormat="1" ht="12.75" x14ac:dyDescent="0.2">
      <c r="A62" s="694">
        <v>47</v>
      </c>
      <c r="B62" s="694" t="s">
        <v>121</v>
      </c>
      <c r="C62" s="695">
        <f>'COEFIC 2023'!I54</f>
        <v>0.41765936398021752</v>
      </c>
      <c r="D62" s="696">
        <f t="shared" si="5"/>
        <v>11983890.670532722</v>
      </c>
      <c r="E62" s="697">
        <f>'COEFIC 2023'!P54</f>
        <v>0.56420574714884908</v>
      </c>
      <c r="F62" s="698">
        <f t="shared" si="6"/>
        <v>16188742.72345607</v>
      </c>
      <c r="G62" s="699">
        <f>FPART!J62</f>
        <v>0.88942693458047528</v>
      </c>
      <c r="H62" s="700">
        <f t="shared" si="7"/>
        <v>5671179.3084537191</v>
      </c>
      <c r="I62" s="701">
        <f t="shared" si="8"/>
        <v>33843812.702442512</v>
      </c>
      <c r="M62" s="702"/>
      <c r="N62" s="703"/>
      <c r="O62" s="704"/>
    </row>
    <row r="63" spans="1:15" s="675" customFormat="1" ht="12.75" x14ac:dyDescent="0.2">
      <c r="A63" s="694">
        <v>48</v>
      </c>
      <c r="B63" s="694" t="s">
        <v>47</v>
      </c>
      <c r="C63" s="695">
        <f>'COEFIC 2023'!I55</f>
        <v>0.12097675940639052</v>
      </c>
      <c r="D63" s="696">
        <f t="shared" si="5"/>
        <v>3471183.4174755723</v>
      </c>
      <c r="E63" s="697">
        <f>'COEFIC 2023'!P55</f>
        <v>0.33094459983869112</v>
      </c>
      <c r="F63" s="698">
        <f t="shared" si="6"/>
        <v>9495785.9071440008</v>
      </c>
      <c r="G63" s="699">
        <f>FPART!J63</f>
        <v>0.55973048604757003</v>
      </c>
      <c r="H63" s="700">
        <f t="shared" si="7"/>
        <v>3568963.1462318944</v>
      </c>
      <c r="I63" s="701">
        <f t="shared" si="8"/>
        <v>16535932.470851466</v>
      </c>
      <c r="M63" s="702"/>
      <c r="N63" s="703"/>
      <c r="O63" s="704"/>
    </row>
    <row r="64" spans="1:15" s="675" customFormat="1" ht="12.75" x14ac:dyDescent="0.2">
      <c r="A64" s="694">
        <v>49</v>
      </c>
      <c r="B64" s="694" t="s">
        <v>115</v>
      </c>
      <c r="C64" s="695">
        <f>'COEFIC 2023'!I56</f>
        <v>0.40190816884775799</v>
      </c>
      <c r="D64" s="696">
        <f t="shared" si="5"/>
        <v>11531941.985367931</v>
      </c>
      <c r="E64" s="697">
        <f>'COEFIC 2023'!P56</f>
        <v>1.3248275146655468</v>
      </c>
      <c r="F64" s="698">
        <f t="shared" si="6"/>
        <v>38013245.870425396</v>
      </c>
      <c r="G64" s="699">
        <f>FPART!J64</f>
        <v>0.48667703346580021</v>
      </c>
      <c r="H64" s="700">
        <f t="shared" si="7"/>
        <v>3103158.4661788279</v>
      </c>
      <c r="I64" s="701">
        <f t="shared" si="8"/>
        <v>52648346.321972154</v>
      </c>
      <c r="M64" s="702"/>
      <c r="N64" s="703"/>
      <c r="O64" s="704"/>
    </row>
    <row r="65" spans="1:15" s="675" customFormat="1" ht="12.75" x14ac:dyDescent="0.2">
      <c r="A65" s="694">
        <v>50</v>
      </c>
      <c r="B65" s="694" t="s">
        <v>69</v>
      </c>
      <c r="C65" s="695">
        <f>'COEFIC 2023'!I57</f>
        <v>1.8806884872661696</v>
      </c>
      <c r="D65" s="696">
        <f t="shared" si="5"/>
        <v>53962552.166781694</v>
      </c>
      <c r="E65" s="697">
        <f>'COEFIC 2023'!P57</f>
        <v>1.2229607983357664</v>
      </c>
      <c r="F65" s="698">
        <f t="shared" si="6"/>
        <v>35090386.486096881</v>
      </c>
      <c r="G65" s="699">
        <f>FPART!J65</f>
        <v>1.2670218630598797</v>
      </c>
      <c r="H65" s="700">
        <f t="shared" si="7"/>
        <v>8078806.5818278054</v>
      </c>
      <c r="I65" s="701">
        <f t="shared" si="8"/>
        <v>97131745.234706387</v>
      </c>
      <c r="M65" s="702"/>
      <c r="N65" s="703"/>
      <c r="O65" s="704"/>
    </row>
    <row r="66" spans="1:15" s="675" customFormat="1" ht="12.75" x14ac:dyDescent="0.2">
      <c r="A66" s="694">
        <v>51</v>
      </c>
      <c r="B66" s="694" t="s">
        <v>126</v>
      </c>
      <c r="C66" s="695">
        <f>'COEFIC 2023'!I58</f>
        <v>0.29445048333847845</v>
      </c>
      <c r="D66" s="696">
        <f t="shared" si="5"/>
        <v>8448661.0490097348</v>
      </c>
      <c r="E66" s="697">
        <f>'COEFIC 2023'!P58</f>
        <v>0.39645821812299525</v>
      </c>
      <c r="F66" s="698">
        <f t="shared" si="6"/>
        <v>11375566.672665879</v>
      </c>
      <c r="G66" s="699">
        <f>FPART!J66</f>
        <v>0.89111035822978302</v>
      </c>
      <c r="H66" s="700">
        <f t="shared" si="7"/>
        <v>5681913.1832624674</v>
      </c>
      <c r="I66" s="701">
        <f t="shared" si="8"/>
        <v>25506140.904938079</v>
      </c>
      <c r="M66" s="702"/>
      <c r="N66" s="703"/>
      <c r="O66" s="704"/>
    </row>
    <row r="67" spans="1:15" s="675" customFormat="1" ht="12.75" x14ac:dyDescent="0.2">
      <c r="A67" s="694">
        <v>52</v>
      </c>
      <c r="B67" s="694" t="s">
        <v>58</v>
      </c>
      <c r="C67" s="695">
        <f>'COEFIC 2023'!I59</f>
        <v>4.1273816838869903</v>
      </c>
      <c r="D67" s="696">
        <f t="shared" si="5"/>
        <v>118426869.16892332</v>
      </c>
      <c r="E67" s="697">
        <f>'COEFIC 2023'!P59</f>
        <v>3.0951720361744934</v>
      </c>
      <c r="F67" s="698">
        <f t="shared" si="6"/>
        <v>88809701.127070054</v>
      </c>
      <c r="G67" s="699">
        <f>FPART!J67</f>
        <v>1.1948784663978282</v>
      </c>
      <c r="H67" s="700">
        <f t="shared" si="7"/>
        <v>7618804.615972816</v>
      </c>
      <c r="I67" s="701">
        <f t="shared" si="8"/>
        <v>214855374.9119662</v>
      </c>
      <c r="M67" s="702"/>
      <c r="N67" s="703"/>
      <c r="O67" s="704"/>
    </row>
    <row r="68" spans="1:15" s="675" customFormat="1" ht="12.75" x14ac:dyDescent="0.2">
      <c r="A68" s="694">
        <v>53</v>
      </c>
      <c r="B68" s="694" t="s">
        <v>103</v>
      </c>
      <c r="C68" s="695">
        <f>'COEFIC 2023'!I60</f>
        <v>17.879143690909327</v>
      </c>
      <c r="D68" s="696">
        <f t="shared" si="5"/>
        <v>513005864.9535051</v>
      </c>
      <c r="E68" s="697">
        <f>'COEFIC 2023'!P60</f>
        <v>7.4172287338747696</v>
      </c>
      <c r="F68" s="698">
        <f t="shared" si="6"/>
        <v>212822376.05787107</v>
      </c>
      <c r="G68" s="699">
        <f>FPART!J68</f>
        <v>1.4778431771649561</v>
      </c>
      <c r="H68" s="700">
        <f t="shared" si="7"/>
        <v>9423049.0685899965</v>
      </c>
      <c r="I68" s="701">
        <f t="shared" si="8"/>
        <v>735251290.07996619</v>
      </c>
      <c r="M68" s="702"/>
      <c r="N68" s="703"/>
      <c r="O68" s="704"/>
    </row>
    <row r="69" spans="1:15" s="675" customFormat="1" ht="12.75" x14ac:dyDescent="0.2">
      <c r="A69" s="694">
        <v>54</v>
      </c>
      <c r="B69" s="694" t="s">
        <v>94</v>
      </c>
      <c r="C69" s="695">
        <f>'COEFIC 2023'!I61</f>
        <v>0.16810399831874945</v>
      </c>
      <c r="D69" s="696">
        <f t="shared" si="5"/>
        <v>4823404.2161370749</v>
      </c>
      <c r="E69" s="697">
        <f>'COEFIC 2023'!P61</f>
        <v>0.30909086115032519</v>
      </c>
      <c r="F69" s="698">
        <f t="shared" si="6"/>
        <v>8868737.0779546387</v>
      </c>
      <c r="G69" s="699">
        <f>FPART!J69</f>
        <v>0.73658381055873901</v>
      </c>
      <c r="H69" s="700">
        <f t="shared" si="7"/>
        <v>4696618.3538764343</v>
      </c>
      <c r="I69" s="701">
        <f t="shared" si="8"/>
        <v>18388759.647968147</v>
      </c>
      <c r="M69" s="702"/>
      <c r="N69" s="703"/>
      <c r="O69" s="704"/>
    </row>
    <row r="70" spans="1:15" s="675" customFormat="1" ht="12.75" x14ac:dyDescent="0.2">
      <c r="A70" s="694">
        <v>55</v>
      </c>
      <c r="B70" s="694" t="s">
        <v>347</v>
      </c>
      <c r="C70" s="695">
        <f>'COEFIC 2023'!I62</f>
        <v>0.96301290882037449</v>
      </c>
      <c r="D70" s="696">
        <f t="shared" si="5"/>
        <v>27631707.580155414</v>
      </c>
      <c r="E70" s="697">
        <f>'COEFIC 2023'!P62</f>
        <v>0.80325130971927761</v>
      </c>
      <c r="F70" s="698">
        <f t="shared" si="6"/>
        <v>23047671.635811768</v>
      </c>
      <c r="G70" s="699">
        <f>FPART!J70</f>
        <v>1.1400301061832034</v>
      </c>
      <c r="H70" s="700">
        <f t="shared" si="7"/>
        <v>7269079.5587948309</v>
      </c>
      <c r="I70" s="701">
        <f t="shared" si="8"/>
        <v>57948458.774762012</v>
      </c>
      <c r="M70" s="702"/>
      <c r="N70" s="703"/>
      <c r="O70" s="704"/>
    </row>
    <row r="71" spans="1:15" s="675" customFormat="1" ht="12.75" x14ac:dyDescent="0.2">
      <c r="A71" s="694">
        <v>56</v>
      </c>
      <c r="B71" s="694" t="s">
        <v>348</v>
      </c>
      <c r="C71" s="695">
        <f>'COEFIC 2023'!I63</f>
        <v>0.68644045311218771</v>
      </c>
      <c r="D71" s="696">
        <f t="shared" si="5"/>
        <v>19696020.372997161</v>
      </c>
      <c r="E71" s="697">
        <f>'COEFIC 2023'!P63</f>
        <v>0.46532661427820704</v>
      </c>
      <c r="F71" s="698">
        <f t="shared" si="6"/>
        <v>13351606.00365065</v>
      </c>
      <c r="G71" s="699">
        <f>FPART!J71</f>
        <v>1.2461723056435674</v>
      </c>
      <c r="H71" s="700">
        <f t="shared" si="7"/>
        <v>7945865.2754510418</v>
      </c>
      <c r="I71" s="701">
        <f t="shared" si="8"/>
        <v>40993491.652098849</v>
      </c>
      <c r="J71" s="706"/>
      <c r="K71" s="706"/>
      <c r="L71" s="706"/>
      <c r="M71" s="702"/>
      <c r="N71" s="703"/>
      <c r="O71" s="704"/>
    </row>
    <row r="72" spans="1:15" s="706" customFormat="1" ht="12.75" x14ac:dyDescent="0.2">
      <c r="A72" s="226">
        <v>57</v>
      </c>
      <c r="B72" s="694" t="s">
        <v>65</v>
      </c>
      <c r="C72" s="695">
        <f>'COEFIC 2023'!I64</f>
        <v>0.17258929853694982</v>
      </c>
      <c r="D72" s="696">
        <f t="shared" si="5"/>
        <v>4952100.8337040534</v>
      </c>
      <c r="E72" s="697">
        <f>'COEFIC 2023'!P64</f>
        <v>0.74491573722474513</v>
      </c>
      <c r="F72" s="698">
        <f t="shared" si="6"/>
        <v>21373850.375550199</v>
      </c>
      <c r="G72" s="699">
        <f>FPART!J72</f>
        <v>0.3933193291422255</v>
      </c>
      <c r="H72" s="700">
        <f t="shared" si="7"/>
        <v>2507889.4671639428</v>
      </c>
      <c r="I72" s="701">
        <f t="shared" si="8"/>
        <v>28833840.676418196</v>
      </c>
      <c r="J72" s="675"/>
      <c r="K72" s="675"/>
      <c r="L72" s="675"/>
      <c r="M72" s="702"/>
      <c r="N72" s="703"/>
      <c r="O72" s="704"/>
    </row>
    <row r="73" spans="1:15" s="675" customFormat="1" ht="12.75" x14ac:dyDescent="0.2">
      <c r="A73" s="694">
        <v>58</v>
      </c>
      <c r="B73" s="694" t="s">
        <v>134</v>
      </c>
      <c r="C73" s="695">
        <f>'COEFIC 2023'!I65</f>
        <v>0.44181260036648906</v>
      </c>
      <c r="D73" s="696">
        <f t="shared" si="5"/>
        <v>12676918.935083548</v>
      </c>
      <c r="E73" s="697">
        <f>'COEFIC 2023'!P65</f>
        <v>0.50525093226213014</v>
      </c>
      <c r="F73" s="698">
        <f t="shared" si="6"/>
        <v>14497153.555261584</v>
      </c>
      <c r="G73" s="699">
        <f>FPART!J73</f>
        <v>0.97543619400196546</v>
      </c>
      <c r="H73" s="700">
        <f t="shared" si="7"/>
        <v>6219593.0267729843</v>
      </c>
      <c r="I73" s="701">
        <f t="shared" si="8"/>
        <v>33393665.517118115</v>
      </c>
      <c r="M73" s="702"/>
      <c r="N73" s="703"/>
      <c r="O73" s="704"/>
    </row>
    <row r="74" spans="1:15" s="675" customFormat="1" ht="12.75" x14ac:dyDescent="0.2">
      <c r="A74" s="694">
        <v>59</v>
      </c>
      <c r="B74" s="694" t="s">
        <v>136</v>
      </c>
      <c r="C74" s="695">
        <f>'COEFIC 2023'!I66</f>
        <v>0.19008828671218228</v>
      </c>
      <c r="D74" s="696">
        <f t="shared" si="5"/>
        <v>5454198.9050569162</v>
      </c>
      <c r="E74" s="697">
        <f>'COEFIC 2023'!P66</f>
        <v>0.34163452441152531</v>
      </c>
      <c r="F74" s="698">
        <f t="shared" si="6"/>
        <v>9802511.6707812641</v>
      </c>
      <c r="G74" s="699">
        <f>FPART!J74</f>
        <v>0.74749784840191158</v>
      </c>
      <c r="H74" s="700">
        <f t="shared" si="7"/>
        <v>4766208.6295712851</v>
      </c>
      <c r="I74" s="701">
        <f t="shared" si="8"/>
        <v>20022919.205409467</v>
      </c>
      <c r="M74" s="702"/>
      <c r="N74" s="703"/>
      <c r="O74" s="704"/>
    </row>
    <row r="75" spans="1:15" s="675" customFormat="1" ht="12.75" x14ac:dyDescent="0.2">
      <c r="A75" s="694">
        <v>60</v>
      </c>
      <c r="B75" s="694" t="s">
        <v>137</v>
      </c>
      <c r="C75" s="695">
        <f>'COEFIC 2023'!I67</f>
        <v>0.19872196318853044</v>
      </c>
      <c r="D75" s="696">
        <f t="shared" si="5"/>
        <v>5701924.7886365494</v>
      </c>
      <c r="E75" s="697">
        <f>'COEFIC 2023'!P67</f>
        <v>0.41133216924457244</v>
      </c>
      <c r="F75" s="698">
        <f t="shared" si="6"/>
        <v>11802344.615296351</v>
      </c>
      <c r="G75" s="699">
        <f>FPART!J75</f>
        <v>0.68111019086876712</v>
      </c>
      <c r="H75" s="700">
        <f t="shared" si="7"/>
        <v>4342906.5064842813</v>
      </c>
      <c r="I75" s="701">
        <f t="shared" si="8"/>
        <v>21847175.910417181</v>
      </c>
      <c r="M75" s="702"/>
      <c r="N75" s="703"/>
      <c r="O75" s="704"/>
    </row>
    <row r="76" spans="1:15" s="675" customFormat="1" ht="12.75" x14ac:dyDescent="0.2">
      <c r="A76" s="694">
        <v>61</v>
      </c>
      <c r="B76" s="694" t="s">
        <v>135</v>
      </c>
      <c r="C76" s="695">
        <f>'COEFIC 2023'!I68</f>
        <v>0.52168463664646103</v>
      </c>
      <c r="D76" s="696">
        <f t="shared" si="5"/>
        <v>14968685.462931212</v>
      </c>
      <c r="E76" s="697">
        <f>'COEFIC 2023'!P68</f>
        <v>0.59684263357744027</v>
      </c>
      <c r="F76" s="698">
        <f t="shared" si="6"/>
        <v>17125192.166513108</v>
      </c>
      <c r="G76" s="699">
        <f>FPART!J76</f>
        <v>0.97521720136537549</v>
      </c>
      <c r="H76" s="700">
        <f t="shared" si="7"/>
        <v>6218196.6821593381</v>
      </c>
      <c r="I76" s="701">
        <f t="shared" si="8"/>
        <v>38312074.311603658</v>
      </c>
      <c r="M76" s="702"/>
      <c r="N76" s="703"/>
      <c r="O76" s="704"/>
    </row>
    <row r="77" spans="1:15" s="675" customFormat="1" ht="12.75" x14ac:dyDescent="0.2">
      <c r="A77" s="694">
        <v>62</v>
      </c>
      <c r="B77" s="694" t="s">
        <v>113</v>
      </c>
      <c r="C77" s="695">
        <f>'COEFIC 2023'!I69</f>
        <v>0.44280231449914359</v>
      </c>
      <c r="D77" s="696">
        <f t="shared" si="5"/>
        <v>12705316.780274384</v>
      </c>
      <c r="E77" s="697">
        <f>'COEFIC 2023'!P69</f>
        <v>0.48709064033904148</v>
      </c>
      <c r="F77" s="698">
        <f t="shared" si="6"/>
        <v>13976080.710450279</v>
      </c>
      <c r="G77" s="699">
        <f>FPART!J77</f>
        <v>0.99567317695291968</v>
      </c>
      <c r="H77" s="700">
        <f t="shared" si="7"/>
        <v>6348628.4253143109</v>
      </c>
      <c r="I77" s="701">
        <f t="shared" si="8"/>
        <v>33030025.916038971</v>
      </c>
      <c r="M77" s="702"/>
      <c r="N77" s="703"/>
      <c r="O77" s="704"/>
    </row>
    <row r="78" spans="1:15" s="675" customFormat="1" ht="12.75" x14ac:dyDescent="0.2">
      <c r="A78" s="694">
        <v>63</v>
      </c>
      <c r="B78" s="694" t="s">
        <v>123</v>
      </c>
      <c r="C78" s="695">
        <f>'COEFIC 2023'!I70</f>
        <v>0.31352880257645754</v>
      </c>
      <c r="D78" s="696">
        <f t="shared" si="5"/>
        <v>8996074.8307735063</v>
      </c>
      <c r="E78" s="697">
        <f>'COEFIC 2023'!P70</f>
        <v>0.41328818544046847</v>
      </c>
      <c r="F78" s="698">
        <f t="shared" si="6"/>
        <v>11858468.543700647</v>
      </c>
      <c r="G78" s="699">
        <f>FPART!J78</f>
        <v>0.90197034059299264</v>
      </c>
      <c r="H78" s="700">
        <f t="shared" si="7"/>
        <v>5751158.7894768296</v>
      </c>
      <c r="I78" s="701">
        <f t="shared" si="8"/>
        <v>26605702.163950983</v>
      </c>
      <c r="M78" s="702"/>
      <c r="N78" s="703"/>
      <c r="O78" s="704"/>
    </row>
    <row r="79" spans="1:15" s="675" customFormat="1" ht="12.75" x14ac:dyDescent="0.2">
      <c r="A79" s="694">
        <v>64</v>
      </c>
      <c r="B79" s="694" t="s">
        <v>74</v>
      </c>
      <c r="C79" s="695">
        <f>'COEFIC 2023'!I71</f>
        <v>0.56502148100822813</v>
      </c>
      <c r="D79" s="696">
        <f t="shared" si="5"/>
        <v>16212148.556606537</v>
      </c>
      <c r="E79" s="697">
        <f>'COEFIC 2023'!P71</f>
        <v>0.68085562816258149</v>
      </c>
      <c r="F79" s="698">
        <f t="shared" si="6"/>
        <v>19535775.117216632</v>
      </c>
      <c r="G79" s="699">
        <f>FPART!J79</f>
        <v>0.94826481243502747</v>
      </c>
      <c r="H79" s="700">
        <f t="shared" si="7"/>
        <v>6046342.3965824302</v>
      </c>
      <c r="I79" s="701">
        <f t="shared" si="8"/>
        <v>41794266.070405602</v>
      </c>
      <c r="M79" s="702"/>
      <c r="N79" s="703"/>
      <c r="O79" s="704"/>
    </row>
    <row r="80" spans="1:15" s="675" customFormat="1" ht="12.75" x14ac:dyDescent="0.2">
      <c r="A80" s="694">
        <v>65</v>
      </c>
      <c r="B80" s="694" t="s">
        <v>89</v>
      </c>
      <c r="C80" s="695">
        <f>'COEFIC 2023'!I72</f>
        <v>0.83508709273789883</v>
      </c>
      <c r="D80" s="696">
        <f t="shared" ref="D80:D111" si="9">$F$8*C80%</f>
        <v>23961135.036871843</v>
      </c>
      <c r="E80" s="697">
        <f>'COEFIC 2023'!P72</f>
        <v>0.61494319721037083</v>
      </c>
      <c r="F80" s="698">
        <f t="shared" ref="F80:F111" si="10">$F$9*E80%</f>
        <v>17644551.228847776</v>
      </c>
      <c r="G80" s="699">
        <f>FPART!J80</f>
        <v>1.204188788717512</v>
      </c>
      <c r="H80" s="700">
        <f t="shared" ref="H80:H111" si="11">$F$10*G80%</f>
        <v>7678169.2531808512</v>
      </c>
      <c r="I80" s="701">
        <f t="shared" ref="I80:I111" si="12">D80+F80+H80</f>
        <v>49283855.518900476</v>
      </c>
      <c r="M80" s="702"/>
      <c r="N80" s="703"/>
      <c r="O80" s="704"/>
    </row>
    <row r="81" spans="1:15" s="675" customFormat="1" ht="12.75" x14ac:dyDescent="0.2">
      <c r="A81" s="694">
        <v>66</v>
      </c>
      <c r="B81" s="694" t="s">
        <v>118</v>
      </c>
      <c r="C81" s="695">
        <f>'COEFIC 2023'!I73</f>
        <v>2.0717033148684965</v>
      </c>
      <c r="D81" s="696">
        <f t="shared" si="9"/>
        <v>59443336.288612999</v>
      </c>
      <c r="E81" s="697">
        <f>'COEFIC 2023'!P73</f>
        <v>1.3350772698902451</v>
      </c>
      <c r="F81" s="698">
        <f t="shared" si="10"/>
        <v>38307341.864926614</v>
      </c>
      <c r="G81" s="699">
        <f>FPART!J81</f>
        <v>1.2715202471937566</v>
      </c>
      <c r="H81" s="700">
        <f t="shared" si="11"/>
        <v>8107489.2560640555</v>
      </c>
      <c r="I81" s="701">
        <f t="shared" si="12"/>
        <v>105858167.40960367</v>
      </c>
      <c r="M81" s="702"/>
      <c r="N81" s="703"/>
      <c r="O81" s="704"/>
    </row>
    <row r="82" spans="1:15" s="675" customFormat="1" ht="12.75" x14ac:dyDescent="0.2">
      <c r="A82" s="694">
        <v>67</v>
      </c>
      <c r="B82" s="694" t="s">
        <v>120</v>
      </c>
      <c r="C82" s="695">
        <f>'COEFIC 2023'!I74</f>
        <v>0.35000082125215265</v>
      </c>
      <c r="D82" s="696">
        <f t="shared" si="9"/>
        <v>10042565.636529414</v>
      </c>
      <c r="E82" s="697">
        <f>'COEFIC 2023'!P74</f>
        <v>0.49564708763613402</v>
      </c>
      <c r="F82" s="698">
        <f t="shared" si="10"/>
        <v>14221590.658938801</v>
      </c>
      <c r="G82" s="699">
        <f>FPART!J82</f>
        <v>0.8654049337071944</v>
      </c>
      <c r="H82" s="700">
        <f t="shared" si="11"/>
        <v>5518009.8135761376</v>
      </c>
      <c r="I82" s="701">
        <f t="shared" si="12"/>
        <v>29782166.109044351</v>
      </c>
      <c r="M82" s="702"/>
      <c r="N82" s="703"/>
      <c r="O82" s="704"/>
    </row>
    <row r="83" spans="1:15" s="675" customFormat="1" ht="12.75" x14ac:dyDescent="0.2">
      <c r="A83" s="694">
        <v>68</v>
      </c>
      <c r="B83" s="694" t="s">
        <v>144</v>
      </c>
      <c r="C83" s="695">
        <f>'COEFIC 2023'!I75</f>
        <v>0.61886614137413598</v>
      </c>
      <c r="D83" s="696">
        <f t="shared" si="9"/>
        <v>17757112.176882435</v>
      </c>
      <c r="E83" s="697">
        <f>'COEFIC 2023'!P75</f>
        <v>0.67531065033607796</v>
      </c>
      <c r="F83" s="698">
        <f t="shared" si="10"/>
        <v>19376673.19403673</v>
      </c>
      <c r="G83" s="699">
        <f>FPART!J83</f>
        <v>0.99986875676695242</v>
      </c>
      <c r="H83" s="700">
        <f t="shared" si="11"/>
        <v>6375380.353441528</v>
      </c>
      <c r="I83" s="701">
        <f t="shared" si="12"/>
        <v>43509165.724360697</v>
      </c>
      <c r="M83" s="702"/>
      <c r="N83" s="703"/>
      <c r="O83" s="704"/>
    </row>
    <row r="84" spans="1:15" s="675" customFormat="1" ht="12.75" x14ac:dyDescent="0.2">
      <c r="A84" s="694">
        <v>69</v>
      </c>
      <c r="B84" s="694" t="s">
        <v>84</v>
      </c>
      <c r="C84" s="695">
        <f>'COEFIC 2023'!I76</f>
        <v>2.2424395316251569</v>
      </c>
      <c r="D84" s="696">
        <f t="shared" si="9"/>
        <v>64342266.68876826</v>
      </c>
      <c r="E84" s="697">
        <f>'COEFIC 2023'!P76</f>
        <v>1.9355321382709125</v>
      </c>
      <c r="F84" s="698">
        <f t="shared" si="10"/>
        <v>55536179.802830152</v>
      </c>
      <c r="G84" s="699">
        <f>FPART!J84</f>
        <v>1.12226426101586</v>
      </c>
      <c r="H84" s="700">
        <f t="shared" si="11"/>
        <v>7155800.6714652563</v>
      </c>
      <c r="I84" s="701">
        <f t="shared" si="12"/>
        <v>127034247.16306368</v>
      </c>
      <c r="M84" s="702"/>
      <c r="N84" s="703"/>
      <c r="O84" s="704"/>
    </row>
    <row r="85" spans="1:15" s="675" customFormat="1" ht="12.75" x14ac:dyDescent="0.2">
      <c r="A85" s="694">
        <v>70</v>
      </c>
      <c r="B85" s="694" t="s">
        <v>53</v>
      </c>
      <c r="C85" s="695">
        <f>'COEFIC 2023'!I77</f>
        <v>0.32645825954347646</v>
      </c>
      <c r="D85" s="696">
        <f t="shared" si="9"/>
        <v>9367059.4466708079</v>
      </c>
      <c r="E85" s="697">
        <f>'COEFIC 2023'!P77</f>
        <v>0.45201662211357152</v>
      </c>
      <c r="F85" s="698">
        <f t="shared" si="10"/>
        <v>12969702.699947411</v>
      </c>
      <c r="G85" s="699">
        <f>FPART!J85</f>
        <v>0.87684522131647236</v>
      </c>
      <c r="H85" s="700">
        <f t="shared" si="11"/>
        <v>5590955.572075231</v>
      </c>
      <c r="I85" s="701">
        <f t="shared" si="12"/>
        <v>27927717.71869345</v>
      </c>
      <c r="M85" s="702"/>
      <c r="N85" s="703"/>
      <c r="O85" s="704"/>
    </row>
    <row r="86" spans="1:15" s="675" customFormat="1" ht="12.75" x14ac:dyDescent="0.2">
      <c r="A86" s="694">
        <v>71</v>
      </c>
      <c r="B86" s="694" t="s">
        <v>143</v>
      </c>
      <c r="C86" s="695">
        <f>'COEFIC 2023'!I78</f>
        <v>1.4584595920777386</v>
      </c>
      <c r="D86" s="696">
        <f t="shared" si="9"/>
        <v>41847548.040793411</v>
      </c>
      <c r="E86" s="697">
        <f>'COEFIC 2023'!P78</f>
        <v>1.0305721617264547</v>
      </c>
      <c r="F86" s="698">
        <f t="shared" si="10"/>
        <v>29570183.693545472</v>
      </c>
      <c r="G86" s="699">
        <f>FPART!J86</f>
        <v>1.2251911375010087</v>
      </c>
      <c r="H86" s="700">
        <f t="shared" si="11"/>
        <v>7812084.7904993566</v>
      </c>
      <c r="I86" s="701">
        <f t="shared" si="12"/>
        <v>79229816.524838239</v>
      </c>
      <c r="M86" s="702"/>
      <c r="N86" s="703"/>
      <c r="O86" s="704"/>
    </row>
    <row r="87" spans="1:15" s="675" customFormat="1" ht="12.75" x14ac:dyDescent="0.2">
      <c r="A87" s="694">
        <v>72</v>
      </c>
      <c r="B87" s="694" t="s">
        <v>132</v>
      </c>
      <c r="C87" s="695">
        <f>'COEFIC 2023'!I79</f>
        <v>0.29398721289340612</v>
      </c>
      <c r="D87" s="696">
        <f t="shared" si="9"/>
        <v>8435368.4406225365</v>
      </c>
      <c r="E87" s="697">
        <f>'COEFIC 2023'!P79</f>
        <v>0.37946277923825678</v>
      </c>
      <c r="F87" s="698">
        <f t="shared" si="10"/>
        <v>10887916.929699566</v>
      </c>
      <c r="G87" s="699">
        <f>FPART!J87</f>
        <v>0.91277339179785055</v>
      </c>
      <c r="H87" s="700">
        <f t="shared" si="11"/>
        <v>5820041.3902607309</v>
      </c>
      <c r="I87" s="701">
        <f t="shared" si="12"/>
        <v>25143326.760582831</v>
      </c>
      <c r="M87" s="702"/>
      <c r="N87" s="703"/>
      <c r="O87" s="704"/>
    </row>
    <row r="88" spans="1:15" s="675" customFormat="1" ht="12.75" x14ac:dyDescent="0.2">
      <c r="A88" s="694">
        <v>73</v>
      </c>
      <c r="B88" s="694" t="s">
        <v>85</v>
      </c>
      <c r="C88" s="695">
        <f>'COEFIC 2023'!I80</f>
        <v>0.5722653461493592</v>
      </c>
      <c r="D88" s="696">
        <f t="shared" si="9"/>
        <v>16419996.615024567</v>
      </c>
      <c r="E88" s="697">
        <f>'COEFIC 2023'!P80</f>
        <v>0.54450577422167679</v>
      </c>
      <c r="F88" s="698">
        <f t="shared" si="10"/>
        <v>15623491.846468983</v>
      </c>
      <c r="G88" s="699">
        <f>FPART!J88</f>
        <v>1.0714530756763703</v>
      </c>
      <c r="H88" s="700">
        <f t="shared" si="11"/>
        <v>6831817.5181202991</v>
      </c>
      <c r="I88" s="701">
        <f t="shared" si="12"/>
        <v>38875305.979613848</v>
      </c>
      <c r="M88" s="702"/>
      <c r="N88" s="703"/>
      <c r="O88" s="704"/>
    </row>
    <row r="89" spans="1:15" s="675" customFormat="1" ht="12.75" x14ac:dyDescent="0.2">
      <c r="A89" s="694">
        <v>74</v>
      </c>
      <c r="B89" s="224" t="s">
        <v>427</v>
      </c>
      <c r="C89" s="695">
        <f>'COEFIC 2023'!I81</f>
        <v>0.22222240940220003</v>
      </c>
      <c r="D89" s="696">
        <f t="shared" si="9"/>
        <v>6376222.5595508637</v>
      </c>
      <c r="E89" s="697">
        <f>'COEFIC 2023'!P81</f>
        <v>0.30271862627818635</v>
      </c>
      <c r="F89" s="698">
        <f t="shared" si="10"/>
        <v>8685898.6871020272</v>
      </c>
      <c r="G89" s="699">
        <f>FPART!J89</f>
        <v>0.88515068741753156</v>
      </c>
      <c r="H89" s="700">
        <f t="shared" si="11"/>
        <v>5643913.0277898004</v>
      </c>
      <c r="I89" s="701">
        <f t="shared" si="12"/>
        <v>20706034.274442691</v>
      </c>
      <c r="M89" s="702"/>
      <c r="N89" s="703"/>
      <c r="O89" s="704"/>
    </row>
    <row r="90" spans="1:15" s="675" customFormat="1" ht="12.75" x14ac:dyDescent="0.2">
      <c r="A90" s="694">
        <v>75</v>
      </c>
      <c r="B90" s="694" t="s">
        <v>146</v>
      </c>
      <c r="C90" s="695">
        <f>'COEFIC 2023'!I82</f>
        <v>1.6621932991720516</v>
      </c>
      <c r="D90" s="696">
        <f t="shared" si="9"/>
        <v>47693274.683800578</v>
      </c>
      <c r="E90" s="697">
        <f>'COEFIC 2023'!P82</f>
        <v>1.0263852879652673</v>
      </c>
      <c r="F90" s="698">
        <f t="shared" si="10"/>
        <v>29450049.819550086</v>
      </c>
      <c r="G90" s="699">
        <f>FPART!J90</f>
        <v>1.2927027552766872</v>
      </c>
      <c r="H90" s="700">
        <f t="shared" si="11"/>
        <v>8242553.528204333</v>
      </c>
      <c r="I90" s="701">
        <f t="shared" si="12"/>
        <v>85385878.031554997</v>
      </c>
      <c r="M90" s="702"/>
      <c r="N90" s="703"/>
      <c r="O90" s="704"/>
    </row>
    <row r="91" spans="1:15" s="675" customFormat="1" ht="12.75" x14ac:dyDescent="0.2">
      <c r="A91" s="694">
        <v>76</v>
      </c>
      <c r="B91" s="694" t="s">
        <v>148</v>
      </c>
      <c r="C91" s="695">
        <f>'COEFIC 2023'!I83</f>
        <v>1.6525488508155455</v>
      </c>
      <c r="D91" s="696">
        <f t="shared" si="9"/>
        <v>47416546.745557949</v>
      </c>
      <c r="E91" s="697">
        <f>'COEFIC 2023'!P83</f>
        <v>1.8504233032214761</v>
      </c>
      <c r="F91" s="698">
        <f t="shared" si="10"/>
        <v>53094153.926505826</v>
      </c>
      <c r="G91" s="699">
        <f>FPART!J91</f>
        <v>0.98641008576890343</v>
      </c>
      <c r="H91" s="700">
        <f t="shared" si="11"/>
        <v>6289564.9440853652</v>
      </c>
      <c r="I91" s="701">
        <f t="shared" si="12"/>
        <v>106800265.61614913</v>
      </c>
      <c r="M91" s="702"/>
      <c r="N91" s="703"/>
      <c r="O91" s="704"/>
    </row>
    <row r="92" spans="1:15" s="675" customFormat="1" ht="12.75" x14ac:dyDescent="0.2">
      <c r="A92" s="694">
        <v>77</v>
      </c>
      <c r="B92" s="694" t="s">
        <v>45</v>
      </c>
      <c r="C92" s="695">
        <f>'COEFIC 2023'!I84</f>
        <v>0.37223780261562495</v>
      </c>
      <c r="D92" s="696">
        <f t="shared" si="9"/>
        <v>10680610.839115003</v>
      </c>
      <c r="E92" s="697">
        <f>'COEFIC 2023'!P84</f>
        <v>0.62678870776607709</v>
      </c>
      <c r="F92" s="698">
        <f t="shared" si="10"/>
        <v>17984434.194917105</v>
      </c>
      <c r="G92" s="699">
        <f>FPART!J92</f>
        <v>0.77908231415513252</v>
      </c>
      <c r="H92" s="700">
        <f t="shared" si="11"/>
        <v>4967598.0430060374</v>
      </c>
      <c r="I92" s="701">
        <f t="shared" si="12"/>
        <v>33632643.077038147</v>
      </c>
      <c r="M92" s="702"/>
      <c r="N92" s="703"/>
      <c r="O92" s="704"/>
    </row>
    <row r="93" spans="1:15" s="675" customFormat="1" ht="12.75" x14ac:dyDescent="0.2">
      <c r="A93" s="694">
        <v>78</v>
      </c>
      <c r="B93" s="694" t="s">
        <v>349</v>
      </c>
      <c r="C93" s="695">
        <f>'COEFIC 2023'!I85</f>
        <v>0.26979186101212799</v>
      </c>
      <c r="D93" s="696">
        <f t="shared" si="9"/>
        <v>7741131.75712742</v>
      </c>
      <c r="E93" s="697">
        <f>'COEFIC 2023'!P85</f>
        <v>0.40979046274032732</v>
      </c>
      <c r="F93" s="698">
        <f t="shared" si="10"/>
        <v>11758108.465490313</v>
      </c>
      <c r="G93" s="699">
        <f>FPART!J93</f>
        <v>0.83009281053141881</v>
      </c>
      <c r="H93" s="700">
        <f t="shared" si="11"/>
        <v>5292852.0468097348</v>
      </c>
      <c r="I93" s="701">
        <f t="shared" si="12"/>
        <v>24792092.269427471</v>
      </c>
      <c r="M93" s="702"/>
      <c r="N93" s="703"/>
      <c r="O93" s="704"/>
    </row>
    <row r="94" spans="1:15" s="675" customFormat="1" ht="12.75" x14ac:dyDescent="0.2">
      <c r="A94" s="694">
        <v>79</v>
      </c>
      <c r="B94" s="694" t="s">
        <v>138</v>
      </c>
      <c r="C94" s="695">
        <f>'COEFIC 2023'!I86</f>
        <v>1.0506973694240664</v>
      </c>
      <c r="D94" s="696">
        <f t="shared" si="9"/>
        <v>30147635.822169043</v>
      </c>
      <c r="E94" s="697">
        <f>'COEFIC 2023'!P86</f>
        <v>0.84314994921472297</v>
      </c>
      <c r="F94" s="698">
        <f t="shared" si="10"/>
        <v>24192482.395134438</v>
      </c>
      <c r="G94" s="699">
        <f>FPART!J94</f>
        <v>1.160038930477814</v>
      </c>
      <c r="H94" s="700">
        <f t="shared" si="11"/>
        <v>7396660.1681898069</v>
      </c>
      <c r="I94" s="701">
        <f t="shared" si="12"/>
        <v>61736778.385493293</v>
      </c>
      <c r="M94" s="702"/>
      <c r="N94" s="703"/>
      <c r="O94" s="704"/>
    </row>
    <row r="95" spans="1:15" s="675" customFormat="1" ht="12.75" x14ac:dyDescent="0.2">
      <c r="A95" s="694">
        <v>80</v>
      </c>
      <c r="B95" s="694" t="s">
        <v>93</v>
      </c>
      <c r="C95" s="695">
        <f>'COEFIC 2023'!I87</f>
        <v>0.41763830623271425</v>
      </c>
      <c r="D95" s="696">
        <f t="shared" si="9"/>
        <v>11983286.461060578</v>
      </c>
      <c r="E95" s="697">
        <f>'COEFIC 2023'!P87</f>
        <v>0.46314450232260923</v>
      </c>
      <c r="F95" s="698">
        <f t="shared" si="10"/>
        <v>13288994.714734392</v>
      </c>
      <c r="G95" s="699">
        <f>FPART!J95</f>
        <v>0.99145128306937969</v>
      </c>
      <c r="H95" s="700">
        <f t="shared" si="11"/>
        <v>6321708.7129647937</v>
      </c>
      <c r="I95" s="701">
        <f t="shared" si="12"/>
        <v>31593989.888759762</v>
      </c>
      <c r="M95" s="702"/>
      <c r="N95" s="703"/>
      <c r="O95" s="704"/>
    </row>
    <row r="96" spans="1:15" s="675" customFormat="1" ht="12.75" x14ac:dyDescent="0.2">
      <c r="A96" s="694">
        <v>81</v>
      </c>
      <c r="B96" s="694" t="s">
        <v>116</v>
      </c>
      <c r="C96" s="695">
        <f>'COEFIC 2023'!I88</f>
        <v>0.19112011633984341</v>
      </c>
      <c r="D96" s="696">
        <f t="shared" si="9"/>
        <v>5483805.1691920441</v>
      </c>
      <c r="E96" s="697">
        <f>'COEFIC 2023'!P88</f>
        <v>0.43209989462611942</v>
      </c>
      <c r="F96" s="698">
        <f t="shared" si="10"/>
        <v>12398232.48927179</v>
      </c>
      <c r="G96" s="699">
        <f>FPART!J96</f>
        <v>0.64121680254968882</v>
      </c>
      <c r="H96" s="700">
        <f t="shared" si="11"/>
        <v>4088537.5981647018</v>
      </c>
      <c r="I96" s="701">
        <f t="shared" si="12"/>
        <v>21970575.256628536</v>
      </c>
      <c r="M96" s="702"/>
      <c r="N96" s="703"/>
      <c r="O96" s="704"/>
    </row>
    <row r="97" spans="1:15" s="675" customFormat="1" ht="12.75" x14ac:dyDescent="0.2">
      <c r="A97" s="694">
        <v>82</v>
      </c>
      <c r="B97" s="694" t="s">
        <v>152</v>
      </c>
      <c r="C97" s="695">
        <f>'COEFIC 2023'!I89</f>
        <v>1.6749332364115408</v>
      </c>
      <c r="D97" s="696">
        <f t="shared" si="9"/>
        <v>48058821.414448559</v>
      </c>
      <c r="E97" s="697">
        <f>'COEFIC 2023'!P89</f>
        <v>1.3119994634053675</v>
      </c>
      <c r="F97" s="698">
        <f t="shared" si="10"/>
        <v>37645170.886177562</v>
      </c>
      <c r="G97" s="699">
        <f>FPART!J97</f>
        <v>1.1724975552384336</v>
      </c>
      <c r="H97" s="700">
        <f t="shared" si="11"/>
        <v>7476099.0655372785</v>
      </c>
      <c r="I97" s="701">
        <f t="shared" si="12"/>
        <v>93180091.366163403</v>
      </c>
      <c r="M97" s="702"/>
      <c r="N97" s="703"/>
      <c r="O97" s="704"/>
    </row>
    <row r="98" spans="1:15" s="675" customFormat="1" ht="12.75" x14ac:dyDescent="0.2">
      <c r="A98" s="694">
        <v>83</v>
      </c>
      <c r="B98" s="694" t="s">
        <v>153</v>
      </c>
      <c r="C98" s="695">
        <f>'COEFIC 2023'!I90</f>
        <v>0.70444482722749913</v>
      </c>
      <c r="D98" s="696">
        <f t="shared" si="9"/>
        <v>20212619.47168152</v>
      </c>
      <c r="E98" s="697">
        <f>'COEFIC 2023'!P90</f>
        <v>0.84846349141285227</v>
      </c>
      <c r="F98" s="698">
        <f t="shared" si="10"/>
        <v>24344943.741071504</v>
      </c>
      <c r="G98" s="699">
        <f>FPART!J98</f>
        <v>0.94850811469966656</v>
      </c>
      <c r="H98" s="700">
        <f t="shared" si="11"/>
        <v>6047893.7446642965</v>
      </c>
      <c r="I98" s="701">
        <f t="shared" si="12"/>
        <v>50605456.957417324</v>
      </c>
      <c r="M98" s="702"/>
      <c r="N98" s="703"/>
      <c r="O98" s="704"/>
    </row>
    <row r="99" spans="1:15" s="675" customFormat="1" ht="12.75" x14ac:dyDescent="0.2">
      <c r="A99" s="694">
        <v>84</v>
      </c>
      <c r="B99" s="694" t="s">
        <v>107</v>
      </c>
      <c r="C99" s="695">
        <f>'COEFIC 2023'!I91</f>
        <v>0.66786751981428749</v>
      </c>
      <c r="D99" s="696">
        <f t="shared" si="9"/>
        <v>19163107.618564881</v>
      </c>
      <c r="E99" s="697">
        <f>'COEFIC 2023'!P91</f>
        <v>0.50669760758141813</v>
      </c>
      <c r="F99" s="698">
        <f t="shared" si="10"/>
        <v>14538662.977430141</v>
      </c>
      <c r="G99" s="699">
        <f>FPART!J99</f>
        <v>1.1889212876884179</v>
      </c>
      <c r="H99" s="700">
        <f t="shared" si="11"/>
        <v>7580820.3506891206</v>
      </c>
      <c r="I99" s="701">
        <f t="shared" si="12"/>
        <v>41282590.946684144</v>
      </c>
      <c r="M99" s="702"/>
      <c r="N99" s="703"/>
      <c r="O99" s="704"/>
    </row>
    <row r="100" spans="1:15" s="675" customFormat="1" ht="12.75" x14ac:dyDescent="0.2">
      <c r="A100" s="694">
        <v>85</v>
      </c>
      <c r="B100" s="694" t="s">
        <v>124</v>
      </c>
      <c r="C100" s="695">
        <f>'COEFIC 2023'!I92</f>
        <v>0.74241194597592763</v>
      </c>
      <c r="D100" s="696">
        <f t="shared" si="9"/>
        <v>21302009.14995975</v>
      </c>
      <c r="E100" s="697">
        <f>'COEFIC 2023'!P92</f>
        <v>0.66451015921013734</v>
      </c>
      <c r="F100" s="698">
        <f t="shared" si="10"/>
        <v>19066774.94679556</v>
      </c>
      <c r="G100" s="699">
        <f>FPART!J100</f>
        <v>1.1033537639277704</v>
      </c>
      <c r="H100" s="700">
        <f t="shared" si="11"/>
        <v>7035223.2348834267</v>
      </c>
      <c r="I100" s="701">
        <f t="shared" si="12"/>
        <v>47404007.331638739</v>
      </c>
      <c r="M100" s="702"/>
      <c r="N100" s="703"/>
      <c r="O100" s="704"/>
    </row>
    <row r="101" spans="1:15" s="675" customFormat="1" ht="12.75" x14ac:dyDescent="0.2">
      <c r="A101" s="694">
        <v>86</v>
      </c>
      <c r="B101" s="694" t="s">
        <v>129</v>
      </c>
      <c r="C101" s="695">
        <f>'COEFIC 2023'!I93</f>
        <v>0.32711104971607841</v>
      </c>
      <c r="D101" s="696">
        <f t="shared" si="9"/>
        <v>9385789.9403073173</v>
      </c>
      <c r="E101" s="697">
        <f>'COEFIC 2023'!P93</f>
        <v>0.39136182539384073</v>
      </c>
      <c r="F101" s="698">
        <f t="shared" si="10"/>
        <v>11229335.991523582</v>
      </c>
      <c r="G101" s="699">
        <f>FPART!J101</f>
        <v>0.9519731967183146</v>
      </c>
      <c r="H101" s="700">
        <f t="shared" si="11"/>
        <v>6069987.8601922011</v>
      </c>
      <c r="I101" s="701">
        <f t="shared" si="12"/>
        <v>26685113.7920231</v>
      </c>
      <c r="M101" s="702"/>
      <c r="N101" s="703"/>
      <c r="O101" s="704"/>
    </row>
    <row r="102" spans="1:15" s="675" customFormat="1" ht="12.75" x14ac:dyDescent="0.2">
      <c r="A102" s="694">
        <v>87</v>
      </c>
      <c r="B102" s="694" t="s">
        <v>350</v>
      </c>
      <c r="C102" s="695">
        <f>'COEFIC 2023'!I94</f>
        <v>0.32826922582875923</v>
      </c>
      <c r="D102" s="696">
        <f t="shared" si="9"/>
        <v>9419021.4612753149</v>
      </c>
      <c r="E102" s="697">
        <f>'COEFIC 2023'!P94</f>
        <v>0.36366268944449609</v>
      </c>
      <c r="F102" s="698">
        <f t="shared" si="10"/>
        <v>10434565.311125545</v>
      </c>
      <c r="G102" s="699">
        <f>FPART!J102</f>
        <v>0.9919886218149192</v>
      </c>
      <c r="H102" s="700">
        <f t="shared" si="11"/>
        <v>6325134.9015103104</v>
      </c>
      <c r="I102" s="701">
        <f t="shared" si="12"/>
        <v>26178721.673911169</v>
      </c>
      <c r="M102" s="702"/>
      <c r="N102" s="703"/>
      <c r="O102" s="704"/>
    </row>
    <row r="103" spans="1:15" s="675" customFormat="1" ht="12.75" x14ac:dyDescent="0.2">
      <c r="A103" s="694">
        <v>88</v>
      </c>
      <c r="B103" s="694" t="s">
        <v>99</v>
      </c>
      <c r="C103" s="695">
        <f>'COEFIC 2023'!I95</f>
        <v>2.411385839844038</v>
      </c>
      <c r="D103" s="696">
        <f t="shared" si="9"/>
        <v>69189839.283791155</v>
      </c>
      <c r="E103" s="697">
        <f>'COEFIC 2023'!P95</f>
        <v>1.5072208482992138</v>
      </c>
      <c r="F103" s="698">
        <f t="shared" si="10"/>
        <v>43246653.661094241</v>
      </c>
      <c r="G103" s="699">
        <f>FPART!J103</f>
        <v>1.2866929269784904</v>
      </c>
      <c r="H103" s="700">
        <f t="shared" si="11"/>
        <v>8204233.5577076338</v>
      </c>
      <c r="I103" s="701">
        <f t="shared" si="12"/>
        <v>120640726.50259304</v>
      </c>
      <c r="M103" s="702"/>
      <c r="N103" s="703"/>
      <c r="O103" s="704"/>
    </row>
    <row r="104" spans="1:15" s="675" customFormat="1" ht="12.75" x14ac:dyDescent="0.2">
      <c r="A104" s="694">
        <v>89</v>
      </c>
      <c r="B104" s="694" t="s">
        <v>55</v>
      </c>
      <c r="C104" s="695">
        <f>'COEFIC 2023'!I96</f>
        <v>0.50694421339415929</v>
      </c>
      <c r="D104" s="696">
        <f t="shared" si="9"/>
        <v>14545738.832429402</v>
      </c>
      <c r="E104" s="697">
        <f>'COEFIC 2023'!P96</f>
        <v>0.8277868069583757</v>
      </c>
      <c r="F104" s="698">
        <f t="shared" si="10"/>
        <v>23751668.102354381</v>
      </c>
      <c r="G104" s="699">
        <f>FPART!J104</f>
        <v>0.79415687293111992</v>
      </c>
      <c r="H104" s="700">
        <f t="shared" si="11"/>
        <v>5063716.7037870642</v>
      </c>
      <c r="I104" s="701">
        <f t="shared" si="12"/>
        <v>43361123.638570853</v>
      </c>
      <c r="M104" s="702"/>
      <c r="N104" s="703"/>
      <c r="O104" s="704"/>
    </row>
    <row r="105" spans="1:15" s="675" customFormat="1" ht="12.75" x14ac:dyDescent="0.2">
      <c r="A105" s="694">
        <v>90</v>
      </c>
      <c r="B105" s="694" t="s">
        <v>147</v>
      </c>
      <c r="C105" s="695">
        <f>'COEFIC 2023'!I97</f>
        <v>0.34376772799117933</v>
      </c>
      <c r="D105" s="696">
        <f t="shared" si="9"/>
        <v>9863719.6327743623</v>
      </c>
      <c r="E105" s="697">
        <f>'COEFIC 2023'!P97</f>
        <v>0.35072713773174047</v>
      </c>
      <c r="F105" s="698">
        <f t="shared" si="10"/>
        <v>10063405.818826869</v>
      </c>
      <c r="G105" s="699">
        <f>FPART!J105</f>
        <v>1.0349895076901878</v>
      </c>
      <c r="H105" s="700">
        <f t="shared" si="11"/>
        <v>6599317.8891618252</v>
      </c>
      <c r="I105" s="701">
        <f t="shared" si="12"/>
        <v>26526443.340763055</v>
      </c>
      <c r="M105" s="702"/>
      <c r="N105" s="703"/>
      <c r="O105" s="704"/>
    </row>
    <row r="106" spans="1:15" s="675" customFormat="1" ht="12.75" x14ac:dyDescent="0.2">
      <c r="A106" s="694">
        <v>91</v>
      </c>
      <c r="B106" s="694" t="s">
        <v>351</v>
      </c>
      <c r="C106" s="695">
        <f>'COEFIC 2023'!I98</f>
        <v>0.31447640121410547</v>
      </c>
      <c r="D106" s="696">
        <f t="shared" si="9"/>
        <v>9023264.2570200507</v>
      </c>
      <c r="E106" s="697">
        <f>'COEFIC 2023'!P98</f>
        <v>0.3913826442102713</v>
      </c>
      <c r="F106" s="698">
        <f t="shared" si="10"/>
        <v>11229933.345351871</v>
      </c>
      <c r="G106" s="699">
        <f>FPART!J106</f>
        <v>0.93155812720200115</v>
      </c>
      <c r="H106" s="700">
        <f t="shared" si="11"/>
        <v>5939816.9430317366</v>
      </c>
      <c r="I106" s="701">
        <f t="shared" si="12"/>
        <v>26193014.545403659</v>
      </c>
      <c r="M106" s="702"/>
      <c r="N106" s="703"/>
      <c r="O106" s="704"/>
    </row>
    <row r="107" spans="1:15" s="675" customFormat="1" ht="12.75" x14ac:dyDescent="0.2">
      <c r="A107" s="694">
        <v>92</v>
      </c>
      <c r="B107" s="694" t="s">
        <v>352</v>
      </c>
      <c r="C107" s="695">
        <f>'COEFIC 2023'!I99</f>
        <v>0.27029724695220692</v>
      </c>
      <c r="D107" s="696">
        <f t="shared" si="9"/>
        <v>7755632.784458911</v>
      </c>
      <c r="E107" s="697">
        <f>'COEFIC 2023'!P99</f>
        <v>1.386545035984039</v>
      </c>
      <c r="F107" s="698">
        <f t="shared" si="10"/>
        <v>39784105.311690345</v>
      </c>
      <c r="G107" s="699">
        <f>FPART!J107</f>
        <v>0.34111462177289331</v>
      </c>
      <c r="H107" s="700">
        <f t="shared" si="11"/>
        <v>2175020.9146993333</v>
      </c>
      <c r="I107" s="701">
        <f t="shared" si="12"/>
        <v>49714759.010848589</v>
      </c>
      <c r="M107" s="702"/>
      <c r="N107" s="703"/>
      <c r="O107" s="704"/>
    </row>
    <row r="108" spans="1:15" s="675" customFormat="1" ht="12.75" x14ac:dyDescent="0.2">
      <c r="A108" s="694">
        <v>93</v>
      </c>
      <c r="B108" s="694" t="s">
        <v>353</v>
      </c>
      <c r="C108" s="695">
        <f>'COEFIC 2023'!I100</f>
        <v>0.60132503770389689</v>
      </c>
      <c r="D108" s="696">
        <f t="shared" si="9"/>
        <v>17253805.686585281</v>
      </c>
      <c r="E108" s="697">
        <f>'COEFIC 2023'!P100</f>
        <v>0.65567373347769853</v>
      </c>
      <c r="F108" s="698">
        <f t="shared" si="10"/>
        <v>18813231.583403271</v>
      </c>
      <c r="G108" s="699">
        <f>FPART!J108</f>
        <v>1.0002632586827527</v>
      </c>
      <c r="H108" s="700">
        <f t="shared" si="11"/>
        <v>6377895.7833380681</v>
      </c>
      <c r="I108" s="701">
        <f t="shared" si="12"/>
        <v>42444933.053326622</v>
      </c>
      <c r="M108" s="702"/>
      <c r="N108" s="703"/>
      <c r="O108" s="704"/>
    </row>
    <row r="109" spans="1:15" s="675" customFormat="1" ht="12.75" x14ac:dyDescent="0.2">
      <c r="A109" s="694">
        <v>94</v>
      </c>
      <c r="B109" s="694" t="s">
        <v>354</v>
      </c>
      <c r="C109" s="695">
        <f>'COEFIC 2023'!I101</f>
        <v>0.13519073897111003</v>
      </c>
      <c r="D109" s="696">
        <f t="shared" si="9"/>
        <v>3879024.8111737459</v>
      </c>
      <c r="E109" s="697">
        <f>'COEFIC 2023'!P101</f>
        <v>0.28459801121905781</v>
      </c>
      <c r="F109" s="698">
        <f t="shared" si="10"/>
        <v>8165964.2896496328</v>
      </c>
      <c r="G109" s="699">
        <f>FPART!J109</f>
        <v>0.67337351189936723</v>
      </c>
      <c r="H109" s="700">
        <f t="shared" si="11"/>
        <v>4293575.7610553661</v>
      </c>
      <c r="I109" s="701">
        <f t="shared" si="12"/>
        <v>16338564.861878745</v>
      </c>
      <c r="M109" s="702"/>
      <c r="N109" s="703"/>
      <c r="O109" s="704"/>
    </row>
    <row r="110" spans="1:15" s="675" customFormat="1" ht="12.75" x14ac:dyDescent="0.2">
      <c r="A110" s="694">
        <v>95</v>
      </c>
      <c r="B110" s="694" t="s">
        <v>100</v>
      </c>
      <c r="C110" s="695">
        <f>'COEFIC 2023'!I102</f>
        <v>0.25953673797802668</v>
      </c>
      <c r="D110" s="696">
        <f t="shared" si="9"/>
        <v>7446881.7441925891</v>
      </c>
      <c r="E110" s="697">
        <f>'COEFIC 2023'!P102</f>
        <v>0.50154876438978779</v>
      </c>
      <c r="F110" s="698">
        <f t="shared" si="10"/>
        <v>14390927.336356048</v>
      </c>
      <c r="G110" s="699">
        <f>FPART!J110</f>
        <v>0.7130258503350696</v>
      </c>
      <c r="H110" s="700">
        <f t="shared" si="11"/>
        <v>4546407.6829652069</v>
      </c>
      <c r="I110" s="701">
        <f t="shared" si="12"/>
        <v>26384216.763513844</v>
      </c>
      <c r="M110" s="702"/>
      <c r="N110" s="703"/>
      <c r="O110" s="704"/>
    </row>
    <row r="111" spans="1:15" s="675" customFormat="1" ht="12.75" x14ac:dyDescent="0.2">
      <c r="A111" s="694">
        <v>96</v>
      </c>
      <c r="B111" s="694" t="s">
        <v>78</v>
      </c>
      <c r="C111" s="695">
        <f>'COEFIC 2023'!I103</f>
        <v>0.12573581034213366</v>
      </c>
      <c r="D111" s="696">
        <f t="shared" si="9"/>
        <v>3607734.7581804427</v>
      </c>
      <c r="E111" s="697">
        <f>'COEFIC 2023'!P103</f>
        <v>1.3013400949509077</v>
      </c>
      <c r="F111" s="698">
        <f t="shared" si="10"/>
        <v>37339321.868552707</v>
      </c>
      <c r="G111" s="699">
        <f>FPART!J111</f>
        <v>0.18422636972178577</v>
      </c>
      <c r="H111" s="700">
        <f t="shared" si="11"/>
        <v>1174667.3452502743</v>
      </c>
      <c r="I111" s="701">
        <f t="shared" si="12"/>
        <v>42121723.971983418</v>
      </c>
      <c r="M111" s="702"/>
      <c r="N111" s="703"/>
      <c r="O111" s="704"/>
    </row>
    <row r="112" spans="1:15" s="675" customFormat="1" ht="12.75" x14ac:dyDescent="0.2">
      <c r="A112" s="694">
        <v>97</v>
      </c>
      <c r="B112" s="694" t="s">
        <v>130</v>
      </c>
      <c r="C112" s="695">
        <f>'COEFIC 2023'!I104</f>
        <v>0.61185391145554102</v>
      </c>
      <c r="D112" s="696">
        <f t="shared" ref="D112:D128" si="13">$F$8*C112%</f>
        <v>17555910.422658004</v>
      </c>
      <c r="E112" s="697">
        <f>'COEFIC 2023'!P104</f>
        <v>1.6393849867608183</v>
      </c>
      <c r="F112" s="698">
        <f t="shared" ref="F112:F128" si="14">$F$9*E112%</f>
        <v>47038836.292402454</v>
      </c>
      <c r="G112" s="699">
        <f>FPART!J112</f>
        <v>0.56828479898068007</v>
      </c>
      <c r="H112" s="700">
        <f t="shared" ref="H112:H128" si="15">$F$10*G112%</f>
        <v>3623507.3033943647</v>
      </c>
      <c r="I112" s="701">
        <f t="shared" ref="I112:I128" si="16">D112+F112+H112</f>
        <v>68218254.01845482</v>
      </c>
      <c r="M112" s="702"/>
      <c r="N112" s="703"/>
      <c r="O112" s="704"/>
    </row>
    <row r="113" spans="1:15" s="675" customFormat="1" ht="12.75" x14ac:dyDescent="0.2">
      <c r="A113" s="694">
        <v>98</v>
      </c>
      <c r="B113" s="694" t="s">
        <v>355</v>
      </c>
      <c r="C113" s="695">
        <f>'COEFIC 2023'!I105</f>
        <v>0.54238440244219333</v>
      </c>
      <c r="D113" s="696">
        <f t="shared" si="13"/>
        <v>15562623.374050183</v>
      </c>
      <c r="E113" s="697">
        <f>'COEFIC 2023'!P105</f>
        <v>0.65675616703162876</v>
      </c>
      <c r="F113" s="698">
        <f t="shared" si="14"/>
        <v>18844289.824848637</v>
      </c>
      <c r="G113" s="699">
        <f>FPART!J113</f>
        <v>0.94575136814049388</v>
      </c>
      <c r="H113" s="700">
        <f t="shared" si="15"/>
        <v>6030316.1298685335</v>
      </c>
      <c r="I113" s="701">
        <f t="shared" si="16"/>
        <v>40437229.328767359</v>
      </c>
      <c r="M113" s="702"/>
      <c r="N113" s="703"/>
      <c r="O113" s="704"/>
    </row>
    <row r="114" spans="1:15" s="675" customFormat="1" ht="12.75" x14ac:dyDescent="0.2">
      <c r="A114" s="694">
        <v>99</v>
      </c>
      <c r="B114" s="694" t="s">
        <v>139</v>
      </c>
      <c r="C114" s="695">
        <f>'COEFIC 2023'!I106</f>
        <v>0.30173646397461618</v>
      </c>
      <c r="D114" s="696">
        <f t="shared" si="13"/>
        <v>8657717.5263720583</v>
      </c>
      <c r="E114" s="697">
        <f>'COEFIC 2023'!P106</f>
        <v>1.0151448119377655</v>
      </c>
      <c r="F114" s="698">
        <f t="shared" si="14"/>
        <v>29127527.095494259</v>
      </c>
      <c r="G114" s="699">
        <f>FPART!J114</f>
        <v>0.47909435811536139</v>
      </c>
      <c r="H114" s="700">
        <f t="shared" si="15"/>
        <v>3054809.6812722702</v>
      </c>
      <c r="I114" s="701">
        <f t="shared" si="16"/>
        <v>40840054.303138584</v>
      </c>
      <c r="M114" s="702"/>
      <c r="N114" s="703"/>
      <c r="O114" s="704"/>
    </row>
    <row r="115" spans="1:15" s="675" customFormat="1" ht="12.75" x14ac:dyDescent="0.2">
      <c r="A115" s="694">
        <v>100</v>
      </c>
      <c r="B115" s="694" t="s">
        <v>125</v>
      </c>
      <c r="C115" s="695">
        <f>'COEFIC 2023'!I107</f>
        <v>0.31399207302152987</v>
      </c>
      <c r="D115" s="696">
        <f t="shared" si="13"/>
        <v>9009367.4391607065</v>
      </c>
      <c r="E115" s="697">
        <f>'COEFIC 2023'!P107</f>
        <v>0.41005540499195375</v>
      </c>
      <c r="F115" s="698">
        <f t="shared" si="14"/>
        <v>11765710.447515184</v>
      </c>
      <c r="G115" s="699">
        <f>FPART!J115</f>
        <v>0.90675826255322967</v>
      </c>
      <c r="H115" s="700">
        <f t="shared" si="15"/>
        <v>5781687.6197783267</v>
      </c>
      <c r="I115" s="701">
        <f t="shared" si="16"/>
        <v>26556765.506454218</v>
      </c>
      <c r="M115" s="702"/>
      <c r="N115" s="703"/>
      <c r="O115" s="704"/>
    </row>
    <row r="116" spans="1:15" s="675" customFormat="1" ht="12.75" x14ac:dyDescent="0.2">
      <c r="A116" s="694">
        <v>101</v>
      </c>
      <c r="B116" s="694" t="s">
        <v>66</v>
      </c>
      <c r="C116" s="695">
        <f>'COEFIC 2023'!I108</f>
        <v>0.18646635414161672</v>
      </c>
      <c r="D116" s="696">
        <f t="shared" si="13"/>
        <v>5350274.8758479012</v>
      </c>
      <c r="E116" s="697">
        <f>'COEFIC 2023'!P108</f>
        <v>1.1972559825788365</v>
      </c>
      <c r="F116" s="698">
        <f t="shared" si="14"/>
        <v>34352838.789807647</v>
      </c>
      <c r="G116" s="699">
        <f>FPART!J116</f>
        <v>0.28176783207365719</v>
      </c>
      <c r="H116" s="700">
        <f t="shared" si="15"/>
        <v>1796612.8941189649</v>
      </c>
      <c r="I116" s="701">
        <f t="shared" si="16"/>
        <v>41499726.559774511</v>
      </c>
      <c r="M116" s="702"/>
      <c r="N116" s="703"/>
      <c r="O116" s="704"/>
    </row>
    <row r="117" spans="1:15" s="675" customFormat="1" ht="12.75" x14ac:dyDescent="0.2">
      <c r="A117" s="694">
        <v>102</v>
      </c>
      <c r="B117" s="694" t="s">
        <v>117</v>
      </c>
      <c r="C117" s="695">
        <f>'COEFIC 2023'!I109</f>
        <v>7.5131095007081719</v>
      </c>
      <c r="D117" s="696">
        <f t="shared" si="13"/>
        <v>215573480.72888413</v>
      </c>
      <c r="E117" s="697">
        <f>'COEFIC 2023'!P109</f>
        <v>3.2046435796815618</v>
      </c>
      <c r="F117" s="698">
        <f t="shared" si="14"/>
        <v>91950765.645344123</v>
      </c>
      <c r="G117" s="699">
        <f>FPART!J117</f>
        <v>1.4657363346795347</v>
      </c>
      <c r="H117" s="700">
        <f t="shared" si="15"/>
        <v>9345853.2114323583</v>
      </c>
      <c r="I117" s="701">
        <f t="shared" si="16"/>
        <v>316870099.58566058</v>
      </c>
      <c r="M117" s="702"/>
      <c r="N117" s="703"/>
      <c r="O117" s="704"/>
    </row>
    <row r="118" spans="1:15" s="675" customFormat="1" ht="12.75" x14ac:dyDescent="0.2">
      <c r="A118" s="694">
        <v>103</v>
      </c>
      <c r="B118" s="694" t="s">
        <v>356</v>
      </c>
      <c r="C118" s="695">
        <f>'COEFIC 2023'!I110</f>
        <v>0.49420427615467</v>
      </c>
      <c r="D118" s="696">
        <f t="shared" si="13"/>
        <v>14180192.101781409</v>
      </c>
      <c r="E118" s="697">
        <f>'COEFIC 2023'!P110</f>
        <v>0.56434491249142493</v>
      </c>
      <c r="F118" s="698">
        <f t="shared" si="14"/>
        <v>16192735.791478449</v>
      </c>
      <c r="G118" s="699">
        <f>FPART!J118</f>
        <v>0.97619221060691552</v>
      </c>
      <c r="H118" s="700">
        <f t="shared" si="15"/>
        <v>6224413.5528444843</v>
      </c>
      <c r="I118" s="701">
        <f t="shared" si="16"/>
        <v>36597341.446104348</v>
      </c>
      <c r="M118" s="702"/>
      <c r="N118" s="703"/>
      <c r="O118" s="704"/>
    </row>
    <row r="119" spans="1:15" s="675" customFormat="1" ht="12.75" x14ac:dyDescent="0.2">
      <c r="A119" s="694">
        <v>104</v>
      </c>
      <c r="B119" s="694" t="s">
        <v>109</v>
      </c>
      <c r="C119" s="695">
        <f>'COEFIC 2023'!I111</f>
        <v>0.33406010639216349</v>
      </c>
      <c r="D119" s="696">
        <f t="shared" si="13"/>
        <v>9585179.0661153123</v>
      </c>
      <c r="E119" s="697">
        <f>'COEFIC 2023'!P111</f>
        <v>0.47064902069414494</v>
      </c>
      <c r="F119" s="698">
        <f t="shared" si="14"/>
        <v>13504321.690388521</v>
      </c>
      <c r="G119" s="699">
        <f>FPART!J119</f>
        <v>0.86801168304157472</v>
      </c>
      <c r="H119" s="700">
        <f t="shared" si="15"/>
        <v>5534631.0134889055</v>
      </c>
      <c r="I119" s="701">
        <f t="shared" si="16"/>
        <v>28624131.769992739</v>
      </c>
      <c r="M119" s="702"/>
      <c r="N119" s="703"/>
      <c r="O119" s="704"/>
    </row>
    <row r="120" spans="1:15" s="675" customFormat="1" ht="12.75" x14ac:dyDescent="0.2">
      <c r="A120" s="694">
        <v>105</v>
      </c>
      <c r="B120" s="694" t="s">
        <v>150</v>
      </c>
      <c r="C120" s="695">
        <f>'COEFIC 2023'!I112</f>
        <v>0.44183365811399233</v>
      </c>
      <c r="D120" s="696">
        <f t="shared" si="13"/>
        <v>12677523.144555693</v>
      </c>
      <c r="E120" s="697">
        <f>'COEFIC 2023'!P112</f>
        <v>0.4853513770445434</v>
      </c>
      <c r="F120" s="698">
        <f t="shared" si="14"/>
        <v>13926176.068136254</v>
      </c>
      <c r="G120" s="699">
        <f>FPART!J120</f>
        <v>0.99639666628438228</v>
      </c>
      <c r="H120" s="700">
        <f t="shared" si="15"/>
        <v>6353241.550425496</v>
      </c>
      <c r="I120" s="701">
        <f t="shared" si="16"/>
        <v>32956940.763117444</v>
      </c>
      <c r="M120" s="702"/>
      <c r="N120" s="703"/>
      <c r="O120" s="704"/>
    </row>
    <row r="121" spans="1:15" s="675" customFormat="1" ht="12.75" x14ac:dyDescent="0.2">
      <c r="A121" s="694">
        <v>106</v>
      </c>
      <c r="B121" s="694" t="s">
        <v>357</v>
      </c>
      <c r="C121" s="695">
        <f>'COEFIC 2023'!I113</f>
        <v>0.68022841759871766</v>
      </c>
      <c r="D121" s="696">
        <f t="shared" si="13"/>
        <v>19517778.578714255</v>
      </c>
      <c r="E121" s="697">
        <f>'COEFIC 2023'!P113</f>
        <v>0.6649816513046064</v>
      </c>
      <c r="F121" s="698">
        <f t="shared" si="14"/>
        <v>19080303.458782677</v>
      </c>
      <c r="G121" s="699">
        <f>FPART!J121</f>
        <v>1.0573153678859981</v>
      </c>
      <c r="H121" s="700">
        <f t="shared" si="15"/>
        <v>6741672.4226970961</v>
      </c>
      <c r="I121" s="701">
        <f t="shared" si="16"/>
        <v>45339754.460194029</v>
      </c>
      <c r="M121" s="702"/>
      <c r="N121" s="703"/>
      <c r="O121" s="704"/>
    </row>
    <row r="122" spans="1:15" s="675" customFormat="1" ht="12.75" x14ac:dyDescent="0.2">
      <c r="A122" s="694">
        <v>107</v>
      </c>
      <c r="B122" s="694" t="s">
        <v>358</v>
      </c>
      <c r="C122" s="695">
        <f>'COEFIC 2023'!I114</f>
        <v>1.6178456829301266</v>
      </c>
      <c r="D122" s="696">
        <f t="shared" si="13"/>
        <v>46420809.535462268</v>
      </c>
      <c r="E122" s="697">
        <f>'COEFIC 2023'!P114</f>
        <v>1.0775803879663932</v>
      </c>
      <c r="F122" s="698">
        <f t="shared" si="14"/>
        <v>30918989.664292902</v>
      </c>
      <c r="G122" s="699">
        <f>FPART!J122</f>
        <v>1.2550168374600785</v>
      </c>
      <c r="H122" s="700">
        <f t="shared" si="15"/>
        <v>8002259.9312463682</v>
      </c>
      <c r="I122" s="701">
        <f t="shared" si="16"/>
        <v>85342059.131001532</v>
      </c>
      <c r="M122" s="702"/>
      <c r="N122" s="703"/>
      <c r="O122" s="704"/>
    </row>
    <row r="123" spans="1:15" s="675" customFormat="1" ht="12.75" x14ac:dyDescent="0.2">
      <c r="A123" s="694">
        <v>108</v>
      </c>
      <c r="B123" s="694" t="s">
        <v>149</v>
      </c>
      <c r="C123" s="695">
        <f>'COEFIC 2023'!I115</f>
        <v>4.313890153523614</v>
      </c>
      <c r="D123" s="696">
        <f t="shared" si="13"/>
        <v>123778352.46371552</v>
      </c>
      <c r="E123" s="697">
        <f>'COEFIC 2023'!P115</f>
        <v>2.6970472672578447</v>
      </c>
      <c r="F123" s="698">
        <f t="shared" si="14"/>
        <v>77386316.150229916</v>
      </c>
      <c r="G123" s="699">
        <f>FPART!J123</f>
        <v>1.2865683823402381</v>
      </c>
      <c r="H123" s="700">
        <f t="shared" si="15"/>
        <v>8203439.4340444356</v>
      </c>
      <c r="I123" s="701">
        <f t="shared" si="16"/>
        <v>209368108.04798985</v>
      </c>
      <c r="M123" s="702"/>
      <c r="N123" s="703"/>
      <c r="O123" s="704"/>
    </row>
    <row r="124" spans="1:15" s="675" customFormat="1" ht="12.75" x14ac:dyDescent="0.2">
      <c r="A124" s="694">
        <v>109</v>
      </c>
      <c r="B124" s="694" t="s">
        <v>50</v>
      </c>
      <c r="C124" s="695">
        <f>'COEFIC 2023'!I116</f>
        <v>6.8058639930627357E-2</v>
      </c>
      <c r="D124" s="696">
        <f t="shared" si="13"/>
        <v>1952805.0139740729</v>
      </c>
      <c r="E124" s="697">
        <f>'COEFIC 2023'!P116</f>
        <v>0.2211655189413736</v>
      </c>
      <c r="F124" s="698">
        <f t="shared" si="14"/>
        <v>6345897.2254973622</v>
      </c>
      <c r="G124" s="699">
        <f>FPART!J124</f>
        <v>0.49202659964457895</v>
      </c>
      <c r="H124" s="700">
        <f t="shared" si="15"/>
        <v>3137268.4620005805</v>
      </c>
      <c r="I124" s="701">
        <f t="shared" si="16"/>
        <v>11435970.701472016</v>
      </c>
      <c r="M124" s="702"/>
      <c r="N124" s="703"/>
      <c r="O124" s="704"/>
    </row>
    <row r="125" spans="1:15" s="675" customFormat="1" ht="12.75" x14ac:dyDescent="0.2">
      <c r="A125" s="694">
        <v>110</v>
      </c>
      <c r="B125" s="694" t="s">
        <v>111</v>
      </c>
      <c r="C125" s="695">
        <f>'COEFIC 2023'!I117</f>
        <v>1.0319349163986367</v>
      </c>
      <c r="D125" s="696">
        <f t="shared" si="13"/>
        <v>29609285.182487451</v>
      </c>
      <c r="E125" s="697">
        <f>'COEFIC 2023'!P117</f>
        <v>0.93707100970791035</v>
      </c>
      <c r="F125" s="698">
        <f t="shared" si="14"/>
        <v>26887357.256515875</v>
      </c>
      <c r="G125" s="699">
        <f>FPART!J125</f>
        <v>1.0958349989493676</v>
      </c>
      <c r="H125" s="700">
        <f t="shared" si="15"/>
        <v>6987281.9563895883</v>
      </c>
      <c r="I125" s="701">
        <f t="shared" si="16"/>
        <v>63483924.395392917</v>
      </c>
      <c r="M125" s="702"/>
      <c r="N125" s="703"/>
      <c r="O125" s="704"/>
    </row>
    <row r="126" spans="1:15" s="675" customFormat="1" ht="12.75" x14ac:dyDescent="0.2">
      <c r="A126" s="694">
        <v>111</v>
      </c>
      <c r="B126" s="694" t="s">
        <v>140</v>
      </c>
      <c r="C126" s="695">
        <f>'COEFIC 2023'!I118</f>
        <v>0.38750466955550888</v>
      </c>
      <c r="D126" s="696">
        <f t="shared" si="13"/>
        <v>11118662.70642045</v>
      </c>
      <c r="E126" s="697">
        <f>'COEFIC 2023'!P118</f>
        <v>0.45366995431345297</v>
      </c>
      <c r="F126" s="698">
        <f t="shared" si="14"/>
        <v>13017141.723309973</v>
      </c>
      <c r="G126" s="699">
        <f>FPART!J126</f>
        <v>0.96323146383146219</v>
      </c>
      <c r="H126" s="700">
        <f t="shared" si="15"/>
        <v>6141773.0164751541</v>
      </c>
      <c r="I126" s="701">
        <f t="shared" si="16"/>
        <v>30277577.446205579</v>
      </c>
      <c r="M126" s="702"/>
      <c r="N126" s="703"/>
      <c r="O126" s="704"/>
    </row>
    <row r="127" spans="1:15" s="675" customFormat="1" ht="12.75" x14ac:dyDescent="0.2">
      <c r="A127" s="694">
        <v>112</v>
      </c>
      <c r="B127" s="694" t="s">
        <v>142</v>
      </c>
      <c r="C127" s="695">
        <f>'COEFIC 2023'!I119</f>
        <v>3.3072455918764265</v>
      </c>
      <c r="D127" s="696">
        <f t="shared" si="13"/>
        <v>94894722.857274756</v>
      </c>
      <c r="E127" s="697">
        <f>'COEFIC 2023'!P119</f>
        <v>1.8287280295210968</v>
      </c>
      <c r="F127" s="698">
        <f t="shared" si="14"/>
        <v>52471651.929627478</v>
      </c>
      <c r="G127" s="699">
        <f>FPART!J127</f>
        <v>1.3464292708166699</v>
      </c>
      <c r="H127" s="700">
        <f t="shared" si="15"/>
        <v>8585125.460084701</v>
      </c>
      <c r="I127" s="701">
        <f t="shared" si="16"/>
        <v>155951500.24698696</v>
      </c>
      <c r="M127" s="702"/>
      <c r="N127" s="703"/>
      <c r="O127" s="704"/>
    </row>
    <row r="128" spans="1:15" s="675" customFormat="1" ht="12.75" x14ac:dyDescent="0.2">
      <c r="A128" s="694">
        <v>113</v>
      </c>
      <c r="B128" s="694" t="s">
        <v>101</v>
      </c>
      <c r="C128" s="695">
        <f>'COEFIC 2023'!I120</f>
        <v>0.55198673530369269</v>
      </c>
      <c r="D128" s="696">
        <f t="shared" si="13"/>
        <v>15838142.893348506</v>
      </c>
      <c r="E128" s="697">
        <f>'COEFIC 2023'!P120</f>
        <v>0.58979875485710986</v>
      </c>
      <c r="F128" s="698">
        <f t="shared" si="14"/>
        <v>16923082.313937336</v>
      </c>
      <c r="G128" s="699">
        <f>FPART!J128</f>
        <v>1.0108436899472564</v>
      </c>
      <c r="H128" s="700">
        <f t="shared" si="15"/>
        <v>6445358.9110317137</v>
      </c>
      <c r="I128" s="701">
        <f t="shared" si="16"/>
        <v>39206584.118317559</v>
      </c>
      <c r="J128" s="706"/>
      <c r="K128" s="706"/>
      <c r="L128" s="706"/>
      <c r="M128" s="702"/>
      <c r="N128" s="703"/>
      <c r="O128" s="704"/>
    </row>
    <row r="129" spans="1:9" s="706" customFormat="1" ht="13.5" thickBot="1" x14ac:dyDescent="0.25">
      <c r="A129" s="717"/>
      <c r="B129" s="718" t="s">
        <v>156</v>
      </c>
      <c r="C129" s="719">
        <f t="shared" ref="C129:I129" si="17">SUM(C16:C128)</f>
        <v>100.00000000000004</v>
      </c>
      <c r="D129" s="720">
        <f t="shared" si="17"/>
        <v>2869297734.960001</v>
      </c>
      <c r="E129" s="719">
        <f t="shared" si="17"/>
        <v>99.999999999999915</v>
      </c>
      <c r="F129" s="720">
        <f t="shared" si="17"/>
        <v>2869297734.9599986</v>
      </c>
      <c r="G129" s="721">
        <f t="shared" si="17"/>
        <v>100.00000000000006</v>
      </c>
      <c r="H129" s="720">
        <f t="shared" si="17"/>
        <v>637621718.88000023</v>
      </c>
      <c r="I129" s="720">
        <f t="shared" si="17"/>
        <v>6376217188.7999983</v>
      </c>
    </row>
    <row r="130" spans="1:9" s="675" customFormat="1" ht="13.5" thickTop="1" x14ac:dyDescent="0.2">
      <c r="D130" s="680"/>
      <c r="F130" s="680"/>
      <c r="H130" s="680"/>
      <c r="I130" s="680"/>
    </row>
    <row r="131" spans="1:9" s="675" customFormat="1" ht="12.75" x14ac:dyDescent="0.2">
      <c r="D131" s="680"/>
      <c r="E131" s="680"/>
      <c r="F131" s="680"/>
      <c r="G131" s="680"/>
      <c r="H131" s="680"/>
      <c r="I131" s="680"/>
    </row>
    <row r="132" spans="1:9" s="675" customFormat="1" ht="12.75" x14ac:dyDescent="0.2">
      <c r="H132" s="680"/>
    </row>
    <row r="133" spans="1:9" s="675" customFormat="1" ht="12.75" x14ac:dyDescent="0.2">
      <c r="D133" s="680"/>
    </row>
    <row r="134" spans="1:9" s="675" customFormat="1" ht="12.75" x14ac:dyDescent="0.2"/>
    <row r="135" spans="1:9" s="675" customFormat="1" ht="12.75" x14ac:dyDescent="0.2">
      <c r="C135" s="711" t="s">
        <v>7</v>
      </c>
      <c r="D135" s="711"/>
      <c r="I135" s="681"/>
    </row>
    <row r="136" spans="1:9" s="675" customFormat="1" ht="12.75" x14ac:dyDescent="0.2">
      <c r="A136" s="675" t="s">
        <v>7</v>
      </c>
      <c r="B136" s="675" t="s">
        <v>7</v>
      </c>
      <c r="I136" s="681"/>
    </row>
    <row r="137" spans="1:9" s="675" customFormat="1" ht="12.75" x14ac:dyDescent="0.2">
      <c r="A137" s="675" t="s">
        <v>7</v>
      </c>
      <c r="B137" s="675" t="s">
        <v>7</v>
      </c>
      <c r="I137" s="681"/>
    </row>
    <row r="138" spans="1:9" s="675" customFormat="1" ht="12.75" x14ac:dyDescent="0.2">
      <c r="I138" s="681"/>
    </row>
    <row r="139" spans="1:9" s="675" customFormat="1" ht="12.75" x14ac:dyDescent="0.2">
      <c r="I139" s="681"/>
    </row>
    <row r="140" spans="1:9" s="675" customFormat="1" ht="12.75" x14ac:dyDescent="0.2">
      <c r="I140" s="681"/>
    </row>
    <row r="141" spans="1:9" s="675" customFormat="1" ht="12.75" x14ac:dyDescent="0.2">
      <c r="I141" s="681"/>
    </row>
    <row r="142" spans="1:9" s="675" customFormat="1" ht="12.75" x14ac:dyDescent="0.2">
      <c r="I142" s="681"/>
    </row>
    <row r="143" spans="1:9" s="675" customFormat="1" ht="12.75" x14ac:dyDescent="0.2">
      <c r="I143" s="681"/>
    </row>
    <row r="144" spans="1:9" s="675" customFormat="1" ht="12.75" x14ac:dyDescent="0.2">
      <c r="I144" s="681"/>
    </row>
    <row r="145" spans="9:9" s="675" customFormat="1" ht="12.75" x14ac:dyDescent="0.2">
      <c r="I145" s="681"/>
    </row>
    <row r="146" spans="9:9" s="675" customFormat="1" ht="12.75" x14ac:dyDescent="0.2">
      <c r="I146" s="681"/>
    </row>
    <row r="147" spans="9:9" s="675" customFormat="1" ht="12.75" x14ac:dyDescent="0.2">
      <c r="I147" s="681"/>
    </row>
    <row r="148" spans="9:9" s="675" customFormat="1" ht="12.75" x14ac:dyDescent="0.2">
      <c r="I148" s="681"/>
    </row>
    <row r="149" spans="9:9" s="675" customFormat="1" ht="12.75" x14ac:dyDescent="0.2">
      <c r="I149" s="681"/>
    </row>
    <row r="150" spans="9:9" s="675" customFormat="1" ht="12.75" x14ac:dyDescent="0.2">
      <c r="I150" s="681"/>
    </row>
    <row r="151" spans="9:9" s="675" customFormat="1" ht="12.75" x14ac:dyDescent="0.2">
      <c r="I151" s="681"/>
    </row>
    <row r="152" spans="9:9" s="675" customFormat="1" ht="12.75" x14ac:dyDescent="0.2">
      <c r="I152" s="681"/>
    </row>
    <row r="153" spans="9:9" s="675" customFormat="1" ht="12.75" x14ac:dyDescent="0.2">
      <c r="I153" s="681"/>
    </row>
    <row r="154" spans="9:9" s="675" customFormat="1" ht="12.75" x14ac:dyDescent="0.2">
      <c r="I154" s="681"/>
    </row>
    <row r="155" spans="9:9" s="675" customFormat="1" ht="12.75" x14ac:dyDescent="0.2">
      <c r="I155" s="681"/>
    </row>
    <row r="156" spans="9:9" s="675" customFormat="1" ht="12.75" x14ac:dyDescent="0.2">
      <c r="I156" s="681"/>
    </row>
    <row r="157" spans="9:9" s="675" customFormat="1" ht="12.75" x14ac:dyDescent="0.2">
      <c r="I157" s="681"/>
    </row>
    <row r="158" spans="9:9" s="675" customFormat="1" ht="12.75" x14ac:dyDescent="0.2">
      <c r="I158" s="681"/>
    </row>
    <row r="159" spans="9:9" s="675" customFormat="1" ht="12.75" x14ac:dyDescent="0.2">
      <c r="I159" s="681"/>
    </row>
    <row r="160" spans="9:9" s="675" customFormat="1" ht="12.75" x14ac:dyDescent="0.2">
      <c r="I160" s="681"/>
    </row>
    <row r="161" spans="9:9" s="675" customFormat="1" ht="12.75" x14ac:dyDescent="0.2">
      <c r="I161" s="681"/>
    </row>
    <row r="162" spans="9:9" s="675" customFormat="1" ht="12.75" x14ac:dyDescent="0.2">
      <c r="I162" s="681"/>
    </row>
    <row r="163" spans="9:9" s="675" customFormat="1" ht="12.75" x14ac:dyDescent="0.2">
      <c r="I163" s="681"/>
    </row>
    <row r="164" spans="9:9" s="675" customFormat="1" ht="12.75" x14ac:dyDescent="0.2">
      <c r="I164" s="681"/>
    </row>
    <row r="165" spans="9:9" s="675" customFormat="1" ht="12.75" x14ac:dyDescent="0.2">
      <c r="I165" s="681"/>
    </row>
    <row r="166" spans="9:9" s="675" customFormat="1" ht="12.75" x14ac:dyDescent="0.2">
      <c r="I166" s="681"/>
    </row>
    <row r="167" spans="9:9" s="675" customFormat="1" ht="12.75" x14ac:dyDescent="0.2">
      <c r="I167" s="681"/>
    </row>
    <row r="168" spans="9:9" s="675" customFormat="1" ht="12.75" x14ac:dyDescent="0.2">
      <c r="I168" s="681"/>
    </row>
    <row r="169" spans="9:9" s="675" customFormat="1" ht="12.75" x14ac:dyDescent="0.2">
      <c r="I169" s="681"/>
    </row>
    <row r="170" spans="9:9" s="675" customFormat="1" ht="12.75" x14ac:dyDescent="0.2">
      <c r="I170" s="681"/>
    </row>
    <row r="171" spans="9:9" s="675" customFormat="1" ht="12.75" x14ac:dyDescent="0.2">
      <c r="I171" s="681"/>
    </row>
    <row r="172" spans="9:9" s="675" customFormat="1" ht="12.75" x14ac:dyDescent="0.2">
      <c r="I172" s="681"/>
    </row>
    <row r="173" spans="9:9" s="675" customFormat="1" ht="12.75" x14ac:dyDescent="0.2">
      <c r="I173" s="681"/>
    </row>
    <row r="174" spans="9:9" s="675" customFormat="1" ht="12.75" x14ac:dyDescent="0.2">
      <c r="I174" s="681"/>
    </row>
    <row r="175" spans="9:9" s="675" customFormat="1" ht="12.75" x14ac:dyDescent="0.2">
      <c r="I175" s="681"/>
    </row>
    <row r="176" spans="9:9" s="675" customFormat="1" ht="12.75" x14ac:dyDescent="0.2">
      <c r="I176" s="681"/>
    </row>
    <row r="177" spans="9:9" s="675" customFormat="1" ht="12.75" x14ac:dyDescent="0.2">
      <c r="I177" s="681"/>
    </row>
    <row r="178" spans="9:9" s="675" customFormat="1" ht="12.75" x14ac:dyDescent="0.2">
      <c r="I178" s="681"/>
    </row>
    <row r="179" spans="9:9" s="675" customFormat="1" ht="12.75" x14ac:dyDescent="0.2">
      <c r="I179" s="681"/>
    </row>
    <row r="180" spans="9:9" s="675" customFormat="1" ht="12.75" x14ac:dyDescent="0.2">
      <c r="I180" s="681"/>
    </row>
    <row r="181" spans="9:9" s="675" customFormat="1" ht="12.75" x14ac:dyDescent="0.2">
      <c r="I181" s="681"/>
    </row>
    <row r="182" spans="9:9" s="675" customFormat="1" ht="12.75" x14ac:dyDescent="0.2">
      <c r="I182" s="681"/>
    </row>
    <row r="183" spans="9:9" s="675" customFormat="1" ht="12.75" x14ac:dyDescent="0.2">
      <c r="I183" s="681"/>
    </row>
    <row r="184" spans="9:9" s="675" customFormat="1" ht="12.75" x14ac:dyDescent="0.2">
      <c r="I184" s="681"/>
    </row>
    <row r="185" spans="9:9" s="675" customFormat="1" ht="12.75" x14ac:dyDescent="0.2">
      <c r="I185" s="681"/>
    </row>
    <row r="186" spans="9:9" s="675" customFormat="1" ht="12.75" x14ac:dyDescent="0.2">
      <c r="I186" s="681"/>
    </row>
    <row r="187" spans="9:9" s="675" customFormat="1" ht="12.75" x14ac:dyDescent="0.2">
      <c r="I187" s="681"/>
    </row>
    <row r="188" spans="9:9" s="675" customFormat="1" ht="12.75" x14ac:dyDescent="0.2">
      <c r="I188" s="681"/>
    </row>
    <row r="189" spans="9:9" s="675" customFormat="1" ht="12.75" x14ac:dyDescent="0.2">
      <c r="I189" s="681"/>
    </row>
    <row r="190" spans="9:9" s="675" customFormat="1" ht="12.75" x14ac:dyDescent="0.2">
      <c r="I190" s="681"/>
    </row>
    <row r="191" spans="9:9" s="675" customFormat="1" ht="12.75" x14ac:dyDescent="0.2">
      <c r="I191" s="681"/>
    </row>
    <row r="192" spans="9:9" s="675" customFormat="1" ht="12.75" x14ac:dyDescent="0.2">
      <c r="I192" s="681"/>
    </row>
    <row r="193" spans="9:9" s="675" customFormat="1" ht="12.75" x14ac:dyDescent="0.2">
      <c r="I193" s="681"/>
    </row>
    <row r="194" spans="9:9" s="675" customFormat="1" ht="12.75" x14ac:dyDescent="0.2">
      <c r="I194" s="681"/>
    </row>
    <row r="195" spans="9:9" s="675" customFormat="1" ht="12.75" x14ac:dyDescent="0.2">
      <c r="I195" s="681"/>
    </row>
    <row r="196" spans="9:9" s="675" customFormat="1" ht="12.75" x14ac:dyDescent="0.2">
      <c r="I196" s="681"/>
    </row>
    <row r="197" spans="9:9" s="675" customFormat="1" ht="12.75" x14ac:dyDescent="0.2">
      <c r="I197" s="681"/>
    </row>
    <row r="198" spans="9:9" s="675" customFormat="1" ht="12.75" x14ac:dyDescent="0.2">
      <c r="I198" s="681"/>
    </row>
    <row r="199" spans="9:9" s="675" customFormat="1" ht="12.75" x14ac:dyDescent="0.2">
      <c r="I199" s="681"/>
    </row>
    <row r="200" spans="9:9" s="675" customFormat="1" ht="12.75" x14ac:dyDescent="0.2">
      <c r="I200" s="681"/>
    </row>
    <row r="201" spans="9:9" s="675" customFormat="1" ht="12.75" x14ac:dyDescent="0.2">
      <c r="I201" s="681"/>
    </row>
    <row r="202" spans="9:9" s="675" customFormat="1" ht="12.75" x14ac:dyDescent="0.2">
      <c r="I202" s="681"/>
    </row>
    <row r="203" spans="9:9" s="675" customFormat="1" ht="12.75" x14ac:dyDescent="0.2">
      <c r="I203" s="681"/>
    </row>
    <row r="204" spans="9:9" s="675" customFormat="1" ht="12.75" x14ac:dyDescent="0.2">
      <c r="I204" s="681"/>
    </row>
    <row r="205" spans="9:9" s="675" customFormat="1" ht="12.75" x14ac:dyDescent="0.2">
      <c r="I205" s="681"/>
    </row>
    <row r="206" spans="9:9" s="675" customFormat="1" ht="12.75" x14ac:dyDescent="0.2">
      <c r="I206" s="681"/>
    </row>
    <row r="207" spans="9:9" s="675" customFormat="1" ht="12.75" x14ac:dyDescent="0.2">
      <c r="I207" s="681"/>
    </row>
    <row r="208" spans="9:9" s="675" customFormat="1" ht="12.75" x14ac:dyDescent="0.2">
      <c r="I208" s="681"/>
    </row>
    <row r="209" spans="9:9" s="675" customFormat="1" ht="12.75" x14ac:dyDescent="0.2">
      <c r="I209" s="681"/>
    </row>
    <row r="210" spans="9:9" s="675" customFormat="1" ht="12.75" x14ac:dyDescent="0.2">
      <c r="I210" s="681"/>
    </row>
    <row r="211" spans="9:9" s="675" customFormat="1" ht="12.75" x14ac:dyDescent="0.2">
      <c r="I211" s="681"/>
    </row>
    <row r="212" spans="9:9" s="675" customFormat="1" ht="12.75" x14ac:dyDescent="0.2">
      <c r="I212" s="681"/>
    </row>
    <row r="213" spans="9:9" s="675" customFormat="1" ht="12.75" x14ac:dyDescent="0.2">
      <c r="I213" s="681"/>
    </row>
    <row r="214" spans="9:9" s="675" customFormat="1" ht="12.75" x14ac:dyDescent="0.2">
      <c r="I214" s="681"/>
    </row>
    <row r="215" spans="9:9" s="675" customFormat="1" ht="12.75" x14ac:dyDescent="0.2">
      <c r="I215" s="681"/>
    </row>
    <row r="216" spans="9:9" s="675" customFormat="1" ht="12.75" x14ac:dyDescent="0.2">
      <c r="I216" s="681"/>
    </row>
    <row r="217" spans="9:9" s="675" customFormat="1" ht="12.75" x14ac:dyDescent="0.2">
      <c r="I217" s="681"/>
    </row>
    <row r="218" spans="9:9" s="675" customFormat="1" ht="12.75" x14ac:dyDescent="0.2">
      <c r="I218" s="681"/>
    </row>
    <row r="219" spans="9:9" s="675" customFormat="1" ht="12.75" x14ac:dyDescent="0.2">
      <c r="I219" s="681"/>
    </row>
    <row r="220" spans="9:9" s="675" customFormat="1" ht="12.75" x14ac:dyDescent="0.2">
      <c r="I220" s="681"/>
    </row>
    <row r="221" spans="9:9" s="675" customFormat="1" ht="12.75" x14ac:dyDescent="0.2">
      <c r="I221" s="681"/>
    </row>
    <row r="222" spans="9:9" s="675" customFormat="1" ht="12.75" x14ac:dyDescent="0.2">
      <c r="I222" s="681"/>
    </row>
    <row r="223" spans="9:9" s="675" customFormat="1" ht="12.75" x14ac:dyDescent="0.2">
      <c r="I223" s="681"/>
    </row>
    <row r="224" spans="9:9" s="675" customFormat="1" ht="12.75" x14ac:dyDescent="0.2">
      <c r="I224" s="681"/>
    </row>
    <row r="225" spans="9:9" s="675" customFormat="1" ht="12.75" x14ac:dyDescent="0.2">
      <c r="I225" s="681"/>
    </row>
    <row r="226" spans="9:9" s="675" customFormat="1" ht="12.75" x14ac:dyDescent="0.2">
      <c r="I226" s="681"/>
    </row>
    <row r="227" spans="9:9" s="675" customFormat="1" ht="12.75" x14ac:dyDescent="0.2">
      <c r="I227" s="681"/>
    </row>
    <row r="228" spans="9:9" s="675" customFormat="1" ht="12.75" x14ac:dyDescent="0.2">
      <c r="I228" s="681"/>
    </row>
    <row r="229" spans="9:9" s="675" customFormat="1" ht="12.75" x14ac:dyDescent="0.2">
      <c r="I229" s="681"/>
    </row>
    <row r="230" spans="9:9" s="675" customFormat="1" ht="12.75" x14ac:dyDescent="0.2">
      <c r="I230" s="681"/>
    </row>
    <row r="231" spans="9:9" s="675" customFormat="1" ht="12.75" x14ac:dyDescent="0.2">
      <c r="I231" s="681"/>
    </row>
    <row r="232" spans="9:9" s="675" customFormat="1" ht="12.75" x14ac:dyDescent="0.2">
      <c r="I232" s="681"/>
    </row>
    <row r="233" spans="9:9" s="675" customFormat="1" ht="12.75" x14ac:dyDescent="0.2">
      <c r="I233" s="681"/>
    </row>
    <row r="234" spans="9:9" s="675" customFormat="1" ht="12.75" x14ac:dyDescent="0.2">
      <c r="I234" s="681"/>
    </row>
    <row r="235" spans="9:9" s="675" customFormat="1" ht="12.75" x14ac:dyDescent="0.2">
      <c r="I235" s="681"/>
    </row>
    <row r="236" spans="9:9" s="675" customFormat="1" ht="12.75" x14ac:dyDescent="0.2">
      <c r="I236" s="681"/>
    </row>
    <row r="237" spans="9:9" s="675" customFormat="1" ht="12.75" x14ac:dyDescent="0.2">
      <c r="I237" s="681"/>
    </row>
    <row r="238" spans="9:9" s="675" customFormat="1" ht="12.75" x14ac:dyDescent="0.2">
      <c r="I238" s="681"/>
    </row>
    <row r="239" spans="9:9" s="675" customFormat="1" ht="12.75" x14ac:dyDescent="0.2">
      <c r="I239" s="681"/>
    </row>
    <row r="240" spans="9:9" s="675" customFormat="1" ht="12.75" x14ac:dyDescent="0.2">
      <c r="I240" s="681"/>
    </row>
    <row r="241" spans="9:9" s="675" customFormat="1" ht="12.75" x14ac:dyDescent="0.2">
      <c r="I241" s="681"/>
    </row>
    <row r="242" spans="9:9" s="675" customFormat="1" ht="12.75" x14ac:dyDescent="0.2">
      <c r="I242" s="681"/>
    </row>
    <row r="243" spans="9:9" s="675" customFormat="1" ht="12.75" x14ac:dyDescent="0.2">
      <c r="I243" s="681"/>
    </row>
    <row r="244" spans="9:9" s="675" customFormat="1" ht="12.75" x14ac:dyDescent="0.2">
      <c r="I244" s="681"/>
    </row>
    <row r="245" spans="9:9" s="675" customFormat="1" ht="12.75" x14ac:dyDescent="0.2">
      <c r="I245" s="681"/>
    </row>
    <row r="246" spans="9:9" s="675" customFormat="1" ht="12.75" x14ac:dyDescent="0.2">
      <c r="I246" s="681"/>
    </row>
    <row r="247" spans="9:9" s="675" customFormat="1" ht="12.75" x14ac:dyDescent="0.2">
      <c r="I247" s="681"/>
    </row>
    <row r="248" spans="9:9" s="675" customFormat="1" ht="12.75" x14ac:dyDescent="0.2">
      <c r="I248" s="681"/>
    </row>
    <row r="249" spans="9:9" s="675" customFormat="1" ht="12.75" x14ac:dyDescent="0.2">
      <c r="I249" s="681"/>
    </row>
    <row r="250" spans="9:9" s="675" customFormat="1" ht="12.75" x14ac:dyDescent="0.2">
      <c r="I250" s="681"/>
    </row>
    <row r="251" spans="9:9" s="675" customFormat="1" ht="12.75" x14ac:dyDescent="0.2">
      <c r="I251" s="681"/>
    </row>
    <row r="252" spans="9:9" s="675" customFormat="1" ht="12.75" x14ac:dyDescent="0.2">
      <c r="I252" s="681"/>
    </row>
    <row r="253" spans="9:9" s="675" customFormat="1" ht="12.75" x14ac:dyDescent="0.2">
      <c r="I253" s="681"/>
    </row>
    <row r="254" spans="9:9" s="675" customFormat="1" ht="12.75" x14ac:dyDescent="0.2">
      <c r="I254" s="681"/>
    </row>
    <row r="255" spans="9:9" s="675" customFormat="1" ht="12.75" x14ac:dyDescent="0.2">
      <c r="I255" s="681"/>
    </row>
    <row r="256" spans="9:9" s="675" customFormat="1" ht="12.75" x14ac:dyDescent="0.2">
      <c r="I256" s="681"/>
    </row>
    <row r="257" spans="9:9" s="675" customFormat="1" ht="12.75" x14ac:dyDescent="0.2">
      <c r="I257" s="681"/>
    </row>
    <row r="258" spans="9:9" s="675" customFormat="1" ht="12.75" x14ac:dyDescent="0.2">
      <c r="I258" s="681"/>
    </row>
    <row r="259" spans="9:9" s="675" customFormat="1" ht="12.75" x14ac:dyDescent="0.2">
      <c r="I259" s="681"/>
    </row>
    <row r="260" spans="9:9" s="675" customFormat="1" ht="12.75" x14ac:dyDescent="0.2">
      <c r="I260" s="681"/>
    </row>
    <row r="261" spans="9:9" s="675" customFormat="1" ht="12.75" x14ac:dyDescent="0.2">
      <c r="I261" s="681"/>
    </row>
    <row r="262" spans="9:9" s="675" customFormat="1" ht="12.75" x14ac:dyDescent="0.2">
      <c r="I262" s="681"/>
    </row>
    <row r="263" spans="9:9" s="675" customFormat="1" ht="12.75" x14ac:dyDescent="0.2">
      <c r="I263" s="681"/>
    </row>
    <row r="264" spans="9:9" s="675" customFormat="1" ht="12.75" x14ac:dyDescent="0.2">
      <c r="I264" s="681"/>
    </row>
    <row r="265" spans="9:9" s="675" customFormat="1" ht="12.75" x14ac:dyDescent="0.2">
      <c r="I265" s="681"/>
    </row>
    <row r="266" spans="9:9" s="675" customFormat="1" ht="12.75" x14ac:dyDescent="0.2">
      <c r="I266" s="681"/>
    </row>
    <row r="267" spans="9:9" s="675" customFormat="1" ht="12.75" x14ac:dyDescent="0.2">
      <c r="I267" s="681"/>
    </row>
    <row r="268" spans="9:9" s="675" customFormat="1" ht="12.75" x14ac:dyDescent="0.2">
      <c r="I268" s="681"/>
    </row>
    <row r="269" spans="9:9" s="675" customFormat="1" ht="12.75" x14ac:dyDescent="0.2">
      <c r="I269" s="681"/>
    </row>
    <row r="270" spans="9:9" s="675" customFormat="1" ht="12.75" x14ac:dyDescent="0.2">
      <c r="I270" s="681"/>
    </row>
    <row r="271" spans="9:9" s="675" customFormat="1" ht="12.75" x14ac:dyDescent="0.2">
      <c r="I271" s="681"/>
    </row>
    <row r="272" spans="9:9" s="675" customFormat="1" ht="12.75" x14ac:dyDescent="0.2">
      <c r="I272" s="681"/>
    </row>
    <row r="273" spans="9:9" s="675" customFormat="1" ht="12.75" x14ac:dyDescent="0.2">
      <c r="I273" s="681"/>
    </row>
    <row r="274" spans="9:9" s="675" customFormat="1" ht="12.75" x14ac:dyDescent="0.2">
      <c r="I274" s="681"/>
    </row>
    <row r="275" spans="9:9" s="675" customFormat="1" ht="12.75" x14ac:dyDescent="0.2">
      <c r="I275" s="681"/>
    </row>
    <row r="276" spans="9:9" s="675" customFormat="1" ht="12.75" x14ac:dyDescent="0.2">
      <c r="I276" s="681"/>
    </row>
    <row r="277" spans="9:9" s="675" customFormat="1" ht="12.75" x14ac:dyDescent="0.2">
      <c r="I277" s="681"/>
    </row>
    <row r="278" spans="9:9" s="675" customFormat="1" ht="12.75" x14ac:dyDescent="0.2">
      <c r="I278" s="681"/>
    </row>
    <row r="279" spans="9:9" s="675" customFormat="1" ht="12.75" x14ac:dyDescent="0.2">
      <c r="I279" s="681"/>
    </row>
    <row r="280" spans="9:9" s="675" customFormat="1" ht="12.75" x14ac:dyDescent="0.2">
      <c r="I280" s="681"/>
    </row>
    <row r="281" spans="9:9" s="675" customFormat="1" ht="12.75" x14ac:dyDescent="0.2">
      <c r="I281" s="681"/>
    </row>
    <row r="282" spans="9:9" s="675" customFormat="1" ht="12.75" x14ac:dyDescent="0.2">
      <c r="I282" s="681"/>
    </row>
    <row r="283" spans="9:9" s="675" customFormat="1" ht="12.75" x14ac:dyDescent="0.2">
      <c r="I283" s="681"/>
    </row>
    <row r="284" spans="9:9" s="675" customFormat="1" ht="12.75" x14ac:dyDescent="0.2">
      <c r="I284" s="681"/>
    </row>
    <row r="285" spans="9:9" s="675" customFormat="1" ht="12.75" x14ac:dyDescent="0.2">
      <c r="I285" s="681"/>
    </row>
    <row r="286" spans="9:9" s="675" customFormat="1" ht="12.75" x14ac:dyDescent="0.2">
      <c r="I286" s="681"/>
    </row>
    <row r="287" spans="9:9" s="675" customFormat="1" ht="12.75" x14ac:dyDescent="0.2">
      <c r="I287" s="681"/>
    </row>
    <row r="288" spans="9:9" s="675" customFormat="1" ht="12.75" x14ac:dyDescent="0.2">
      <c r="I288" s="681"/>
    </row>
    <row r="289" spans="9:9" s="675" customFormat="1" ht="12.75" x14ac:dyDescent="0.2">
      <c r="I289" s="681"/>
    </row>
    <row r="290" spans="9:9" s="675" customFormat="1" ht="12.75" x14ac:dyDescent="0.2">
      <c r="I290" s="681"/>
    </row>
    <row r="291" spans="9:9" s="675" customFormat="1" ht="12.75" x14ac:dyDescent="0.2">
      <c r="I291" s="681"/>
    </row>
    <row r="292" spans="9:9" s="675" customFormat="1" ht="12.75" x14ac:dyDescent="0.2">
      <c r="I292" s="681"/>
    </row>
    <row r="293" spans="9:9" s="675" customFormat="1" ht="12.75" x14ac:dyDescent="0.2">
      <c r="I293" s="681"/>
    </row>
    <row r="294" spans="9:9" s="675" customFormat="1" ht="12.75" x14ac:dyDescent="0.2">
      <c r="I294" s="681"/>
    </row>
    <row r="295" spans="9:9" s="675" customFormat="1" ht="12.75" x14ac:dyDescent="0.2">
      <c r="I295" s="681"/>
    </row>
    <row r="296" spans="9:9" s="675" customFormat="1" ht="12.75" x14ac:dyDescent="0.2">
      <c r="I296" s="681"/>
    </row>
    <row r="297" spans="9:9" s="675" customFormat="1" ht="12.75" x14ac:dyDescent="0.2">
      <c r="I297" s="681"/>
    </row>
    <row r="298" spans="9:9" s="675" customFormat="1" ht="12.75" x14ac:dyDescent="0.2">
      <c r="I298" s="681"/>
    </row>
    <row r="299" spans="9:9" s="675" customFormat="1" ht="12.75" x14ac:dyDescent="0.2">
      <c r="I299" s="681"/>
    </row>
    <row r="300" spans="9:9" s="675" customFormat="1" ht="12.75" x14ac:dyDescent="0.2">
      <c r="I300" s="681"/>
    </row>
    <row r="301" spans="9:9" s="675" customFormat="1" ht="12.75" x14ac:dyDescent="0.2">
      <c r="I301" s="681"/>
    </row>
    <row r="302" spans="9:9" s="675" customFormat="1" ht="12.75" x14ac:dyDescent="0.2">
      <c r="I302" s="681"/>
    </row>
    <row r="303" spans="9:9" s="675" customFormat="1" ht="12.75" x14ac:dyDescent="0.2">
      <c r="I303" s="681"/>
    </row>
    <row r="304" spans="9:9" s="675" customFormat="1" ht="12.75" x14ac:dyDescent="0.2">
      <c r="I304" s="681"/>
    </row>
    <row r="305" spans="9:9" s="675" customFormat="1" ht="12.75" x14ac:dyDescent="0.2">
      <c r="I305" s="681"/>
    </row>
    <row r="306" spans="9:9" s="675" customFormat="1" ht="12.75" x14ac:dyDescent="0.2">
      <c r="I306" s="681"/>
    </row>
    <row r="307" spans="9:9" s="675" customFormat="1" ht="12.75" x14ac:dyDescent="0.2">
      <c r="I307" s="681"/>
    </row>
    <row r="308" spans="9:9" s="675" customFormat="1" ht="12.75" x14ac:dyDescent="0.2">
      <c r="I308" s="681"/>
    </row>
    <row r="309" spans="9:9" s="675" customFormat="1" ht="12.75" x14ac:dyDescent="0.2">
      <c r="I309" s="681"/>
    </row>
    <row r="310" spans="9:9" s="675" customFormat="1" ht="12.75" x14ac:dyDescent="0.2">
      <c r="I310" s="681"/>
    </row>
    <row r="311" spans="9:9" s="675" customFormat="1" ht="12.75" x14ac:dyDescent="0.2">
      <c r="I311" s="681"/>
    </row>
    <row r="312" spans="9:9" s="675" customFormat="1" ht="12.75" x14ac:dyDescent="0.2">
      <c r="I312" s="681"/>
    </row>
    <row r="313" spans="9:9" s="675" customFormat="1" ht="12.75" x14ac:dyDescent="0.2">
      <c r="I313" s="681"/>
    </row>
    <row r="314" spans="9:9" s="675" customFormat="1" ht="12.75" x14ac:dyDescent="0.2">
      <c r="I314" s="681"/>
    </row>
    <row r="315" spans="9:9" s="675" customFormat="1" ht="12.75" x14ac:dyDescent="0.2">
      <c r="I315" s="681"/>
    </row>
    <row r="316" spans="9:9" s="675" customFormat="1" ht="12.75" x14ac:dyDescent="0.2">
      <c r="I316" s="681"/>
    </row>
    <row r="317" spans="9:9" s="675" customFormat="1" ht="12.75" x14ac:dyDescent="0.2">
      <c r="I317" s="681"/>
    </row>
    <row r="318" spans="9:9" s="675" customFormat="1" ht="12.75" x14ac:dyDescent="0.2">
      <c r="I318" s="681"/>
    </row>
    <row r="319" spans="9:9" s="675" customFormat="1" ht="12.75" x14ac:dyDescent="0.2">
      <c r="I319" s="681"/>
    </row>
    <row r="320" spans="9:9" s="675" customFormat="1" ht="12.75" x14ac:dyDescent="0.2">
      <c r="I320" s="681"/>
    </row>
    <row r="321" spans="9:9" s="675" customFormat="1" ht="12.75" x14ac:dyDescent="0.2">
      <c r="I321" s="681"/>
    </row>
    <row r="322" spans="9:9" s="675" customFormat="1" ht="12.75" x14ac:dyDescent="0.2">
      <c r="I322" s="681"/>
    </row>
    <row r="323" spans="9:9" s="675" customFormat="1" ht="12.75" x14ac:dyDescent="0.2">
      <c r="I323" s="681"/>
    </row>
    <row r="324" spans="9:9" s="675" customFormat="1" ht="12.75" x14ac:dyDescent="0.2">
      <c r="I324" s="681"/>
    </row>
    <row r="325" spans="9:9" s="675" customFormat="1" ht="12.75" x14ac:dyDescent="0.2">
      <c r="I325" s="681"/>
    </row>
    <row r="326" spans="9:9" s="675" customFormat="1" ht="12.75" x14ac:dyDescent="0.2">
      <c r="I326" s="681"/>
    </row>
    <row r="327" spans="9:9" s="675" customFormat="1" ht="12.75" x14ac:dyDescent="0.2">
      <c r="I327" s="681"/>
    </row>
    <row r="328" spans="9:9" s="675" customFormat="1" ht="12.75" x14ac:dyDescent="0.2">
      <c r="I328" s="681"/>
    </row>
    <row r="329" spans="9:9" s="675" customFormat="1" ht="12.75" x14ac:dyDescent="0.2">
      <c r="I329" s="681"/>
    </row>
    <row r="330" spans="9:9" s="675" customFormat="1" ht="12.75" x14ac:dyDescent="0.2">
      <c r="I330" s="681"/>
    </row>
    <row r="331" spans="9:9" s="675" customFormat="1" ht="12.75" x14ac:dyDescent="0.2">
      <c r="I331" s="681"/>
    </row>
    <row r="332" spans="9:9" s="675" customFormat="1" ht="12.75" x14ac:dyDescent="0.2">
      <c r="I332" s="681"/>
    </row>
    <row r="333" spans="9:9" s="675" customFormat="1" ht="12.75" x14ac:dyDescent="0.2">
      <c r="I333" s="681"/>
    </row>
    <row r="334" spans="9:9" s="675" customFormat="1" ht="12.75" x14ac:dyDescent="0.2">
      <c r="I334" s="681"/>
    </row>
    <row r="335" spans="9:9" s="675" customFormat="1" ht="12.75" x14ac:dyDescent="0.2">
      <c r="I335" s="681"/>
    </row>
    <row r="336" spans="9:9" s="675" customFormat="1" ht="12.75" x14ac:dyDescent="0.2">
      <c r="I336" s="681"/>
    </row>
    <row r="337" spans="9:9" s="675" customFormat="1" ht="12.75" x14ac:dyDescent="0.2">
      <c r="I337" s="681"/>
    </row>
    <row r="338" spans="9:9" s="675" customFormat="1" ht="12.75" x14ac:dyDescent="0.2">
      <c r="I338" s="681"/>
    </row>
    <row r="339" spans="9:9" s="675" customFormat="1" ht="12.75" x14ac:dyDescent="0.2">
      <c r="I339" s="681"/>
    </row>
    <row r="340" spans="9:9" s="675" customFormat="1" ht="12.75" x14ac:dyDescent="0.2">
      <c r="I340" s="681"/>
    </row>
    <row r="341" spans="9:9" s="675" customFormat="1" ht="12.75" x14ac:dyDescent="0.2">
      <c r="I341" s="681"/>
    </row>
    <row r="342" spans="9:9" s="675" customFormat="1" ht="12.75" x14ac:dyDescent="0.2">
      <c r="I342" s="681"/>
    </row>
    <row r="343" spans="9:9" s="675" customFormat="1" ht="12.75" x14ac:dyDescent="0.2">
      <c r="I343" s="681"/>
    </row>
    <row r="344" spans="9:9" s="675" customFormat="1" ht="12.75" x14ac:dyDescent="0.2">
      <c r="I344" s="681"/>
    </row>
    <row r="345" spans="9:9" s="675" customFormat="1" ht="12.75" x14ac:dyDescent="0.2">
      <c r="I345" s="681"/>
    </row>
    <row r="346" spans="9:9" s="675" customFormat="1" ht="12.75" x14ac:dyDescent="0.2">
      <c r="I346" s="681"/>
    </row>
    <row r="347" spans="9:9" s="675" customFormat="1" ht="12.75" x14ac:dyDescent="0.2">
      <c r="I347" s="681"/>
    </row>
    <row r="348" spans="9:9" s="675" customFormat="1" ht="12.75" x14ac:dyDescent="0.2">
      <c r="I348" s="681"/>
    </row>
    <row r="349" spans="9:9" s="675" customFormat="1" ht="12.75" x14ac:dyDescent="0.2">
      <c r="I349" s="681"/>
    </row>
    <row r="350" spans="9:9" s="675" customFormat="1" ht="12.75" x14ac:dyDescent="0.2">
      <c r="I350" s="681"/>
    </row>
    <row r="351" spans="9:9" s="675" customFormat="1" ht="12.75" x14ac:dyDescent="0.2">
      <c r="I351" s="681"/>
    </row>
    <row r="352" spans="9:9" s="675" customFormat="1" ht="12.75" x14ac:dyDescent="0.2">
      <c r="I352" s="681"/>
    </row>
    <row r="353" spans="9:9" s="675" customFormat="1" ht="12.75" x14ac:dyDescent="0.2">
      <c r="I353" s="681"/>
    </row>
    <row r="354" spans="9:9" s="675" customFormat="1" ht="12.75" x14ac:dyDescent="0.2">
      <c r="I354" s="681"/>
    </row>
    <row r="355" spans="9:9" s="675" customFormat="1" ht="12.75" x14ac:dyDescent="0.2">
      <c r="I355" s="681"/>
    </row>
    <row r="356" spans="9:9" s="675" customFormat="1" ht="12.75" x14ac:dyDescent="0.2">
      <c r="I356" s="681"/>
    </row>
    <row r="357" spans="9:9" s="675" customFormat="1" ht="12.75" x14ac:dyDescent="0.2">
      <c r="I357" s="681"/>
    </row>
    <row r="358" spans="9:9" s="675" customFormat="1" ht="12.75" x14ac:dyDescent="0.2">
      <c r="I358" s="681"/>
    </row>
    <row r="359" spans="9:9" s="675" customFormat="1" ht="12.75" x14ac:dyDescent="0.2">
      <c r="I359" s="681"/>
    </row>
    <row r="360" spans="9:9" s="675" customFormat="1" ht="12.75" x14ac:dyDescent="0.2">
      <c r="I360" s="681"/>
    </row>
    <row r="361" spans="9:9" s="675" customFormat="1" ht="12.75" x14ac:dyDescent="0.2">
      <c r="I361" s="681"/>
    </row>
    <row r="362" spans="9:9" s="675" customFormat="1" ht="12.75" x14ac:dyDescent="0.2">
      <c r="I362" s="681"/>
    </row>
    <row r="363" spans="9:9" s="675" customFormat="1" ht="12.75" x14ac:dyDescent="0.2">
      <c r="I363" s="681"/>
    </row>
    <row r="364" spans="9:9" s="675" customFormat="1" ht="12.75" x14ac:dyDescent="0.2">
      <c r="I364" s="681"/>
    </row>
    <row r="365" spans="9:9" s="675" customFormat="1" ht="12.75" x14ac:dyDescent="0.2">
      <c r="I365" s="681"/>
    </row>
    <row r="366" spans="9:9" s="675" customFormat="1" ht="12.75" x14ac:dyDescent="0.2">
      <c r="I366" s="681"/>
    </row>
    <row r="367" spans="9:9" s="675" customFormat="1" ht="12.75" x14ac:dyDescent="0.2">
      <c r="I367" s="681"/>
    </row>
    <row r="368" spans="9:9" s="675" customFormat="1" ht="12.75" x14ac:dyDescent="0.2">
      <c r="I368" s="681"/>
    </row>
    <row r="369" spans="9:9" s="675" customFormat="1" ht="12.75" x14ac:dyDescent="0.2">
      <c r="I369" s="681"/>
    </row>
    <row r="370" spans="9:9" s="675" customFormat="1" ht="12.75" x14ac:dyDescent="0.2">
      <c r="I370" s="681"/>
    </row>
    <row r="371" spans="9:9" s="675" customFormat="1" ht="12.75" x14ac:dyDescent="0.2">
      <c r="I371" s="681"/>
    </row>
    <row r="372" spans="9:9" s="675" customFormat="1" ht="12.75" x14ac:dyDescent="0.2">
      <c r="I372" s="681"/>
    </row>
    <row r="373" spans="9:9" s="675" customFormat="1" ht="12.75" x14ac:dyDescent="0.2">
      <c r="I373" s="681"/>
    </row>
    <row r="374" spans="9:9" s="675" customFormat="1" ht="12.75" x14ac:dyDescent="0.2">
      <c r="I374" s="681"/>
    </row>
    <row r="375" spans="9:9" s="675" customFormat="1" ht="12.75" x14ac:dyDescent="0.2">
      <c r="I375" s="681"/>
    </row>
    <row r="376" spans="9:9" s="675" customFormat="1" ht="12.75" x14ac:dyDescent="0.2">
      <c r="I376" s="681"/>
    </row>
    <row r="377" spans="9:9" s="675" customFormat="1" ht="12.75" x14ac:dyDescent="0.2">
      <c r="I377" s="681"/>
    </row>
    <row r="378" spans="9:9" s="675" customFormat="1" ht="12.75" x14ac:dyDescent="0.2">
      <c r="I378" s="681"/>
    </row>
    <row r="379" spans="9:9" s="675" customFormat="1" ht="12.75" x14ac:dyDescent="0.2">
      <c r="I379" s="681"/>
    </row>
    <row r="380" spans="9:9" s="675" customFormat="1" ht="12.75" x14ac:dyDescent="0.2">
      <c r="I380" s="681"/>
    </row>
    <row r="381" spans="9:9" s="675" customFormat="1" ht="12.75" x14ac:dyDescent="0.2">
      <c r="I381" s="681"/>
    </row>
    <row r="382" spans="9:9" s="675" customFormat="1" ht="12.75" x14ac:dyDescent="0.2">
      <c r="I382" s="681"/>
    </row>
    <row r="383" spans="9:9" s="675" customFormat="1" ht="12.75" x14ac:dyDescent="0.2">
      <c r="I383" s="681"/>
    </row>
    <row r="384" spans="9:9" s="675" customFormat="1" ht="12.75" x14ac:dyDescent="0.2">
      <c r="I384" s="681"/>
    </row>
    <row r="385" spans="9:9" s="675" customFormat="1" ht="12.75" x14ac:dyDescent="0.2">
      <c r="I385" s="681"/>
    </row>
    <row r="386" spans="9:9" s="675" customFormat="1" ht="12.75" x14ac:dyDescent="0.2">
      <c r="I386" s="681"/>
    </row>
    <row r="387" spans="9:9" s="675" customFormat="1" ht="12.75" x14ac:dyDescent="0.2">
      <c r="I387" s="681"/>
    </row>
    <row r="388" spans="9:9" s="675" customFormat="1" ht="12.75" x14ac:dyDescent="0.2">
      <c r="I388" s="681"/>
    </row>
    <row r="389" spans="9:9" s="675" customFormat="1" ht="12.75" x14ac:dyDescent="0.2">
      <c r="I389" s="681"/>
    </row>
    <row r="390" spans="9:9" s="675" customFormat="1" ht="12.75" x14ac:dyDescent="0.2">
      <c r="I390" s="681"/>
    </row>
    <row r="391" spans="9:9" s="675" customFormat="1" ht="12.75" x14ac:dyDescent="0.2">
      <c r="I391" s="681"/>
    </row>
    <row r="392" spans="9:9" s="675" customFormat="1" ht="12.75" x14ac:dyDescent="0.2">
      <c r="I392" s="681"/>
    </row>
    <row r="393" spans="9:9" s="675" customFormat="1" ht="12.75" x14ac:dyDescent="0.2">
      <c r="I393" s="681"/>
    </row>
    <row r="394" spans="9:9" s="675" customFormat="1" ht="12.75" x14ac:dyDescent="0.2">
      <c r="I394" s="681"/>
    </row>
    <row r="395" spans="9:9" s="675" customFormat="1" ht="12.75" x14ac:dyDescent="0.2">
      <c r="I395" s="681"/>
    </row>
    <row r="396" spans="9:9" s="675" customFormat="1" ht="12.75" x14ac:dyDescent="0.2">
      <c r="I396" s="681"/>
    </row>
    <row r="397" spans="9:9" s="675" customFormat="1" ht="12.75" x14ac:dyDescent="0.2">
      <c r="I397" s="681"/>
    </row>
    <row r="398" spans="9:9" s="675" customFormat="1" ht="12.75" x14ac:dyDescent="0.2">
      <c r="I398" s="681"/>
    </row>
    <row r="399" spans="9:9" s="675" customFormat="1" ht="12.75" x14ac:dyDescent="0.2">
      <c r="I399" s="681"/>
    </row>
    <row r="400" spans="9:9" s="675" customFormat="1" ht="12.75" x14ac:dyDescent="0.2">
      <c r="I400" s="681"/>
    </row>
    <row r="401" spans="9:9" s="675" customFormat="1" ht="12.75" x14ac:dyDescent="0.2">
      <c r="I401" s="681"/>
    </row>
    <row r="402" spans="9:9" s="675" customFormat="1" ht="12.75" x14ac:dyDescent="0.2">
      <c r="I402" s="681"/>
    </row>
    <row r="403" spans="9:9" s="675" customFormat="1" ht="12.75" x14ac:dyDescent="0.2">
      <c r="I403" s="681"/>
    </row>
    <row r="404" spans="9:9" s="675" customFormat="1" ht="12.75" x14ac:dyDescent="0.2">
      <c r="I404" s="681"/>
    </row>
    <row r="405" spans="9:9" s="675" customFormat="1" ht="12.75" x14ac:dyDescent="0.2">
      <c r="I405" s="681"/>
    </row>
    <row r="406" spans="9:9" s="675" customFormat="1" ht="12.75" x14ac:dyDescent="0.2">
      <c r="I406" s="681"/>
    </row>
    <row r="407" spans="9:9" s="675" customFormat="1" ht="12.75" x14ac:dyDescent="0.2">
      <c r="I407" s="681"/>
    </row>
    <row r="408" spans="9:9" s="675" customFormat="1" ht="12.75" x14ac:dyDescent="0.2">
      <c r="I408" s="681"/>
    </row>
    <row r="409" spans="9:9" s="675" customFormat="1" ht="12.75" x14ac:dyDescent="0.2">
      <c r="I409" s="681"/>
    </row>
    <row r="410" spans="9:9" s="675" customFormat="1" ht="12.75" x14ac:dyDescent="0.2">
      <c r="I410" s="681"/>
    </row>
    <row r="411" spans="9:9" s="675" customFormat="1" ht="12.75" x14ac:dyDescent="0.2">
      <c r="I411" s="681"/>
    </row>
    <row r="412" spans="9:9" s="675" customFormat="1" ht="12.75" x14ac:dyDescent="0.2">
      <c r="I412" s="681"/>
    </row>
    <row r="413" spans="9:9" s="675" customFormat="1" ht="12.75" x14ac:dyDescent="0.2">
      <c r="I413" s="681"/>
    </row>
    <row r="414" spans="9:9" s="675" customFormat="1" ht="12.75" x14ac:dyDescent="0.2">
      <c r="I414" s="681"/>
    </row>
    <row r="415" spans="9:9" s="675" customFormat="1" ht="12.75" x14ac:dyDescent="0.2">
      <c r="I415" s="681"/>
    </row>
    <row r="416" spans="9:9" s="675" customFormat="1" ht="12.75" x14ac:dyDescent="0.2">
      <c r="I416" s="681"/>
    </row>
    <row r="417" spans="9:9" s="675" customFormat="1" ht="12.75" x14ac:dyDescent="0.2">
      <c r="I417" s="681"/>
    </row>
    <row r="418" spans="9:9" s="675" customFormat="1" ht="12.75" x14ac:dyDescent="0.2">
      <c r="I418" s="681"/>
    </row>
    <row r="419" spans="9:9" s="675" customFormat="1" ht="12.75" x14ac:dyDescent="0.2">
      <c r="I419" s="681"/>
    </row>
    <row r="420" spans="9:9" s="675" customFormat="1" ht="12.75" x14ac:dyDescent="0.2">
      <c r="I420" s="681"/>
    </row>
    <row r="421" spans="9:9" s="675" customFormat="1" ht="12.75" x14ac:dyDescent="0.2">
      <c r="I421" s="681"/>
    </row>
    <row r="422" spans="9:9" s="675" customFormat="1" ht="12.75" x14ac:dyDescent="0.2">
      <c r="I422" s="681"/>
    </row>
    <row r="423" spans="9:9" s="675" customFormat="1" ht="12.75" x14ac:dyDescent="0.2">
      <c r="I423" s="681"/>
    </row>
    <row r="424" spans="9:9" s="675" customFormat="1" ht="12.75" x14ac:dyDescent="0.2">
      <c r="I424" s="681"/>
    </row>
    <row r="425" spans="9:9" s="675" customFormat="1" ht="12.75" x14ac:dyDescent="0.2">
      <c r="I425" s="681"/>
    </row>
    <row r="426" spans="9:9" s="675" customFormat="1" ht="12.75" x14ac:dyDescent="0.2">
      <c r="I426" s="681"/>
    </row>
    <row r="427" spans="9:9" s="675" customFormat="1" ht="12.75" x14ac:dyDescent="0.2">
      <c r="I427" s="681"/>
    </row>
    <row r="428" spans="9:9" s="675" customFormat="1" ht="12.75" x14ac:dyDescent="0.2">
      <c r="I428" s="681"/>
    </row>
    <row r="429" spans="9:9" s="675" customFormat="1" ht="12.75" x14ac:dyDescent="0.2">
      <c r="I429" s="681"/>
    </row>
    <row r="430" spans="9:9" s="675" customFormat="1" ht="12.75" x14ac:dyDescent="0.2">
      <c r="I430" s="681"/>
    </row>
    <row r="431" spans="9:9" s="675" customFormat="1" ht="12.75" x14ac:dyDescent="0.2">
      <c r="I431" s="681"/>
    </row>
    <row r="432" spans="9:9" s="675" customFormat="1" ht="12.75" x14ac:dyDescent="0.2">
      <c r="I432" s="681"/>
    </row>
    <row r="433" spans="9:9" s="675" customFormat="1" ht="12.75" x14ac:dyDescent="0.2">
      <c r="I433" s="681"/>
    </row>
    <row r="434" spans="9:9" s="675" customFormat="1" ht="12.75" x14ac:dyDescent="0.2">
      <c r="I434" s="681"/>
    </row>
    <row r="435" spans="9:9" s="675" customFormat="1" ht="12.75" x14ac:dyDescent="0.2">
      <c r="I435" s="681"/>
    </row>
    <row r="436" spans="9:9" s="675" customFormat="1" ht="12.75" x14ac:dyDescent="0.2">
      <c r="I436" s="681"/>
    </row>
    <row r="437" spans="9:9" s="675" customFormat="1" ht="12.75" x14ac:dyDescent="0.2">
      <c r="I437" s="681"/>
    </row>
    <row r="438" spans="9:9" s="675" customFormat="1" ht="12.75" x14ac:dyDescent="0.2">
      <c r="I438" s="681"/>
    </row>
    <row r="439" spans="9:9" s="675" customFormat="1" ht="12.75" x14ac:dyDescent="0.2">
      <c r="I439" s="681"/>
    </row>
    <row r="440" spans="9:9" s="675" customFormat="1" ht="12.75" x14ac:dyDescent="0.2">
      <c r="I440" s="681"/>
    </row>
    <row r="441" spans="9:9" s="675" customFormat="1" ht="12.75" x14ac:dyDescent="0.2">
      <c r="I441" s="681"/>
    </row>
    <row r="442" spans="9:9" s="675" customFormat="1" ht="12.75" x14ac:dyDescent="0.2">
      <c r="I442" s="681"/>
    </row>
    <row r="443" spans="9:9" s="675" customFormat="1" ht="12.75" x14ac:dyDescent="0.2">
      <c r="I443" s="681"/>
    </row>
    <row r="444" spans="9:9" s="675" customFormat="1" ht="12.75" x14ac:dyDescent="0.2">
      <c r="I444" s="681"/>
    </row>
    <row r="445" spans="9:9" s="675" customFormat="1" ht="12.75" x14ac:dyDescent="0.2">
      <c r="I445" s="681"/>
    </row>
    <row r="446" spans="9:9" s="675" customFormat="1" ht="12.75" x14ac:dyDescent="0.2">
      <c r="I446" s="681"/>
    </row>
    <row r="447" spans="9:9" s="675" customFormat="1" ht="12.75" x14ac:dyDescent="0.2">
      <c r="I447" s="681"/>
    </row>
    <row r="448" spans="9:9" s="675" customFormat="1" ht="12.75" x14ac:dyDescent="0.2">
      <c r="I448" s="681"/>
    </row>
    <row r="449" spans="9:9" s="675" customFormat="1" ht="12.75" x14ac:dyDescent="0.2">
      <c r="I449" s="681"/>
    </row>
    <row r="450" spans="9:9" s="675" customFormat="1" ht="12.75" x14ac:dyDescent="0.2">
      <c r="I450" s="681"/>
    </row>
    <row r="451" spans="9:9" s="675" customFormat="1" ht="12.75" x14ac:dyDescent="0.2">
      <c r="I451" s="681"/>
    </row>
    <row r="452" spans="9:9" s="675" customFormat="1" ht="12.75" x14ac:dyDescent="0.2">
      <c r="I452" s="681"/>
    </row>
    <row r="453" spans="9:9" s="675" customFormat="1" ht="12.75" x14ac:dyDescent="0.2">
      <c r="I453" s="681"/>
    </row>
    <row r="454" spans="9:9" s="675" customFormat="1" ht="12.75" x14ac:dyDescent="0.2">
      <c r="I454" s="681"/>
    </row>
    <row r="455" spans="9:9" s="675" customFormat="1" ht="12.75" x14ac:dyDescent="0.2">
      <c r="I455" s="681"/>
    </row>
    <row r="456" spans="9:9" s="675" customFormat="1" ht="12.75" x14ac:dyDescent="0.2">
      <c r="I456" s="681"/>
    </row>
    <row r="457" spans="9:9" s="675" customFormat="1" ht="12.75" x14ac:dyDescent="0.2">
      <c r="I457" s="681"/>
    </row>
    <row r="458" spans="9:9" s="675" customFormat="1" ht="12.75" x14ac:dyDescent="0.2">
      <c r="I458" s="681"/>
    </row>
    <row r="459" spans="9:9" s="675" customFormat="1" ht="12.75" x14ac:dyDescent="0.2">
      <c r="I459" s="681"/>
    </row>
    <row r="460" spans="9:9" s="675" customFormat="1" ht="12.75" x14ac:dyDescent="0.2">
      <c r="I460" s="681"/>
    </row>
    <row r="461" spans="9:9" s="675" customFormat="1" ht="12.75" x14ac:dyDescent="0.2">
      <c r="I461" s="681"/>
    </row>
    <row r="462" spans="9:9" s="675" customFormat="1" ht="12.75" x14ac:dyDescent="0.2">
      <c r="I462" s="681"/>
    </row>
    <row r="463" spans="9:9" s="675" customFormat="1" ht="12.75" x14ac:dyDescent="0.2">
      <c r="I463" s="681"/>
    </row>
    <row r="464" spans="9:9" s="675" customFormat="1" ht="12.75" x14ac:dyDescent="0.2">
      <c r="I464" s="681"/>
    </row>
    <row r="465" spans="9:9" s="675" customFormat="1" ht="12.75" x14ac:dyDescent="0.2">
      <c r="I465" s="681"/>
    </row>
    <row r="466" spans="9:9" s="675" customFormat="1" ht="12.75" x14ac:dyDescent="0.2">
      <c r="I466" s="681"/>
    </row>
    <row r="467" spans="9:9" s="675" customFormat="1" ht="12.75" x14ac:dyDescent="0.2">
      <c r="I467" s="681"/>
    </row>
    <row r="468" spans="9:9" s="675" customFormat="1" ht="12.75" x14ac:dyDescent="0.2">
      <c r="I468" s="681"/>
    </row>
    <row r="469" spans="9:9" s="675" customFormat="1" ht="12.75" x14ac:dyDescent="0.2">
      <c r="I469" s="681"/>
    </row>
    <row r="470" spans="9:9" s="675" customFormat="1" ht="12.75" x14ac:dyDescent="0.2">
      <c r="I470" s="681"/>
    </row>
    <row r="471" spans="9:9" s="675" customFormat="1" ht="12.75" x14ac:dyDescent="0.2">
      <c r="I471" s="681"/>
    </row>
    <row r="472" spans="9:9" s="675" customFormat="1" ht="12.75" x14ac:dyDescent="0.2">
      <c r="I472" s="681"/>
    </row>
    <row r="473" spans="9:9" s="675" customFormat="1" ht="12.75" x14ac:dyDescent="0.2">
      <c r="I473" s="681"/>
    </row>
    <row r="474" spans="9:9" s="675" customFormat="1" ht="12.75" x14ac:dyDescent="0.2">
      <c r="I474" s="681"/>
    </row>
    <row r="475" spans="9:9" s="675" customFormat="1" ht="12.75" x14ac:dyDescent="0.2">
      <c r="I475" s="681"/>
    </row>
    <row r="476" spans="9:9" s="675" customFormat="1" ht="12.75" x14ac:dyDescent="0.2">
      <c r="I476" s="681"/>
    </row>
    <row r="477" spans="9:9" s="675" customFormat="1" ht="12.75" x14ac:dyDescent="0.2">
      <c r="I477" s="681"/>
    </row>
    <row r="478" spans="9:9" s="675" customFormat="1" ht="12.75" x14ac:dyDescent="0.2">
      <c r="I478" s="681"/>
    </row>
    <row r="479" spans="9:9" s="675" customFormat="1" ht="12.75" x14ac:dyDescent="0.2">
      <c r="I479" s="681"/>
    </row>
    <row r="480" spans="9:9" s="675" customFormat="1" ht="12.75" x14ac:dyDescent="0.2">
      <c r="I480" s="681"/>
    </row>
    <row r="481" spans="9:9" s="675" customFormat="1" ht="12.75" x14ac:dyDescent="0.2">
      <c r="I481" s="681"/>
    </row>
    <row r="482" spans="9:9" s="675" customFormat="1" ht="12.75" x14ac:dyDescent="0.2">
      <c r="I482" s="681"/>
    </row>
    <row r="483" spans="9:9" s="675" customFormat="1" ht="12.75" x14ac:dyDescent="0.2">
      <c r="I483" s="681"/>
    </row>
    <row r="484" spans="9:9" s="675" customFormat="1" ht="12.75" x14ac:dyDescent="0.2">
      <c r="I484" s="681"/>
    </row>
    <row r="485" spans="9:9" s="675" customFormat="1" ht="12.75" x14ac:dyDescent="0.2">
      <c r="I485" s="681"/>
    </row>
    <row r="486" spans="9:9" s="675" customFormat="1" ht="12.75" x14ac:dyDescent="0.2">
      <c r="I486" s="681"/>
    </row>
    <row r="487" spans="9:9" s="675" customFormat="1" ht="12.75" x14ac:dyDescent="0.2">
      <c r="I487" s="681"/>
    </row>
    <row r="488" spans="9:9" s="675" customFormat="1" ht="12.75" x14ac:dyDescent="0.2">
      <c r="I488" s="681"/>
    </row>
    <row r="489" spans="9:9" s="675" customFormat="1" ht="12.75" x14ac:dyDescent="0.2">
      <c r="I489" s="681"/>
    </row>
    <row r="490" spans="9:9" s="675" customFormat="1" ht="12.75" x14ac:dyDescent="0.2">
      <c r="I490" s="681"/>
    </row>
    <row r="491" spans="9:9" s="675" customFormat="1" ht="12.75" x14ac:dyDescent="0.2">
      <c r="I491" s="681"/>
    </row>
    <row r="492" spans="9:9" s="675" customFormat="1" ht="12.75" x14ac:dyDescent="0.2">
      <c r="I492" s="681"/>
    </row>
    <row r="493" spans="9:9" s="675" customFormat="1" ht="12.75" x14ac:dyDescent="0.2">
      <c r="I493" s="681"/>
    </row>
    <row r="494" spans="9:9" s="675" customFormat="1" ht="12.75" x14ac:dyDescent="0.2">
      <c r="I494" s="681"/>
    </row>
    <row r="495" spans="9:9" s="675" customFormat="1" ht="12.75" x14ac:dyDescent="0.2">
      <c r="I495" s="681"/>
    </row>
    <row r="496" spans="9:9" s="675" customFormat="1" ht="12.75" x14ac:dyDescent="0.2">
      <c r="I496" s="681"/>
    </row>
    <row r="497" spans="9:9" s="675" customFormat="1" ht="12.75" x14ac:dyDescent="0.2">
      <c r="I497" s="681"/>
    </row>
    <row r="498" spans="9:9" s="675" customFormat="1" ht="12.75" x14ac:dyDescent="0.2">
      <c r="I498" s="681"/>
    </row>
    <row r="499" spans="9:9" s="675" customFormat="1" ht="12.75" x14ac:dyDescent="0.2">
      <c r="I499" s="681"/>
    </row>
    <row r="500" spans="9:9" s="675" customFormat="1" ht="12.75" x14ac:dyDescent="0.2">
      <c r="I500" s="681"/>
    </row>
    <row r="501" spans="9:9" s="675" customFormat="1" ht="12.75" x14ac:dyDescent="0.2">
      <c r="I501" s="681"/>
    </row>
    <row r="502" spans="9:9" s="675" customFormat="1" ht="12.75" x14ac:dyDescent="0.2">
      <c r="I502" s="681"/>
    </row>
    <row r="503" spans="9:9" s="675" customFormat="1" ht="12.75" x14ac:dyDescent="0.2">
      <c r="I503" s="681"/>
    </row>
    <row r="504" spans="9:9" s="675" customFormat="1" ht="12.75" x14ac:dyDescent="0.2">
      <c r="I504" s="681"/>
    </row>
    <row r="505" spans="9:9" s="675" customFormat="1" ht="12.75" x14ac:dyDescent="0.2">
      <c r="I505" s="681"/>
    </row>
    <row r="506" spans="9:9" s="675" customFormat="1" ht="12.75" x14ac:dyDescent="0.2">
      <c r="I506" s="681"/>
    </row>
    <row r="507" spans="9:9" s="675" customFormat="1" ht="12.75" x14ac:dyDescent="0.2">
      <c r="I507" s="681"/>
    </row>
    <row r="508" spans="9:9" s="675" customFormat="1" ht="12.75" x14ac:dyDescent="0.2">
      <c r="I508" s="681"/>
    </row>
    <row r="509" spans="9:9" s="675" customFormat="1" ht="12.75" x14ac:dyDescent="0.2">
      <c r="I509" s="681"/>
    </row>
    <row r="510" spans="9:9" s="675" customFormat="1" ht="12.75" x14ac:dyDescent="0.2">
      <c r="I510" s="681"/>
    </row>
    <row r="511" spans="9:9" s="675" customFormat="1" ht="12.75" x14ac:dyDescent="0.2">
      <c r="I511" s="681"/>
    </row>
    <row r="512" spans="9:9" s="675" customFormat="1" ht="12.75" x14ac:dyDescent="0.2">
      <c r="I512" s="681"/>
    </row>
    <row r="513" spans="9:9" s="675" customFormat="1" ht="12.75" x14ac:dyDescent="0.2">
      <c r="I513" s="681"/>
    </row>
    <row r="514" spans="9:9" s="675" customFormat="1" ht="12.75" x14ac:dyDescent="0.2">
      <c r="I514" s="681"/>
    </row>
    <row r="515" spans="9:9" s="675" customFormat="1" ht="12.75" x14ac:dyDescent="0.2">
      <c r="I515" s="681"/>
    </row>
    <row r="516" spans="9:9" s="675" customFormat="1" ht="12.75" x14ac:dyDescent="0.2">
      <c r="I516" s="681"/>
    </row>
    <row r="517" spans="9:9" s="675" customFormat="1" ht="12.75" x14ac:dyDescent="0.2">
      <c r="I517" s="681"/>
    </row>
    <row r="518" spans="9:9" s="675" customFormat="1" ht="12.75" x14ac:dyDescent="0.2">
      <c r="I518" s="681"/>
    </row>
    <row r="519" spans="9:9" s="675" customFormat="1" ht="12.75" x14ac:dyDescent="0.2">
      <c r="I519" s="681"/>
    </row>
    <row r="520" spans="9:9" s="675" customFormat="1" ht="12.75" x14ac:dyDescent="0.2">
      <c r="I520" s="681"/>
    </row>
    <row r="521" spans="9:9" s="675" customFormat="1" ht="12.75" x14ac:dyDescent="0.2">
      <c r="I521" s="681"/>
    </row>
    <row r="522" spans="9:9" s="675" customFormat="1" ht="12.75" x14ac:dyDescent="0.2">
      <c r="I522" s="681"/>
    </row>
    <row r="523" spans="9:9" s="675" customFormat="1" ht="12.75" x14ac:dyDescent="0.2">
      <c r="I523" s="681"/>
    </row>
    <row r="524" spans="9:9" s="675" customFormat="1" ht="12.75" x14ac:dyDescent="0.2">
      <c r="I524" s="681"/>
    </row>
    <row r="525" spans="9:9" s="675" customFormat="1" ht="12.75" x14ac:dyDescent="0.2">
      <c r="I525" s="681"/>
    </row>
    <row r="526" spans="9:9" s="675" customFormat="1" ht="12.75" x14ac:dyDescent="0.2">
      <c r="I526" s="681"/>
    </row>
    <row r="527" spans="9:9" s="675" customFormat="1" ht="12.75" x14ac:dyDescent="0.2">
      <c r="I527" s="681"/>
    </row>
    <row r="528" spans="9:9" s="675" customFormat="1" ht="12.75" x14ac:dyDescent="0.2">
      <c r="I528" s="681"/>
    </row>
    <row r="529" spans="9:9" s="675" customFormat="1" ht="12.75" x14ac:dyDescent="0.2">
      <c r="I529" s="681"/>
    </row>
    <row r="530" spans="9:9" s="675" customFormat="1" ht="12.75" x14ac:dyDescent="0.2">
      <c r="I530" s="681"/>
    </row>
    <row r="531" spans="9:9" s="675" customFormat="1" ht="12.75" x14ac:dyDescent="0.2">
      <c r="I531" s="681"/>
    </row>
    <row r="532" spans="9:9" s="675" customFormat="1" ht="12.75" x14ac:dyDescent="0.2">
      <c r="I532" s="681"/>
    </row>
    <row r="533" spans="9:9" s="675" customFormat="1" ht="12.75" x14ac:dyDescent="0.2">
      <c r="I533" s="681"/>
    </row>
    <row r="534" spans="9:9" s="675" customFormat="1" ht="12.75" x14ac:dyDescent="0.2">
      <c r="I534" s="681"/>
    </row>
    <row r="535" spans="9:9" s="675" customFormat="1" ht="12.75" x14ac:dyDescent="0.2">
      <c r="I535" s="681"/>
    </row>
    <row r="536" spans="9:9" s="675" customFormat="1" ht="12.75" x14ac:dyDescent="0.2">
      <c r="I536" s="681"/>
    </row>
    <row r="537" spans="9:9" s="675" customFormat="1" ht="12.75" x14ac:dyDescent="0.2">
      <c r="I537" s="681"/>
    </row>
    <row r="538" spans="9:9" s="675" customFormat="1" ht="12.75" x14ac:dyDescent="0.2">
      <c r="I538" s="681"/>
    </row>
    <row r="539" spans="9:9" s="675" customFormat="1" ht="12.75" x14ac:dyDescent="0.2">
      <c r="I539" s="681"/>
    </row>
    <row r="540" spans="9:9" s="675" customFormat="1" ht="12.75" x14ac:dyDescent="0.2">
      <c r="I540" s="681"/>
    </row>
    <row r="541" spans="9:9" s="675" customFormat="1" ht="12.75" x14ac:dyDescent="0.2">
      <c r="I541" s="681"/>
    </row>
    <row r="542" spans="9:9" s="675" customFormat="1" ht="12.75" x14ac:dyDescent="0.2">
      <c r="I542" s="681"/>
    </row>
    <row r="543" spans="9:9" s="675" customFormat="1" ht="12.75" x14ac:dyDescent="0.2">
      <c r="I543" s="681"/>
    </row>
    <row r="544" spans="9:9" s="675" customFormat="1" ht="12.75" x14ac:dyDescent="0.2">
      <c r="I544" s="681"/>
    </row>
    <row r="545" spans="9:9" s="675" customFormat="1" ht="12.75" x14ac:dyDescent="0.2">
      <c r="I545" s="681"/>
    </row>
    <row r="546" spans="9:9" s="675" customFormat="1" ht="12.75" x14ac:dyDescent="0.2">
      <c r="I546" s="681"/>
    </row>
    <row r="547" spans="9:9" s="675" customFormat="1" ht="12.75" x14ac:dyDescent="0.2">
      <c r="I547" s="681"/>
    </row>
    <row r="548" spans="9:9" s="675" customFormat="1" ht="12.75" x14ac:dyDescent="0.2">
      <c r="I548" s="681"/>
    </row>
    <row r="549" spans="9:9" s="675" customFormat="1" ht="12.75" x14ac:dyDescent="0.2">
      <c r="I549" s="681"/>
    </row>
    <row r="550" spans="9:9" s="675" customFormat="1" ht="12.75" x14ac:dyDescent="0.2">
      <c r="I550" s="681"/>
    </row>
    <row r="551" spans="9:9" s="675" customFormat="1" ht="12.75" x14ac:dyDescent="0.2">
      <c r="I551" s="681"/>
    </row>
    <row r="552" spans="9:9" s="675" customFormat="1" ht="12.75" x14ac:dyDescent="0.2">
      <c r="I552" s="681"/>
    </row>
    <row r="553" spans="9:9" s="675" customFormat="1" ht="12.75" x14ac:dyDescent="0.2">
      <c r="I553" s="681"/>
    </row>
    <row r="554" spans="9:9" s="675" customFormat="1" ht="12.75" x14ac:dyDescent="0.2">
      <c r="I554" s="681"/>
    </row>
    <row r="555" spans="9:9" s="675" customFormat="1" ht="12.75" x14ac:dyDescent="0.2">
      <c r="I555" s="681"/>
    </row>
    <row r="556" spans="9:9" s="675" customFormat="1" ht="12.75" x14ac:dyDescent="0.2">
      <c r="I556" s="681"/>
    </row>
    <row r="557" spans="9:9" s="675" customFormat="1" ht="12.75" x14ac:dyDescent="0.2">
      <c r="I557" s="681"/>
    </row>
    <row r="558" spans="9:9" s="675" customFormat="1" ht="12.75" x14ac:dyDescent="0.2">
      <c r="I558" s="681"/>
    </row>
    <row r="559" spans="9:9" s="675" customFormat="1" ht="12.75" x14ac:dyDescent="0.2">
      <c r="I559" s="681"/>
    </row>
    <row r="560" spans="9:9" s="675" customFormat="1" ht="12.75" x14ac:dyDescent="0.2">
      <c r="I560" s="681"/>
    </row>
    <row r="561" spans="9:9" s="675" customFormat="1" ht="12.75" x14ac:dyDescent="0.2">
      <c r="I561" s="681"/>
    </row>
    <row r="562" spans="9:9" s="675" customFormat="1" ht="12.75" x14ac:dyDescent="0.2">
      <c r="I562" s="681"/>
    </row>
    <row r="563" spans="9:9" s="675" customFormat="1" ht="12.75" x14ac:dyDescent="0.2">
      <c r="I563" s="681"/>
    </row>
    <row r="564" spans="9:9" s="675" customFormat="1" ht="12.75" x14ac:dyDescent="0.2">
      <c r="I564" s="681"/>
    </row>
    <row r="565" spans="9:9" s="675" customFormat="1" ht="12.75" x14ac:dyDescent="0.2">
      <c r="I565" s="681"/>
    </row>
    <row r="566" spans="9:9" s="675" customFormat="1" ht="12.75" x14ac:dyDescent="0.2">
      <c r="I566" s="681"/>
    </row>
    <row r="567" spans="9:9" s="675" customFormat="1" ht="12.75" x14ac:dyDescent="0.2">
      <c r="I567" s="681"/>
    </row>
    <row r="568" spans="9:9" s="675" customFormat="1" ht="12.75" x14ac:dyDescent="0.2">
      <c r="I568" s="681"/>
    </row>
    <row r="569" spans="9:9" s="675" customFormat="1" ht="12.75" x14ac:dyDescent="0.2">
      <c r="I569" s="681"/>
    </row>
    <row r="570" spans="9:9" s="675" customFormat="1" ht="12.75" x14ac:dyDescent="0.2">
      <c r="I570" s="681"/>
    </row>
    <row r="571" spans="9:9" s="675" customFormat="1" ht="12.75" x14ac:dyDescent="0.2">
      <c r="I571" s="681"/>
    </row>
    <row r="572" spans="9:9" s="675" customFormat="1" ht="12.75" x14ac:dyDescent="0.2">
      <c r="I572" s="681"/>
    </row>
    <row r="573" spans="9:9" s="675" customFormat="1" ht="12.75" x14ac:dyDescent="0.2">
      <c r="I573" s="681"/>
    </row>
    <row r="574" spans="9:9" s="675" customFormat="1" ht="12.75" x14ac:dyDescent="0.2">
      <c r="I574" s="681"/>
    </row>
    <row r="575" spans="9:9" s="675" customFormat="1" ht="12.75" x14ac:dyDescent="0.2">
      <c r="I575" s="681"/>
    </row>
    <row r="576" spans="9:9" s="675" customFormat="1" ht="12.75" x14ac:dyDescent="0.2">
      <c r="I576" s="681"/>
    </row>
    <row r="577" spans="9:9" s="675" customFormat="1" ht="12.75" x14ac:dyDescent="0.2">
      <c r="I577" s="681"/>
    </row>
    <row r="578" spans="9:9" s="675" customFormat="1" ht="12.75" x14ac:dyDescent="0.2">
      <c r="I578" s="681"/>
    </row>
    <row r="579" spans="9:9" s="675" customFormat="1" ht="12.75" x14ac:dyDescent="0.2">
      <c r="I579" s="681"/>
    </row>
    <row r="580" spans="9:9" s="675" customFormat="1" ht="12.75" x14ac:dyDescent="0.2">
      <c r="I580" s="681"/>
    </row>
    <row r="581" spans="9:9" s="675" customFormat="1" ht="12.75" x14ac:dyDescent="0.2">
      <c r="I581" s="681"/>
    </row>
    <row r="582" spans="9:9" s="675" customFormat="1" ht="12.75" x14ac:dyDescent="0.2">
      <c r="I582" s="681"/>
    </row>
    <row r="583" spans="9:9" s="675" customFormat="1" ht="12.75" x14ac:dyDescent="0.2">
      <c r="I583" s="681"/>
    </row>
    <row r="584" spans="9:9" s="675" customFormat="1" ht="12.75" x14ac:dyDescent="0.2">
      <c r="I584" s="681"/>
    </row>
    <row r="585" spans="9:9" s="675" customFormat="1" ht="12.75" x14ac:dyDescent="0.2">
      <c r="I585" s="681"/>
    </row>
    <row r="586" spans="9:9" s="675" customFormat="1" ht="12.75" x14ac:dyDescent="0.2">
      <c r="I586" s="681"/>
    </row>
    <row r="587" spans="9:9" s="675" customFormat="1" ht="12.75" x14ac:dyDescent="0.2">
      <c r="I587" s="681"/>
    </row>
    <row r="588" spans="9:9" s="675" customFormat="1" ht="12.75" x14ac:dyDescent="0.2">
      <c r="I588" s="681"/>
    </row>
    <row r="589" spans="9:9" s="675" customFormat="1" ht="12.75" x14ac:dyDescent="0.2">
      <c r="I589" s="681"/>
    </row>
    <row r="590" spans="9:9" s="675" customFormat="1" ht="12.75" x14ac:dyDescent="0.2">
      <c r="I590" s="681"/>
    </row>
    <row r="591" spans="9:9" s="675" customFormat="1" ht="12.75" x14ac:dyDescent="0.2">
      <c r="I591" s="681"/>
    </row>
    <row r="592" spans="9:9" s="675" customFormat="1" ht="12.75" x14ac:dyDescent="0.2">
      <c r="I592" s="681"/>
    </row>
    <row r="593" spans="9:9" s="675" customFormat="1" ht="12.75" x14ac:dyDescent="0.2">
      <c r="I593" s="681"/>
    </row>
    <row r="594" spans="9:9" s="675" customFormat="1" ht="12.75" x14ac:dyDescent="0.2">
      <c r="I594" s="681"/>
    </row>
    <row r="595" spans="9:9" s="675" customFormat="1" ht="12.75" x14ac:dyDescent="0.2">
      <c r="I595" s="681"/>
    </row>
    <row r="596" spans="9:9" s="675" customFormat="1" ht="12.75" x14ac:dyDescent="0.2">
      <c r="I596" s="681"/>
    </row>
    <row r="597" spans="9:9" s="675" customFormat="1" ht="12.75" x14ac:dyDescent="0.2">
      <c r="I597" s="681"/>
    </row>
    <row r="598" spans="9:9" s="675" customFormat="1" ht="12.75" x14ac:dyDescent="0.2">
      <c r="I598" s="681"/>
    </row>
    <row r="599" spans="9:9" s="675" customFormat="1" ht="12.75" x14ac:dyDescent="0.2">
      <c r="I599" s="681"/>
    </row>
    <row r="600" spans="9:9" s="675" customFormat="1" ht="12.75" x14ac:dyDescent="0.2">
      <c r="I600" s="681"/>
    </row>
    <row r="601" spans="9:9" s="675" customFormat="1" ht="12.75" x14ac:dyDescent="0.2">
      <c r="I601" s="681"/>
    </row>
    <row r="602" spans="9:9" s="675" customFormat="1" ht="12.75" x14ac:dyDescent="0.2">
      <c r="I602" s="681"/>
    </row>
    <row r="603" spans="9:9" s="675" customFormat="1" ht="12.75" x14ac:dyDescent="0.2">
      <c r="I603" s="681"/>
    </row>
    <row r="604" spans="9:9" s="675" customFormat="1" ht="12.75" x14ac:dyDescent="0.2">
      <c r="I604" s="681"/>
    </row>
    <row r="605" spans="9:9" s="675" customFormat="1" ht="12.75" x14ac:dyDescent="0.2">
      <c r="I605" s="681"/>
    </row>
    <row r="606" spans="9:9" s="675" customFormat="1" ht="12.75" x14ac:dyDescent="0.2">
      <c r="I606" s="681"/>
    </row>
    <row r="607" spans="9:9" s="675" customFormat="1" ht="12.75" x14ac:dyDescent="0.2">
      <c r="I607" s="681"/>
    </row>
    <row r="608" spans="9:9" s="675" customFormat="1" ht="12.75" x14ac:dyDescent="0.2">
      <c r="I608" s="681"/>
    </row>
    <row r="609" spans="9:9" s="675" customFormat="1" ht="12.75" x14ac:dyDescent="0.2">
      <c r="I609" s="681"/>
    </row>
    <row r="610" spans="9:9" s="675" customFormat="1" ht="12.75" x14ac:dyDescent="0.2">
      <c r="I610" s="681"/>
    </row>
    <row r="611" spans="9:9" s="675" customFormat="1" ht="12.75" x14ac:dyDescent="0.2">
      <c r="I611" s="681"/>
    </row>
    <row r="612" spans="9:9" s="675" customFormat="1" ht="12.75" x14ac:dyDescent="0.2">
      <c r="I612" s="681"/>
    </row>
    <row r="613" spans="9:9" s="675" customFormat="1" ht="12.75" x14ac:dyDescent="0.2">
      <c r="I613" s="681"/>
    </row>
    <row r="614" spans="9:9" s="675" customFormat="1" ht="12.75" x14ac:dyDescent="0.2">
      <c r="I614" s="681"/>
    </row>
    <row r="615" spans="9:9" s="675" customFormat="1" ht="12.75" x14ac:dyDescent="0.2">
      <c r="I615" s="681"/>
    </row>
    <row r="616" spans="9:9" s="675" customFormat="1" ht="12.75" x14ac:dyDescent="0.2">
      <c r="I616" s="681"/>
    </row>
    <row r="617" spans="9:9" s="675" customFormat="1" ht="12.75" x14ac:dyDescent="0.2">
      <c r="I617" s="681"/>
    </row>
    <row r="618" spans="9:9" s="675" customFormat="1" ht="12.75" x14ac:dyDescent="0.2">
      <c r="I618" s="681"/>
    </row>
    <row r="619" spans="9:9" s="675" customFormat="1" ht="12.75" x14ac:dyDescent="0.2">
      <c r="I619" s="681"/>
    </row>
    <row r="620" spans="9:9" s="675" customFormat="1" ht="12.75" x14ac:dyDescent="0.2">
      <c r="I620" s="681"/>
    </row>
    <row r="621" spans="9:9" s="675" customFormat="1" ht="12.75" x14ac:dyDescent="0.2">
      <c r="I621" s="681"/>
    </row>
    <row r="622" spans="9:9" s="675" customFormat="1" ht="12.75" x14ac:dyDescent="0.2">
      <c r="I622" s="681"/>
    </row>
    <row r="623" spans="9:9" s="675" customFormat="1" ht="12.75" x14ac:dyDescent="0.2">
      <c r="I623" s="681"/>
    </row>
    <row r="624" spans="9:9" s="675" customFormat="1" ht="12.75" x14ac:dyDescent="0.2">
      <c r="I624" s="681"/>
    </row>
    <row r="625" spans="9:9" s="675" customFormat="1" ht="12.75" x14ac:dyDescent="0.2">
      <c r="I625" s="681"/>
    </row>
    <row r="626" spans="9:9" s="675" customFormat="1" ht="12.75" x14ac:dyDescent="0.2">
      <c r="I626" s="681"/>
    </row>
    <row r="627" spans="9:9" s="675" customFormat="1" ht="12.75" x14ac:dyDescent="0.2">
      <c r="I627" s="681"/>
    </row>
    <row r="628" spans="9:9" s="675" customFormat="1" ht="12.75" x14ac:dyDescent="0.2">
      <c r="I628" s="681"/>
    </row>
    <row r="629" spans="9:9" s="675" customFormat="1" ht="12.75" x14ac:dyDescent="0.2">
      <c r="I629" s="681"/>
    </row>
    <row r="630" spans="9:9" s="675" customFormat="1" ht="12.75" x14ac:dyDescent="0.2">
      <c r="I630" s="681"/>
    </row>
    <row r="631" spans="9:9" s="675" customFormat="1" ht="12.75" x14ac:dyDescent="0.2">
      <c r="I631" s="681"/>
    </row>
    <row r="632" spans="9:9" s="675" customFormat="1" ht="12.75" x14ac:dyDescent="0.2">
      <c r="I632" s="681"/>
    </row>
    <row r="633" spans="9:9" s="675" customFormat="1" ht="12.75" x14ac:dyDescent="0.2">
      <c r="I633" s="681"/>
    </row>
    <row r="634" spans="9:9" s="675" customFormat="1" ht="12.75" x14ac:dyDescent="0.2">
      <c r="I634" s="681"/>
    </row>
    <row r="635" spans="9:9" s="675" customFormat="1" ht="12.75" x14ac:dyDescent="0.2">
      <c r="I635" s="681"/>
    </row>
    <row r="636" spans="9:9" s="675" customFormat="1" ht="12.75" x14ac:dyDescent="0.2">
      <c r="I636" s="681"/>
    </row>
    <row r="637" spans="9:9" s="675" customFormat="1" ht="12.75" x14ac:dyDescent="0.2">
      <c r="I637" s="681"/>
    </row>
    <row r="638" spans="9:9" s="675" customFormat="1" ht="12.75" x14ac:dyDescent="0.2">
      <c r="I638" s="681"/>
    </row>
    <row r="639" spans="9:9" s="675" customFormat="1" ht="12.75" x14ac:dyDescent="0.2">
      <c r="I639" s="681"/>
    </row>
    <row r="640" spans="9:9" s="675" customFormat="1" ht="12.75" x14ac:dyDescent="0.2">
      <c r="I640" s="681"/>
    </row>
    <row r="641" spans="9:9" s="675" customFormat="1" ht="12.75" x14ac:dyDescent="0.2">
      <c r="I641" s="681"/>
    </row>
    <row r="642" spans="9:9" s="675" customFormat="1" ht="12.75" x14ac:dyDescent="0.2">
      <c r="I642" s="681"/>
    </row>
    <row r="643" spans="9:9" s="675" customFormat="1" ht="12.75" x14ac:dyDescent="0.2">
      <c r="I643" s="681"/>
    </row>
    <row r="644" spans="9:9" s="675" customFormat="1" ht="12.75" x14ac:dyDescent="0.2">
      <c r="I644" s="681"/>
    </row>
    <row r="645" spans="9:9" s="675" customFormat="1" ht="12.75" x14ac:dyDescent="0.2">
      <c r="I645" s="681"/>
    </row>
    <row r="646" spans="9:9" s="675" customFormat="1" ht="12.75" x14ac:dyDescent="0.2">
      <c r="I646" s="681"/>
    </row>
    <row r="647" spans="9:9" s="675" customFormat="1" ht="12.75" x14ac:dyDescent="0.2">
      <c r="I647" s="681"/>
    </row>
    <row r="648" spans="9:9" s="675" customFormat="1" ht="12.75" x14ac:dyDescent="0.2">
      <c r="I648" s="681"/>
    </row>
    <row r="649" spans="9:9" s="675" customFormat="1" ht="12.75" x14ac:dyDescent="0.2">
      <c r="I649" s="681"/>
    </row>
    <row r="650" spans="9:9" s="675" customFormat="1" ht="12.75" x14ac:dyDescent="0.2">
      <c r="I650" s="681"/>
    </row>
    <row r="651" spans="9:9" s="675" customFormat="1" ht="12.75" x14ac:dyDescent="0.2">
      <c r="I651" s="681"/>
    </row>
    <row r="652" spans="9:9" s="675" customFormat="1" ht="12.75" x14ac:dyDescent="0.2">
      <c r="I652" s="681"/>
    </row>
    <row r="653" spans="9:9" s="675" customFormat="1" ht="12.75" x14ac:dyDescent="0.2">
      <c r="I653" s="681"/>
    </row>
    <row r="654" spans="9:9" s="675" customFormat="1" ht="12.75" x14ac:dyDescent="0.2">
      <c r="I654" s="681"/>
    </row>
    <row r="655" spans="9:9" s="675" customFormat="1" ht="12.75" x14ac:dyDescent="0.2">
      <c r="I655" s="681"/>
    </row>
    <row r="656" spans="9:9" s="675" customFormat="1" ht="12.75" x14ac:dyDescent="0.2">
      <c r="I656" s="681"/>
    </row>
    <row r="657" spans="9:9" s="675" customFormat="1" ht="12.75" x14ac:dyDescent="0.2">
      <c r="I657" s="681"/>
    </row>
    <row r="658" spans="9:9" s="675" customFormat="1" ht="12.75" x14ac:dyDescent="0.2">
      <c r="I658" s="681"/>
    </row>
    <row r="659" spans="9:9" s="675" customFormat="1" ht="12.75" x14ac:dyDescent="0.2">
      <c r="I659" s="681"/>
    </row>
    <row r="660" spans="9:9" s="675" customFormat="1" ht="12.75" x14ac:dyDescent="0.2">
      <c r="I660" s="681"/>
    </row>
    <row r="661" spans="9:9" s="675" customFormat="1" ht="12.75" x14ac:dyDescent="0.2">
      <c r="I661" s="681"/>
    </row>
    <row r="662" spans="9:9" s="675" customFormat="1" ht="12.75" x14ac:dyDescent="0.2">
      <c r="I662" s="681"/>
    </row>
    <row r="663" spans="9:9" s="675" customFormat="1" ht="12.75" x14ac:dyDescent="0.2">
      <c r="I663" s="681"/>
    </row>
    <row r="664" spans="9:9" s="675" customFormat="1" ht="12.75" x14ac:dyDescent="0.2">
      <c r="I664" s="681"/>
    </row>
    <row r="665" spans="9:9" s="675" customFormat="1" ht="12.75" x14ac:dyDescent="0.2">
      <c r="I665" s="681"/>
    </row>
    <row r="666" spans="9:9" s="675" customFormat="1" ht="12.75" x14ac:dyDescent="0.2">
      <c r="I666" s="681"/>
    </row>
    <row r="667" spans="9:9" s="675" customFormat="1" ht="12.75" x14ac:dyDescent="0.2">
      <c r="I667" s="681"/>
    </row>
    <row r="668" spans="9:9" s="675" customFormat="1" ht="12.75" x14ac:dyDescent="0.2">
      <c r="I668" s="681"/>
    </row>
    <row r="669" spans="9:9" s="675" customFormat="1" ht="12.75" x14ac:dyDescent="0.2">
      <c r="I669" s="681"/>
    </row>
    <row r="670" spans="9:9" s="675" customFormat="1" ht="12.75" x14ac:dyDescent="0.2">
      <c r="I670" s="681"/>
    </row>
    <row r="671" spans="9:9" s="675" customFormat="1" ht="12.75" x14ac:dyDescent="0.2">
      <c r="I671" s="681"/>
    </row>
    <row r="672" spans="9:9" s="675" customFormat="1" ht="12.75" x14ac:dyDescent="0.2">
      <c r="I672" s="681"/>
    </row>
    <row r="673" spans="9:9" s="675" customFormat="1" ht="12.75" x14ac:dyDescent="0.2">
      <c r="I673" s="681"/>
    </row>
    <row r="674" spans="9:9" s="675" customFormat="1" ht="12.75" x14ac:dyDescent="0.2">
      <c r="I674" s="681"/>
    </row>
    <row r="675" spans="9:9" s="675" customFormat="1" ht="12.75" x14ac:dyDescent="0.2">
      <c r="I675" s="681"/>
    </row>
    <row r="676" spans="9:9" s="675" customFormat="1" ht="12.75" x14ac:dyDescent="0.2">
      <c r="I676" s="681"/>
    </row>
    <row r="677" spans="9:9" s="675" customFormat="1" ht="12.75" x14ac:dyDescent="0.2">
      <c r="I677" s="681"/>
    </row>
    <row r="678" spans="9:9" s="675" customFormat="1" ht="12.75" x14ac:dyDescent="0.2">
      <c r="I678" s="681"/>
    </row>
    <row r="679" spans="9:9" s="675" customFormat="1" ht="12.75" x14ac:dyDescent="0.2">
      <c r="I679" s="681"/>
    </row>
    <row r="680" spans="9:9" s="675" customFormat="1" ht="12.75" x14ac:dyDescent="0.2">
      <c r="I680" s="681"/>
    </row>
    <row r="681" spans="9:9" s="675" customFormat="1" ht="12.75" x14ac:dyDescent="0.2">
      <c r="I681" s="681"/>
    </row>
    <row r="682" spans="9:9" s="675" customFormat="1" ht="12.75" x14ac:dyDescent="0.2">
      <c r="I682" s="681"/>
    </row>
    <row r="683" spans="9:9" s="675" customFormat="1" ht="12.75" x14ac:dyDescent="0.2">
      <c r="I683" s="681"/>
    </row>
    <row r="684" spans="9:9" s="675" customFormat="1" ht="12.75" x14ac:dyDescent="0.2">
      <c r="I684" s="681"/>
    </row>
    <row r="685" spans="9:9" s="675" customFormat="1" ht="12.75" x14ac:dyDescent="0.2">
      <c r="I685" s="681"/>
    </row>
    <row r="686" spans="9:9" s="675" customFormat="1" ht="12.75" x14ac:dyDescent="0.2">
      <c r="I686" s="681"/>
    </row>
    <row r="687" spans="9:9" s="675" customFormat="1" ht="12.75" x14ac:dyDescent="0.2">
      <c r="I687" s="681"/>
    </row>
    <row r="688" spans="9:9" s="675" customFormat="1" ht="12.75" x14ac:dyDescent="0.2">
      <c r="I688" s="681"/>
    </row>
    <row r="689" spans="9:9" s="675" customFormat="1" ht="12.75" x14ac:dyDescent="0.2">
      <c r="I689" s="681"/>
    </row>
    <row r="690" spans="9:9" s="675" customFormat="1" ht="12.75" x14ac:dyDescent="0.2">
      <c r="I690" s="681"/>
    </row>
    <row r="691" spans="9:9" s="675" customFormat="1" ht="12.75" x14ac:dyDescent="0.2">
      <c r="I691" s="681"/>
    </row>
    <row r="692" spans="9:9" s="675" customFormat="1" ht="12.75" x14ac:dyDescent="0.2">
      <c r="I692" s="681"/>
    </row>
    <row r="693" spans="9:9" s="675" customFormat="1" ht="12.75" x14ac:dyDescent="0.2">
      <c r="I693" s="681"/>
    </row>
    <row r="694" spans="9:9" s="675" customFormat="1" ht="12.75" x14ac:dyDescent="0.2">
      <c r="I694" s="681"/>
    </row>
    <row r="695" spans="9:9" s="675" customFormat="1" ht="12.75" x14ac:dyDescent="0.2">
      <c r="I695" s="681"/>
    </row>
    <row r="696" spans="9:9" s="675" customFormat="1" ht="12.75" x14ac:dyDescent="0.2">
      <c r="I696" s="681"/>
    </row>
    <row r="697" spans="9:9" s="675" customFormat="1" ht="12.75" x14ac:dyDescent="0.2">
      <c r="I697" s="681"/>
    </row>
    <row r="698" spans="9:9" s="675" customFormat="1" ht="12.75" x14ac:dyDescent="0.2">
      <c r="I698" s="681"/>
    </row>
    <row r="699" spans="9:9" s="675" customFormat="1" ht="12.75" x14ac:dyDescent="0.2">
      <c r="I699" s="681"/>
    </row>
    <row r="700" spans="9:9" s="675" customFormat="1" ht="12.75" x14ac:dyDescent="0.2">
      <c r="I700" s="681"/>
    </row>
    <row r="701" spans="9:9" s="675" customFormat="1" ht="12.75" x14ac:dyDescent="0.2">
      <c r="I701" s="681"/>
    </row>
    <row r="702" spans="9:9" s="675" customFormat="1" ht="12.75" x14ac:dyDescent="0.2">
      <c r="I702" s="681"/>
    </row>
    <row r="703" spans="9:9" s="675" customFormat="1" ht="12.75" x14ac:dyDescent="0.2">
      <c r="I703" s="681"/>
    </row>
    <row r="704" spans="9:9" s="675" customFormat="1" ht="12.75" x14ac:dyDescent="0.2">
      <c r="I704" s="681"/>
    </row>
    <row r="705" spans="9:9" s="675" customFormat="1" ht="12.75" x14ac:dyDescent="0.2">
      <c r="I705" s="681"/>
    </row>
    <row r="706" spans="9:9" s="675" customFormat="1" ht="12.75" x14ac:dyDescent="0.2">
      <c r="I706" s="681"/>
    </row>
    <row r="707" spans="9:9" s="675" customFormat="1" ht="12.75" x14ac:dyDescent="0.2">
      <c r="I707" s="681"/>
    </row>
    <row r="708" spans="9:9" s="675" customFormat="1" ht="12.75" x14ac:dyDescent="0.2">
      <c r="I708" s="681"/>
    </row>
    <row r="709" spans="9:9" s="675" customFormat="1" ht="12.75" x14ac:dyDescent="0.2">
      <c r="I709" s="681"/>
    </row>
    <row r="710" spans="9:9" s="675" customFormat="1" ht="12.75" x14ac:dyDescent="0.2">
      <c r="I710" s="681"/>
    </row>
    <row r="711" spans="9:9" s="675" customFormat="1" ht="12.75" x14ac:dyDescent="0.2">
      <c r="I711" s="681"/>
    </row>
    <row r="712" spans="9:9" s="675" customFormat="1" ht="12.75" x14ac:dyDescent="0.2">
      <c r="I712" s="681"/>
    </row>
    <row r="713" spans="9:9" s="675" customFormat="1" ht="12.75" x14ac:dyDescent="0.2">
      <c r="I713" s="681"/>
    </row>
    <row r="714" spans="9:9" s="675" customFormat="1" ht="12.75" x14ac:dyDescent="0.2">
      <c r="I714" s="681"/>
    </row>
    <row r="715" spans="9:9" s="675" customFormat="1" ht="12.75" x14ac:dyDescent="0.2">
      <c r="I715" s="681"/>
    </row>
    <row r="716" spans="9:9" s="675" customFormat="1" ht="12.75" x14ac:dyDescent="0.2">
      <c r="I716" s="681"/>
    </row>
    <row r="717" spans="9:9" s="675" customFormat="1" ht="12.75" x14ac:dyDescent="0.2">
      <c r="I717" s="681"/>
    </row>
    <row r="718" spans="9:9" s="675" customFormat="1" ht="12.75" x14ac:dyDescent="0.2">
      <c r="I718" s="681"/>
    </row>
    <row r="719" spans="9:9" s="675" customFormat="1" ht="12.75" x14ac:dyDescent="0.2">
      <c r="I719" s="681"/>
    </row>
    <row r="720" spans="9:9" s="675" customFormat="1" ht="12.75" x14ac:dyDescent="0.2">
      <c r="I720" s="681"/>
    </row>
    <row r="721" spans="9:9" s="675" customFormat="1" ht="12.75" x14ac:dyDescent="0.2">
      <c r="I721" s="681"/>
    </row>
    <row r="722" spans="9:9" s="675" customFormat="1" ht="12.75" x14ac:dyDescent="0.2">
      <c r="I722" s="681"/>
    </row>
    <row r="723" spans="9:9" s="675" customFormat="1" ht="12.75" x14ac:dyDescent="0.2">
      <c r="I723" s="681"/>
    </row>
    <row r="724" spans="9:9" s="675" customFormat="1" ht="12.75" x14ac:dyDescent="0.2">
      <c r="I724" s="681"/>
    </row>
    <row r="725" spans="9:9" s="675" customFormat="1" ht="12.75" x14ac:dyDescent="0.2">
      <c r="I725" s="681"/>
    </row>
    <row r="726" spans="9:9" s="675" customFormat="1" ht="12.75" x14ac:dyDescent="0.2">
      <c r="I726" s="681"/>
    </row>
    <row r="727" spans="9:9" s="675" customFormat="1" ht="12.75" x14ac:dyDescent="0.2">
      <c r="I727" s="681"/>
    </row>
    <row r="728" spans="9:9" s="675" customFormat="1" ht="12.75" x14ac:dyDescent="0.2">
      <c r="I728" s="681"/>
    </row>
    <row r="729" spans="9:9" s="675" customFormat="1" ht="12.75" x14ac:dyDescent="0.2">
      <c r="I729" s="681"/>
    </row>
    <row r="730" spans="9:9" s="675" customFormat="1" ht="12.75" x14ac:dyDescent="0.2">
      <c r="I730" s="681"/>
    </row>
    <row r="731" spans="9:9" s="675" customFormat="1" ht="12.75" x14ac:dyDescent="0.2">
      <c r="I731" s="681"/>
    </row>
    <row r="732" spans="9:9" s="675" customFormat="1" ht="12.75" x14ac:dyDescent="0.2">
      <c r="I732" s="681"/>
    </row>
    <row r="733" spans="9:9" s="675" customFormat="1" ht="12.75" x14ac:dyDescent="0.2">
      <c r="I733" s="681"/>
    </row>
    <row r="734" spans="9:9" s="675" customFormat="1" ht="12.75" x14ac:dyDescent="0.2">
      <c r="I734" s="681"/>
    </row>
    <row r="735" spans="9:9" s="675" customFormat="1" ht="12.75" x14ac:dyDescent="0.2">
      <c r="I735" s="681"/>
    </row>
    <row r="736" spans="9:9" s="675" customFormat="1" ht="12.75" x14ac:dyDescent="0.2">
      <c r="I736" s="681"/>
    </row>
    <row r="737" spans="9:9" s="675" customFormat="1" ht="12.75" x14ac:dyDescent="0.2">
      <c r="I737" s="681"/>
    </row>
    <row r="738" spans="9:9" s="675" customFormat="1" ht="12.75" x14ac:dyDescent="0.2">
      <c r="I738" s="681"/>
    </row>
    <row r="739" spans="9:9" s="675" customFormat="1" ht="12.75" x14ac:dyDescent="0.2">
      <c r="I739" s="681"/>
    </row>
    <row r="740" spans="9:9" s="675" customFormat="1" ht="12.75" x14ac:dyDescent="0.2">
      <c r="I740" s="681"/>
    </row>
    <row r="741" spans="9:9" s="675" customFormat="1" ht="12.75" x14ac:dyDescent="0.2">
      <c r="I741" s="681"/>
    </row>
    <row r="742" spans="9:9" s="675" customFormat="1" ht="12.75" x14ac:dyDescent="0.2">
      <c r="I742" s="681"/>
    </row>
    <row r="743" spans="9:9" s="675" customFormat="1" ht="12.75" x14ac:dyDescent="0.2">
      <c r="I743" s="681"/>
    </row>
    <row r="744" spans="9:9" s="675" customFormat="1" ht="12.75" x14ac:dyDescent="0.2">
      <c r="I744" s="681"/>
    </row>
  </sheetData>
  <mergeCells count="3">
    <mergeCell ref="A4:I4"/>
    <mergeCell ref="A5:I5"/>
    <mergeCell ref="B6:D6"/>
  </mergeCells>
  <printOptions horizontalCentered="1"/>
  <pageMargins left="0" right="0" top="1.3775590551181103" bottom="0.59015748031496074" header="0.98385826771653528" footer="0.19645669291338586"/>
  <pageSetup paperSize="9" scale="90" fitToWidth="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44"/>
  <sheetViews>
    <sheetView showGridLines="0" workbookViewId="0">
      <selection activeCell="J13" sqref="J13"/>
    </sheetView>
  </sheetViews>
  <sheetFormatPr baseColWidth="10" defaultRowHeight="14.25" x14ac:dyDescent="0.2"/>
  <cols>
    <col min="1" max="1" width="6" style="675" customWidth="1"/>
    <col min="2" max="2" width="20.375" style="675" customWidth="1"/>
    <col min="3" max="3" width="12.5" style="675" customWidth="1"/>
    <col min="4" max="4" width="14.375" style="675" customWidth="1"/>
    <col min="5" max="5" width="12.75" style="675" customWidth="1"/>
    <col min="6" max="6" width="12.875" style="675" customWidth="1"/>
    <col min="7" max="9" width="13" style="675" customWidth="1"/>
    <col min="10" max="10" width="14.375" style="681" customWidth="1"/>
    <col min="11" max="1025" width="12.875" style="675" customWidth="1"/>
    <col min="1026" max="16384" width="11" style="674"/>
  </cols>
  <sheetData>
    <row r="1" spans="1:16" s="673" customFormat="1" ht="12.75" x14ac:dyDescent="0.2">
      <c r="A1" s="212"/>
      <c r="B1" s="212"/>
      <c r="C1" s="671" t="s">
        <v>0</v>
      </c>
      <c r="D1" s="212"/>
      <c r="E1" s="672"/>
      <c r="F1" s="212"/>
      <c r="G1" s="212"/>
      <c r="H1" s="212"/>
      <c r="I1" s="212"/>
      <c r="J1" s="212"/>
    </row>
    <row r="2" spans="1:16" s="673" customFormat="1" ht="12.75" x14ac:dyDescent="0.2">
      <c r="A2" s="212"/>
      <c r="B2" s="212"/>
      <c r="C2" s="671" t="s">
        <v>163</v>
      </c>
      <c r="D2" s="212"/>
      <c r="E2" s="672"/>
      <c r="F2" s="212"/>
      <c r="G2" s="212"/>
      <c r="H2" s="212"/>
      <c r="I2" s="212"/>
      <c r="J2" s="212"/>
    </row>
    <row r="3" spans="1:16" s="673" customFormat="1" ht="12.75" x14ac:dyDescent="0.2">
      <c r="A3" s="212"/>
      <c r="B3" s="212"/>
      <c r="C3" s="212"/>
      <c r="D3" s="212"/>
      <c r="E3" s="212"/>
      <c r="F3" s="212"/>
      <c r="G3" s="212"/>
      <c r="H3" s="212"/>
      <c r="I3" s="212"/>
      <c r="J3" s="212"/>
    </row>
    <row r="4" spans="1:16" s="673" customFormat="1" ht="12.75" x14ac:dyDescent="0.2">
      <c r="A4" s="759" t="s">
        <v>525</v>
      </c>
      <c r="B4" s="759"/>
      <c r="C4" s="759"/>
      <c r="D4" s="759"/>
      <c r="E4" s="759"/>
      <c r="F4" s="759"/>
      <c r="G4" s="759"/>
      <c r="H4" s="759"/>
      <c r="I4" s="759"/>
      <c r="J4" s="759"/>
    </row>
    <row r="5" spans="1:16" s="673" customFormat="1" x14ac:dyDescent="0.2">
      <c r="A5" s="760"/>
      <c r="B5" s="760"/>
      <c r="C5" s="760"/>
      <c r="D5" s="760"/>
      <c r="E5" s="760"/>
      <c r="F5" s="760"/>
      <c r="G5" s="760"/>
      <c r="H5" s="760"/>
      <c r="I5" s="760"/>
      <c r="J5" s="760"/>
    </row>
    <row r="6" spans="1:16" s="673" customFormat="1" ht="12.75" x14ac:dyDescent="0.2">
      <c r="A6" s="675"/>
      <c r="B6" s="761" t="s">
        <v>377</v>
      </c>
      <c r="C6" s="761"/>
      <c r="D6" s="761"/>
      <c r="E6" s="676"/>
      <c r="F6" s="682">
        <f>'FONDOS PART 2024'!H10</f>
        <v>1720265994</v>
      </c>
      <c r="G6" s="675"/>
      <c r="H6" s="678"/>
      <c r="I6" s="678"/>
      <c r="J6" s="676"/>
    </row>
    <row r="7" spans="1:16" s="673" customFormat="1" ht="12.75" x14ac:dyDescent="0.2">
      <c r="A7" s="675"/>
      <c r="B7" s="671" t="s">
        <v>543</v>
      </c>
      <c r="C7" s="675"/>
      <c r="D7" s="675"/>
      <c r="E7" s="680"/>
      <c r="F7" s="682">
        <f>F6*0.9963</f>
        <v>1713901009.8221998</v>
      </c>
      <c r="G7" s="680"/>
      <c r="H7" s="678"/>
      <c r="I7" s="678"/>
      <c r="J7" s="681"/>
    </row>
    <row r="8" spans="1:16" s="673" customFormat="1" ht="12.75" x14ac:dyDescent="0.2">
      <c r="A8" s="675"/>
      <c r="B8" s="671" t="s">
        <v>552</v>
      </c>
      <c r="C8" s="675"/>
      <c r="D8" s="675"/>
      <c r="E8" s="683"/>
      <c r="F8" s="682">
        <f>F7*0.45</f>
        <v>771255454.41998994</v>
      </c>
      <c r="G8" s="683"/>
      <c r="H8" s="678"/>
      <c r="I8" s="678"/>
      <c r="J8" s="675"/>
    </row>
    <row r="9" spans="1:16" s="673" customFormat="1" ht="12.75" x14ac:dyDescent="0.2">
      <c r="A9" s="675"/>
      <c r="B9" s="671" t="s">
        <v>553</v>
      </c>
      <c r="C9" s="675"/>
      <c r="D9" s="675"/>
      <c r="E9" s="682"/>
      <c r="F9" s="682">
        <f>F7*0.45</f>
        <v>771255454.41998994</v>
      </c>
      <c r="G9" s="682"/>
      <c r="H9" s="684"/>
      <c r="I9" s="684"/>
      <c r="J9" s="681"/>
    </row>
    <row r="10" spans="1:16" s="673" customFormat="1" ht="12.75" x14ac:dyDescent="0.2">
      <c r="A10" s="675"/>
      <c r="B10" s="671" t="s">
        <v>554</v>
      </c>
      <c r="C10" s="675"/>
      <c r="D10" s="675"/>
      <c r="E10" s="682"/>
      <c r="F10" s="682">
        <f>F7*0.1</f>
        <v>171390100.98221999</v>
      </c>
      <c r="G10" s="682"/>
      <c r="H10" s="684"/>
      <c r="I10" s="684"/>
      <c r="J10" s="681"/>
    </row>
    <row r="11" spans="1:16" s="673" customFormat="1" ht="12.75" x14ac:dyDescent="0.2">
      <c r="A11" s="675"/>
      <c r="B11" s="671" t="s">
        <v>555</v>
      </c>
      <c r="C11" s="675"/>
      <c r="D11" s="675"/>
      <c r="E11" s="682"/>
      <c r="F11" s="682">
        <f>F6-F7</f>
        <v>6364984.1778001785</v>
      </c>
      <c r="G11" s="682"/>
      <c r="H11" s="684"/>
      <c r="I11" s="684"/>
      <c r="J11" s="681"/>
    </row>
    <row r="12" spans="1:16" s="675" customFormat="1" ht="12.75" x14ac:dyDescent="0.2">
      <c r="A12" s="685"/>
      <c r="B12" s="685"/>
      <c r="C12" s="686"/>
      <c r="D12" s="687"/>
      <c r="F12" s="688"/>
      <c r="G12" s="678"/>
      <c r="J12" s="681"/>
    </row>
    <row r="13" spans="1:16" s="675" customFormat="1" ht="25.5" x14ac:dyDescent="0.2">
      <c r="A13" s="722" t="s">
        <v>364</v>
      </c>
      <c r="B13" s="722" t="s">
        <v>29</v>
      </c>
      <c r="C13" s="722" t="s">
        <v>10</v>
      </c>
      <c r="D13" s="722" t="s">
        <v>538</v>
      </c>
      <c r="E13" s="722" t="s">
        <v>366</v>
      </c>
      <c r="F13" s="722" t="s">
        <v>539</v>
      </c>
      <c r="G13" s="722" t="s">
        <v>542</v>
      </c>
      <c r="H13" s="722" t="s">
        <v>540</v>
      </c>
      <c r="I13" s="722" t="s">
        <v>544</v>
      </c>
      <c r="J13" s="722" t="s">
        <v>541</v>
      </c>
    </row>
    <row r="14" spans="1:16" s="675" customFormat="1" ht="12.75" x14ac:dyDescent="0.2">
      <c r="A14" s="215"/>
      <c r="B14" s="215"/>
      <c r="C14" s="685" t="s">
        <v>370</v>
      </c>
      <c r="D14" s="685" t="s">
        <v>371</v>
      </c>
      <c r="E14" s="685" t="s">
        <v>372</v>
      </c>
      <c r="F14" s="685" t="s">
        <v>373</v>
      </c>
      <c r="G14" s="685" t="s">
        <v>374</v>
      </c>
      <c r="H14" s="685" t="s">
        <v>375</v>
      </c>
      <c r="I14" s="685"/>
      <c r="J14" s="685" t="s">
        <v>376</v>
      </c>
    </row>
    <row r="15" spans="1:16" s="675" customFormat="1" ht="12.75" x14ac:dyDescent="0.2">
      <c r="A15" s="215"/>
      <c r="B15" s="215"/>
      <c r="C15" s="690">
        <v>100</v>
      </c>
      <c r="D15" s="691">
        <f t="shared" ref="D15:J15" si="0">SUM(D16:D128)</f>
        <v>771255454.41999018</v>
      </c>
      <c r="E15" s="692">
        <f t="shared" si="0"/>
        <v>99.999999999999915</v>
      </c>
      <c r="F15" s="691">
        <f t="shared" si="0"/>
        <v>771255454.41998947</v>
      </c>
      <c r="G15" s="693">
        <f t="shared" si="0"/>
        <v>100.00000000000006</v>
      </c>
      <c r="H15" s="691">
        <f t="shared" si="0"/>
        <v>171390100.98222014</v>
      </c>
      <c r="I15" s="691">
        <f t="shared" si="0"/>
        <v>6364984.1778001795</v>
      </c>
      <c r="J15" s="691">
        <f t="shared" si="0"/>
        <v>1720265993.9999995</v>
      </c>
      <c r="N15" s="693"/>
      <c r="O15" s="693"/>
      <c r="P15" s="693"/>
    </row>
    <row r="16" spans="1:16" s="675" customFormat="1" ht="12.75" x14ac:dyDescent="0.2">
      <c r="A16" s="694">
        <v>1</v>
      </c>
      <c r="B16" s="694" t="s">
        <v>43</v>
      </c>
      <c r="C16" s="695">
        <f>'COEFIC 2023'!I8</f>
        <v>0.23797360453465957</v>
      </c>
      <c r="D16" s="696">
        <f t="shared" ref="D16:D47" si="1">$F$8*C16%</f>
        <v>1835384.4050534186</v>
      </c>
      <c r="E16" s="697">
        <f>'COEFIC 2023'!P8</f>
        <v>0.39190942225476838</v>
      </c>
      <c r="F16" s="698">
        <f>$F$9*E16%</f>
        <v>3022622.7955257711</v>
      </c>
      <c r="G16" s="699">
        <f>FPART!J16</f>
        <v>0.78996666580088204</v>
      </c>
      <c r="H16" s="700">
        <f>$F$10*G16%</f>
        <v>1353924.6662420081</v>
      </c>
      <c r="I16" s="700">
        <f>$F$11*'COEFIC 2023'!W8</f>
        <v>0</v>
      </c>
      <c r="J16" s="701">
        <f>D16+F16+H16+I16</f>
        <v>6211931.8668211978</v>
      </c>
      <c r="N16" s="702"/>
      <c r="O16" s="703"/>
      <c r="P16" s="704"/>
    </row>
    <row r="17" spans="1:16" s="675" customFormat="1" ht="12.75" x14ac:dyDescent="0.2">
      <c r="A17" s="694">
        <v>2</v>
      </c>
      <c r="B17" s="694" t="s">
        <v>46</v>
      </c>
      <c r="C17" s="695">
        <f>'COEFIC 2023'!I9</f>
        <v>0.31068600666351365</v>
      </c>
      <c r="D17" s="696">
        <f t="shared" si="1"/>
        <v>2396182.7725120024</v>
      </c>
      <c r="E17" s="697">
        <f>'COEFIC 2023'!P9</f>
        <v>1.2675015186709291</v>
      </c>
      <c r="F17" s="698">
        <f t="shared" ref="F17:F47" si="2">$F$9*E17%</f>
        <v>9775674.5976057481</v>
      </c>
      <c r="G17" s="699">
        <f>FPART!J17</f>
        <v>0.41162616179693873</v>
      </c>
      <c r="H17" s="700">
        <f>$F$10*G17%</f>
        <v>705486.49437300954</v>
      </c>
      <c r="I17" s="700">
        <f>$F$11*'COEFIC 2023'!W9</f>
        <v>0</v>
      </c>
      <c r="J17" s="701">
        <f t="shared" ref="J17:J80" si="3">D17+F17+H17+I17</f>
        <v>12877343.864490759</v>
      </c>
      <c r="N17" s="702"/>
      <c r="O17" s="703"/>
      <c r="P17" s="704"/>
    </row>
    <row r="18" spans="1:16" s="675" customFormat="1" ht="12.75" x14ac:dyDescent="0.2">
      <c r="A18" s="694">
        <v>3</v>
      </c>
      <c r="B18" s="694" t="s">
        <v>49</v>
      </c>
      <c r="C18" s="695">
        <f>'COEFIC 2023'!I10</f>
        <v>0.48432819257562787</v>
      </c>
      <c r="D18" s="696">
        <f t="shared" si="1"/>
        <v>3735407.6025332827</v>
      </c>
      <c r="E18" s="697">
        <f>'COEFIC 2023'!P10</f>
        <v>0.6143607387492529</v>
      </c>
      <c r="F18" s="698">
        <f t="shared" si="2"/>
        <v>4738290.7074185582</v>
      </c>
      <c r="G18" s="699">
        <f>FPART!J18</f>
        <v>0.92173246284482802</v>
      </c>
      <c r="H18" s="700">
        <f t="shared" ref="H18:H47" si="4">$F$10*G18%</f>
        <v>1579758.1988556541</v>
      </c>
      <c r="I18" s="700">
        <f>$F$11*'COEFIC 2023'!W10</f>
        <v>0</v>
      </c>
      <c r="J18" s="701">
        <f t="shared" si="3"/>
        <v>10053456.508807495</v>
      </c>
      <c r="N18" s="702"/>
      <c r="O18" s="703"/>
      <c r="P18" s="704"/>
    </row>
    <row r="19" spans="1:16" s="675" customFormat="1" ht="12.75" x14ac:dyDescent="0.2">
      <c r="A19" s="694">
        <v>4</v>
      </c>
      <c r="B19" s="694" t="s">
        <v>52</v>
      </c>
      <c r="C19" s="695">
        <f>'COEFIC 2023'!I11</f>
        <v>0.31466592094163509</v>
      </c>
      <c r="D19" s="696">
        <f t="shared" si="1"/>
        <v>2426878.078463254</v>
      </c>
      <c r="E19" s="697">
        <f>'COEFIC 2023'!P11</f>
        <v>0.39045222807652885</v>
      </c>
      <c r="F19" s="698">
        <f t="shared" si="2"/>
        <v>3011384.1059446079</v>
      </c>
      <c r="G19" s="699">
        <f>FPART!J19</f>
        <v>0.93309894828124873</v>
      </c>
      <c r="H19" s="700">
        <f t="shared" si="4"/>
        <v>1599239.2297232649</v>
      </c>
      <c r="I19" s="700">
        <f>$F$11*'COEFIC 2023'!W11</f>
        <v>0</v>
      </c>
      <c r="J19" s="701">
        <f t="shared" si="3"/>
        <v>7037501.4141311273</v>
      </c>
      <c r="N19" s="702"/>
      <c r="O19" s="703"/>
      <c r="P19" s="704"/>
    </row>
    <row r="20" spans="1:16" s="675" customFormat="1" ht="12.75" x14ac:dyDescent="0.2">
      <c r="A20" s="694">
        <v>5</v>
      </c>
      <c r="B20" s="694" t="s">
        <v>54</v>
      </c>
      <c r="C20" s="695">
        <f>'COEFIC 2023'!I12</f>
        <v>0.22936098580581471</v>
      </c>
      <c r="D20" s="696">
        <f>$F$8*C20%</f>
        <v>1768959.1133388048</v>
      </c>
      <c r="E20" s="697">
        <f>'COEFIC 2023'!P12</f>
        <v>0.41290602770742135</v>
      </c>
      <c r="F20" s="698">
        <f t="shared" si="2"/>
        <v>3184560.2603224022</v>
      </c>
      <c r="G20" s="699">
        <f>FPART!J20</f>
        <v>0.74669597756376371</v>
      </c>
      <c r="H20" s="700">
        <f t="shared" si="4"/>
        <v>1279762.9899767095</v>
      </c>
      <c r="I20" s="700">
        <f>$F$11*'COEFIC 2023'!W12</f>
        <v>0</v>
      </c>
      <c r="J20" s="701">
        <f t="shared" si="3"/>
        <v>6233282.3636379167</v>
      </c>
      <c r="N20" s="702"/>
      <c r="O20" s="703"/>
      <c r="P20" s="704"/>
    </row>
    <row r="21" spans="1:16" s="675" customFormat="1" ht="12.75" x14ac:dyDescent="0.2">
      <c r="A21" s="694">
        <v>6</v>
      </c>
      <c r="B21" s="694" t="s">
        <v>57</v>
      </c>
      <c r="C21" s="695">
        <f>'COEFIC 2023'!I13</f>
        <v>2.6572982151874371</v>
      </c>
      <c r="D21" s="696">
        <f t="shared" si="1"/>
        <v>20494557.424838152</v>
      </c>
      <c r="E21" s="697">
        <f>'COEFIC 2023'!P13</f>
        <v>2.3148565147498155</v>
      </c>
      <c r="F21" s="698">
        <f t="shared" si="2"/>
        <v>17853457.132004432</v>
      </c>
      <c r="G21" s="699">
        <f>FPART!J21</f>
        <v>1.1174691526029661</v>
      </c>
      <c r="H21" s="700">
        <f t="shared" si="4"/>
        <v>1915231.5090913817</v>
      </c>
      <c r="I21" s="700">
        <f>$F$11*'COEFIC 2023'!W13</f>
        <v>0</v>
      </c>
      <c r="J21" s="701">
        <f t="shared" si="3"/>
        <v>40263246.065933965</v>
      </c>
      <c r="N21" s="702"/>
      <c r="O21" s="703"/>
      <c r="P21" s="704"/>
    </row>
    <row r="22" spans="1:16" s="675" customFormat="1" ht="12.75" x14ac:dyDescent="0.2">
      <c r="A22" s="694">
        <v>7</v>
      </c>
      <c r="B22" s="694" t="s">
        <v>44</v>
      </c>
      <c r="C22" s="695">
        <f>'COEFIC 2023'!I14</f>
        <v>7.4312790939103937E-2</v>
      </c>
      <c r="D22" s="696">
        <f t="shared" si="1"/>
        <v>573141.45344956312</v>
      </c>
      <c r="E22" s="697">
        <f>'COEFIC 2023'!P14</f>
        <v>0.37653818456552185</v>
      </c>
      <c r="F22" s="698">
        <f t="shared" si="2"/>
        <v>2904071.2864355962</v>
      </c>
      <c r="G22" s="699">
        <f>FPART!J22</f>
        <v>0.3446437770918015</v>
      </c>
      <c r="H22" s="700">
        <f t="shared" si="4"/>
        <v>590685.31758657575</v>
      </c>
      <c r="I22" s="700">
        <f>$F$11*'COEFIC 2023'!W14</f>
        <v>0</v>
      </c>
      <c r="J22" s="701">
        <f t="shared" si="3"/>
        <v>4067898.0574717349</v>
      </c>
      <c r="N22" s="702"/>
      <c r="O22" s="703"/>
      <c r="P22" s="704"/>
    </row>
    <row r="23" spans="1:16" s="675" customFormat="1" ht="12.75" x14ac:dyDescent="0.2">
      <c r="A23" s="694">
        <v>8</v>
      </c>
      <c r="B23" s="694" t="s">
        <v>59</v>
      </c>
      <c r="C23" s="695">
        <f>'COEFIC 2023'!I15</f>
        <v>0.51962097739113877</v>
      </c>
      <c r="D23" s="696">
        <f t="shared" si="1"/>
        <v>4007605.1304396205</v>
      </c>
      <c r="E23" s="697">
        <f>'COEFIC 2023'!P15</f>
        <v>2.3668185263996966</v>
      </c>
      <c r="F23" s="698">
        <f t="shared" si="2"/>
        <v>18254216.981080487</v>
      </c>
      <c r="G23" s="699">
        <f>FPART!J23</f>
        <v>0.37641255317525624</v>
      </c>
      <c r="H23" s="700">
        <f t="shared" si="4"/>
        <v>645133.85499682417</v>
      </c>
      <c r="I23" s="700">
        <f>$F$11*'COEFIC 2023'!W15</f>
        <v>0</v>
      </c>
      <c r="J23" s="701">
        <f t="shared" si="3"/>
        <v>22906955.966516931</v>
      </c>
      <c r="N23" s="702"/>
      <c r="O23" s="703"/>
      <c r="P23" s="704"/>
    </row>
    <row r="24" spans="1:16" s="675" customFormat="1" ht="12.75" x14ac:dyDescent="0.2">
      <c r="A24" s="694">
        <v>9</v>
      </c>
      <c r="B24" s="694" t="s">
        <v>342</v>
      </c>
      <c r="C24" s="695">
        <f>'COEFIC 2023'!I16</f>
        <v>0.76372238644925527</v>
      </c>
      <c r="D24" s="696">
        <f t="shared" si="1"/>
        <v>5890250.5621163957</v>
      </c>
      <c r="E24" s="697">
        <f>'COEFIC 2023'!P16</f>
        <v>0.92206001121936687</v>
      </c>
      <c r="F24" s="698">
        <f t="shared" si="2"/>
        <v>7111438.1295549376</v>
      </c>
      <c r="G24" s="699">
        <f>FPART!J24</f>
        <v>0.9472702299654876</v>
      </c>
      <c r="H24" s="700">
        <f t="shared" si="4"/>
        <v>1623527.4037123569</v>
      </c>
      <c r="I24" s="700">
        <f>$F$11*'COEFIC 2023'!W16</f>
        <v>0</v>
      </c>
      <c r="J24" s="701">
        <f t="shared" si="3"/>
        <v>14625216.095383691</v>
      </c>
      <c r="N24" s="702"/>
      <c r="O24" s="703"/>
      <c r="P24" s="704"/>
    </row>
    <row r="25" spans="1:16" s="675" customFormat="1" ht="12.75" x14ac:dyDescent="0.2">
      <c r="A25" s="694">
        <v>10</v>
      </c>
      <c r="B25" s="694" t="s">
        <v>64</v>
      </c>
      <c r="C25" s="695">
        <f>'COEFIC 2023'!I17</f>
        <v>0.428146122236855</v>
      </c>
      <c r="D25" s="696">
        <f t="shared" si="1"/>
        <v>3302100.3206394217</v>
      </c>
      <c r="E25" s="697">
        <f>'COEFIC 2023'!P17</f>
        <v>2.5709050555810502</v>
      </c>
      <c r="F25" s="698">
        <f t="shared" si="2"/>
        <v>19828245.469128124</v>
      </c>
      <c r="G25" s="699">
        <f>FPART!J25</f>
        <v>0.29850253295498103</v>
      </c>
      <c r="H25" s="700">
        <f t="shared" si="4"/>
        <v>511603.79266602651</v>
      </c>
      <c r="I25" s="700">
        <f>$F$11*'COEFIC 2023'!W17</f>
        <v>0</v>
      </c>
      <c r="J25" s="701">
        <f t="shared" si="3"/>
        <v>23641949.58243357</v>
      </c>
      <c r="N25" s="702"/>
      <c r="O25" s="703"/>
      <c r="P25" s="704"/>
    </row>
    <row r="26" spans="1:16" s="675" customFormat="1" ht="12.75" x14ac:dyDescent="0.2">
      <c r="A26" s="694">
        <v>11</v>
      </c>
      <c r="B26" s="694" t="s">
        <v>343</v>
      </c>
      <c r="C26" s="695">
        <f>'COEFIC 2023'!I18</f>
        <v>0.24597554858590909</v>
      </c>
      <c r="D26" s="696">
        <f t="shared" si="1"/>
        <v>1897099.8350083162</v>
      </c>
      <c r="E26" s="697">
        <f>'COEFIC 2023'!P18</f>
        <v>0.48150914529440353</v>
      </c>
      <c r="F26" s="698">
        <f t="shared" si="2"/>
        <v>3713665.5466141617</v>
      </c>
      <c r="G26" s="699">
        <f>FPART!J26</f>
        <v>0.7069813546622179</v>
      </c>
      <c r="H26" s="700">
        <f t="shared" si="4"/>
        <v>1211696.0576810422</v>
      </c>
      <c r="I26" s="700">
        <f>$F$11*'COEFIC 2023'!W18</f>
        <v>0</v>
      </c>
      <c r="J26" s="701">
        <f t="shared" si="3"/>
        <v>6822461.4393035211</v>
      </c>
      <c r="N26" s="702"/>
      <c r="O26" s="703"/>
      <c r="P26" s="704"/>
    </row>
    <row r="27" spans="1:16" s="675" customFormat="1" ht="12.75" x14ac:dyDescent="0.2">
      <c r="A27" s="694">
        <v>12</v>
      </c>
      <c r="B27" s="694" t="s">
        <v>70</v>
      </c>
      <c r="C27" s="695">
        <f>'COEFIC 2023'!I19</f>
        <v>0.95892770580473663</v>
      </c>
      <c r="D27" s="696">
        <f t="shared" si="1"/>
        <v>7395782.2349635055</v>
      </c>
      <c r="E27" s="697">
        <f>'COEFIC 2023'!P19</f>
        <v>1.0229413737008273</v>
      </c>
      <c r="F27" s="698">
        <f t="shared" si="2"/>
        <v>7889491.1401864039</v>
      </c>
      <c r="G27" s="699">
        <f>FPART!J27</f>
        <v>1.0116977575122408</v>
      </c>
      <c r="H27" s="700">
        <f t="shared" si="4"/>
        <v>1733949.8082350846</v>
      </c>
      <c r="I27" s="700">
        <f>$F$11*'COEFIC 2023'!W19</f>
        <v>0</v>
      </c>
      <c r="J27" s="701">
        <f t="shared" si="3"/>
        <v>17019223.183384992</v>
      </c>
      <c r="N27" s="702"/>
      <c r="O27" s="703"/>
      <c r="P27" s="704"/>
    </row>
    <row r="28" spans="1:16" s="675" customFormat="1" ht="12.75" x14ac:dyDescent="0.2">
      <c r="A28" s="694">
        <v>13</v>
      </c>
      <c r="B28" s="694" t="s">
        <v>73</v>
      </c>
      <c r="C28" s="695">
        <f>'COEFIC 2023'!I20</f>
        <v>0.19322589109017221</v>
      </c>
      <c r="D28" s="696">
        <f t="shared" si="1"/>
        <v>1490265.2243845826</v>
      </c>
      <c r="E28" s="697">
        <f>'COEFIC 2023'!P20</f>
        <v>0.96514801886169921</v>
      </c>
      <c r="F28" s="698">
        <f t="shared" si="2"/>
        <v>7443756.7386973286</v>
      </c>
      <c r="G28" s="699">
        <f>FPART!J28</f>
        <v>0.34878390370081253</v>
      </c>
      <c r="H28" s="700">
        <f t="shared" si="4"/>
        <v>597781.08476255147</v>
      </c>
      <c r="I28" s="700">
        <f>$F$11*'COEFIC 2023'!W20</f>
        <v>0</v>
      </c>
      <c r="J28" s="701">
        <f t="shared" si="3"/>
        <v>9531803.0478444621</v>
      </c>
      <c r="N28" s="702"/>
      <c r="O28" s="703"/>
      <c r="P28" s="704"/>
    </row>
    <row r="29" spans="1:16" s="675" customFormat="1" ht="12.75" x14ac:dyDescent="0.2">
      <c r="A29" s="694">
        <v>14</v>
      </c>
      <c r="B29" s="694" t="s">
        <v>75</v>
      </c>
      <c r="C29" s="695">
        <f>'COEFIC 2023'!I21</f>
        <v>0.35844497800097119</v>
      </c>
      <c r="D29" s="696">
        <f t="shared" si="1"/>
        <v>2764526.4439270231</v>
      </c>
      <c r="E29" s="697">
        <f>'COEFIC 2023'!P21</f>
        <v>0.57115855003271865</v>
      </c>
      <c r="F29" s="698">
        <f t="shared" si="2"/>
        <v>4405091.4705134705</v>
      </c>
      <c r="G29" s="699">
        <f>FPART!J29</f>
        <v>0.80624051696347643</v>
      </c>
      <c r="H29" s="700">
        <f t="shared" si="4"/>
        <v>1381816.4361832747</v>
      </c>
      <c r="I29" s="700">
        <f>$F$11*'COEFIC 2023'!W21</f>
        <v>0</v>
      </c>
      <c r="J29" s="701">
        <f t="shared" si="3"/>
        <v>8551434.3506237678</v>
      </c>
      <c r="N29" s="702"/>
      <c r="O29" s="703"/>
      <c r="P29" s="704"/>
    </row>
    <row r="30" spans="1:16" s="675" customFormat="1" ht="12.75" x14ac:dyDescent="0.2">
      <c r="A30" s="694">
        <v>15</v>
      </c>
      <c r="B30" s="705" t="s">
        <v>77</v>
      </c>
      <c r="C30" s="695">
        <f>'COEFIC 2023'!I22</f>
        <v>0.41342675673205659</v>
      </c>
      <c r="D30" s="696">
        <f t="shared" si="1"/>
        <v>3188576.4113276494</v>
      </c>
      <c r="E30" s="697">
        <f>'COEFIC 2023'!P22</f>
        <v>2.4541796257109025</v>
      </c>
      <c r="F30" s="698">
        <f t="shared" si="2"/>
        <v>18927994.22455943</v>
      </c>
      <c r="G30" s="699">
        <f>FPART!J30</f>
        <v>0.30145252425752023</v>
      </c>
      <c r="H30" s="700">
        <f t="shared" si="4"/>
        <v>516659.78573841514</v>
      </c>
      <c r="I30" s="700">
        <f>$F$11*'COEFIC 2023'!W22</f>
        <v>0</v>
      </c>
      <c r="J30" s="701">
        <f t="shared" si="3"/>
        <v>22633230.421625495</v>
      </c>
      <c r="N30" s="702"/>
      <c r="O30" s="703"/>
      <c r="P30" s="704"/>
    </row>
    <row r="31" spans="1:16" s="675" customFormat="1" ht="12.75" x14ac:dyDescent="0.2">
      <c r="A31" s="694">
        <v>16</v>
      </c>
      <c r="B31" s="694" t="s">
        <v>79</v>
      </c>
      <c r="C31" s="695">
        <f>'COEFIC 2023'!I23</f>
        <v>0.44147567640643642</v>
      </c>
      <c r="D31" s="696">
        <f t="shared" si="1"/>
        <v>3404905.2342221858</v>
      </c>
      <c r="E31" s="697">
        <f>'COEFIC 2023'!P23</f>
        <v>0.50820227003137264</v>
      </c>
      <c r="F31" s="698">
        <f t="shared" si="2"/>
        <v>3919537.7271031677</v>
      </c>
      <c r="G31" s="699">
        <f>FPART!J31</f>
        <v>0.97200905439695728</v>
      </c>
      <c r="H31" s="700">
        <f t="shared" si="4"/>
        <v>1665927.2998872667</v>
      </c>
      <c r="I31" s="700">
        <f>$F$11*'COEFIC 2023'!W23</f>
        <v>0</v>
      </c>
      <c r="J31" s="701">
        <f t="shared" si="3"/>
        <v>8990370.261212619</v>
      </c>
      <c r="N31" s="702"/>
      <c r="O31" s="703"/>
      <c r="P31" s="704"/>
    </row>
    <row r="32" spans="1:16" s="675" customFormat="1" ht="12.75" x14ac:dyDescent="0.2">
      <c r="A32" s="694">
        <v>17</v>
      </c>
      <c r="B32" s="694" t="s">
        <v>81</v>
      </c>
      <c r="C32" s="695">
        <f>'COEFIC 2023'!I24</f>
        <v>0.73849520494031606</v>
      </c>
      <c r="D32" s="696">
        <f t="shared" si="1"/>
        <v>5695684.5487322705</v>
      </c>
      <c r="E32" s="697">
        <f>'COEFIC 2023'!P24</f>
        <v>0.66896812392176042</v>
      </c>
      <c r="F32" s="698">
        <f t="shared" si="2"/>
        <v>5159453.1440776549</v>
      </c>
      <c r="G32" s="699">
        <f>FPART!J32</f>
        <v>1.0971107594620315</v>
      </c>
      <c r="H32" s="700">
        <f t="shared" si="4"/>
        <v>1880339.2385287767</v>
      </c>
      <c r="I32" s="700">
        <f>$F$11*'COEFIC 2023'!W24</f>
        <v>0</v>
      </c>
      <c r="J32" s="701">
        <f t="shared" si="3"/>
        <v>12735476.931338701</v>
      </c>
      <c r="N32" s="702"/>
      <c r="O32" s="703"/>
      <c r="P32" s="704"/>
    </row>
    <row r="33" spans="1:16" s="675" customFormat="1" ht="12.75" x14ac:dyDescent="0.2">
      <c r="A33" s="694">
        <v>18</v>
      </c>
      <c r="B33" s="694" t="s">
        <v>82</v>
      </c>
      <c r="C33" s="695">
        <f>'COEFIC 2023'!I25</f>
        <v>0.19971167732118497</v>
      </c>
      <c r="D33" s="696">
        <f t="shared" si="1"/>
        <v>1540287.2044532893</v>
      </c>
      <c r="E33" s="697">
        <f>'COEFIC 2023'!P25</f>
        <v>0.28026543034401025</v>
      </c>
      <c r="F33" s="698">
        <f t="shared" si="2"/>
        <v>2161562.4183818367</v>
      </c>
      <c r="G33" s="699">
        <f>FPART!J33</f>
        <v>0.87000714146065139</v>
      </c>
      <c r="H33" s="700">
        <f t="shared" si="4"/>
        <v>1491106.118301936</v>
      </c>
      <c r="I33" s="700">
        <f>$F$11*'COEFIC 2023'!W25</f>
        <v>0</v>
      </c>
      <c r="J33" s="701">
        <f t="shared" si="3"/>
        <v>5192955.7411370613</v>
      </c>
      <c r="N33" s="702"/>
      <c r="O33" s="703"/>
      <c r="P33" s="704"/>
    </row>
    <row r="34" spans="1:16" s="675" customFormat="1" ht="12.75" x14ac:dyDescent="0.2">
      <c r="A34" s="694">
        <v>19</v>
      </c>
      <c r="B34" s="694" t="s">
        <v>344</v>
      </c>
      <c r="C34" s="695">
        <f>'COEFIC 2023'!I26</f>
        <v>0.42532438407141443</v>
      </c>
      <c r="D34" s="696">
        <f t="shared" si="1"/>
        <v>3280337.5111290109</v>
      </c>
      <c r="E34" s="697">
        <f>'COEFIC 2023'!P26</f>
        <v>0.62493143387391448</v>
      </c>
      <c r="F34" s="698">
        <f t="shared" si="2"/>
        <v>4819817.7701376183</v>
      </c>
      <c r="G34" s="699">
        <f>FPART!J34</f>
        <v>0.84676923048551944</v>
      </c>
      <c r="H34" s="700">
        <f t="shared" si="4"/>
        <v>1451278.6392154989</v>
      </c>
      <c r="I34" s="700">
        <f>$F$11*'COEFIC 2023'!W26</f>
        <v>0</v>
      </c>
      <c r="J34" s="701">
        <f t="shared" si="3"/>
        <v>9551433.9204821289</v>
      </c>
      <c r="N34" s="702"/>
      <c r="O34" s="703"/>
      <c r="P34" s="704"/>
    </row>
    <row r="35" spans="1:16" s="675" customFormat="1" ht="12.75" x14ac:dyDescent="0.2">
      <c r="A35" s="694">
        <v>20</v>
      </c>
      <c r="B35" s="694" t="s">
        <v>87</v>
      </c>
      <c r="C35" s="695">
        <f>'COEFIC 2023'!I27</f>
        <v>0.62983722782334906</v>
      </c>
      <c r="D35" s="696">
        <f t="shared" si="1"/>
        <v>4857653.973555238</v>
      </c>
      <c r="E35" s="697">
        <f>'COEFIC 2023'!P27</f>
        <v>0.53262041220293821</v>
      </c>
      <c r="F35" s="698">
        <f t="shared" si="2"/>
        <v>4107863.9804693949</v>
      </c>
      <c r="G35" s="699">
        <f>FPART!J35</f>
        <v>1.1328986870144744</v>
      </c>
      <c r="H35" s="700">
        <f t="shared" si="4"/>
        <v>1941676.203700352</v>
      </c>
      <c r="I35" s="700">
        <f>$F$11*'COEFIC 2023'!W27</f>
        <v>0</v>
      </c>
      <c r="J35" s="701">
        <f t="shared" si="3"/>
        <v>10907194.157724986</v>
      </c>
      <c r="N35" s="702"/>
      <c r="O35" s="703"/>
      <c r="P35" s="704"/>
    </row>
    <row r="36" spans="1:16" s="675" customFormat="1" ht="12.75" x14ac:dyDescent="0.2">
      <c r="A36" s="694">
        <v>21</v>
      </c>
      <c r="B36" s="694" t="s">
        <v>88</v>
      </c>
      <c r="C36" s="695">
        <f>'COEFIC 2023'!I28</f>
        <v>0.28510084344701853</v>
      </c>
      <c r="D36" s="696">
        <f t="shared" si="1"/>
        <v>2198855.8056825269</v>
      </c>
      <c r="E36" s="697">
        <f>'COEFIC 2023'!P28</f>
        <v>0.29534014984136081</v>
      </c>
      <c r="F36" s="698">
        <f t="shared" si="2"/>
        <v>2277827.0147436666</v>
      </c>
      <c r="G36" s="699">
        <f>FPART!J36</f>
        <v>1.0270233276278691</v>
      </c>
      <c r="H36" s="700">
        <f t="shared" si="4"/>
        <v>1760216.3183323611</v>
      </c>
      <c r="I36" s="700">
        <f>$F$11*'COEFIC 2023'!W28</f>
        <v>1214233.9115281671</v>
      </c>
      <c r="J36" s="701">
        <f t="shared" si="3"/>
        <v>7451133.0502867224</v>
      </c>
      <c r="N36" s="702"/>
      <c r="O36" s="703"/>
      <c r="P36" s="704"/>
    </row>
    <row r="37" spans="1:16" s="675" customFormat="1" ht="12.75" x14ac:dyDescent="0.2">
      <c r="A37" s="694">
        <v>22</v>
      </c>
      <c r="B37" s="694" t="s">
        <v>91</v>
      </c>
      <c r="C37" s="695">
        <f>'COEFIC 2023'!I29</f>
        <v>0.52934965673765799</v>
      </c>
      <c r="D37" s="696">
        <f t="shared" si="1"/>
        <v>4082638.1005426808</v>
      </c>
      <c r="E37" s="697">
        <f>'COEFIC 2023'!P29</f>
        <v>0.58909725889407172</v>
      </c>
      <c r="F37" s="698">
        <f t="shared" si="2"/>
        <v>4543444.7410591776</v>
      </c>
      <c r="G37" s="699">
        <f>FPART!J37</f>
        <v>0.9896169889340688</v>
      </c>
      <c r="H37" s="700">
        <f t="shared" si="4"/>
        <v>1696105.5566713053</v>
      </c>
      <c r="I37" s="700">
        <f>$F$11*'COEFIC 2023'!W29</f>
        <v>0</v>
      </c>
      <c r="J37" s="701">
        <f t="shared" si="3"/>
        <v>10322188.398273163</v>
      </c>
      <c r="N37" s="702"/>
      <c r="O37" s="703"/>
      <c r="P37" s="704"/>
    </row>
    <row r="38" spans="1:16" s="675" customFormat="1" ht="12.75" x14ac:dyDescent="0.2">
      <c r="A38" s="694">
        <v>23</v>
      </c>
      <c r="B38" s="694" t="s">
        <v>60</v>
      </c>
      <c r="C38" s="695">
        <f>'COEFIC 2023'!I30</f>
        <v>0.21935855574175284</v>
      </c>
      <c r="D38" s="696">
        <f t="shared" si="1"/>
        <v>1691814.8258951828</v>
      </c>
      <c r="E38" s="697">
        <f>'COEFIC 2023'!P30</f>
        <v>0.33156680672772304</v>
      </c>
      <c r="F38" s="698">
        <f t="shared" si="2"/>
        <v>2557227.0819337503</v>
      </c>
      <c r="G38" s="699">
        <f>FPART!J38</f>
        <v>0.83253345540973678</v>
      </c>
      <c r="H38" s="700">
        <f t="shared" si="4"/>
        <v>1426879.9299375133</v>
      </c>
      <c r="I38" s="700">
        <f>$F$11*'COEFIC 2023'!W30</f>
        <v>0</v>
      </c>
      <c r="J38" s="701">
        <f t="shared" si="3"/>
        <v>5675921.8377664462</v>
      </c>
      <c r="N38" s="702"/>
      <c r="O38" s="703"/>
      <c r="P38" s="704"/>
    </row>
    <row r="39" spans="1:16" s="675" customFormat="1" ht="12.75" x14ac:dyDescent="0.2">
      <c r="A39" s="694">
        <v>24</v>
      </c>
      <c r="B39" s="694" t="s">
        <v>95</v>
      </c>
      <c r="C39" s="695">
        <f>'COEFIC 2023'!I31</f>
        <v>0.43349479010269021</v>
      </c>
      <c r="D39" s="696">
        <f t="shared" si="1"/>
        <v>3343352.2132934849</v>
      </c>
      <c r="E39" s="697">
        <f>'COEFIC 2023'!P31</f>
        <v>0.37830699446529953</v>
      </c>
      <c r="F39" s="698">
        <f t="shared" si="2"/>
        <v>2917713.3292659521</v>
      </c>
      <c r="G39" s="699">
        <f>FPART!J39</f>
        <v>1.1165386556009005</v>
      </c>
      <c r="H39" s="700">
        <f t="shared" si="4"/>
        <v>1913636.7293399051</v>
      </c>
      <c r="I39" s="700">
        <f>$F$11*'COEFIC 2023'!W31</f>
        <v>0</v>
      </c>
      <c r="J39" s="701">
        <f t="shared" si="3"/>
        <v>8174702.2718993425</v>
      </c>
      <c r="N39" s="702"/>
      <c r="O39" s="703"/>
      <c r="P39" s="704"/>
    </row>
    <row r="40" spans="1:16" s="675" customFormat="1" ht="12.75" x14ac:dyDescent="0.2">
      <c r="A40" s="694">
        <v>25</v>
      </c>
      <c r="B40" s="694" t="s">
        <v>97</v>
      </c>
      <c r="C40" s="695">
        <f>'COEFIC 2023'!I32</f>
        <v>0.8541022387333681</v>
      </c>
      <c r="D40" s="696">
        <f t="shared" si="1"/>
        <v>6587310.1025543455</v>
      </c>
      <c r="E40" s="697">
        <f>'COEFIC 2023'!P32</f>
        <v>0.57696638894395824</v>
      </c>
      <c r="F40" s="698">
        <f t="shared" si="2"/>
        <v>4449884.7449003318</v>
      </c>
      <c r="G40" s="699">
        <f>FPART!J40</f>
        <v>1.2479272892564075</v>
      </c>
      <c r="H40" s="700">
        <f t="shared" si="4"/>
        <v>2138823.8412412372</v>
      </c>
      <c r="I40" s="700">
        <f>$F$11*'COEFIC 2023'!W32</f>
        <v>0</v>
      </c>
      <c r="J40" s="701">
        <f t="shared" si="3"/>
        <v>13176018.688695915</v>
      </c>
      <c r="N40" s="702"/>
      <c r="O40" s="703"/>
      <c r="P40" s="704"/>
    </row>
    <row r="41" spans="1:16" s="675" customFormat="1" ht="12.75" x14ac:dyDescent="0.2">
      <c r="A41" s="694">
        <v>26</v>
      </c>
      <c r="B41" s="694" t="s">
        <v>345</v>
      </c>
      <c r="C41" s="695">
        <f>'COEFIC 2023'!I33</f>
        <v>0.10050862883319442</v>
      </c>
      <c r="D41" s="696">
        <f t="shared" si="1"/>
        <v>775178.28203875455</v>
      </c>
      <c r="E41" s="697">
        <f>'COEFIC 2023'!P33</f>
        <v>0.94812774970318459</v>
      </c>
      <c r="F41" s="698">
        <f t="shared" si="2"/>
        <v>7312486.984455321</v>
      </c>
      <c r="G41" s="699">
        <f>FPART!J41</f>
        <v>0.20040950302944549</v>
      </c>
      <c r="H41" s="700">
        <f t="shared" si="4"/>
        <v>343482.04962013185</v>
      </c>
      <c r="I41" s="700">
        <f>$F$11*'COEFIC 2023'!W33</f>
        <v>0</v>
      </c>
      <c r="J41" s="701">
        <f t="shared" si="3"/>
        <v>8431147.3161142077</v>
      </c>
      <c r="N41" s="702"/>
      <c r="O41" s="703"/>
      <c r="P41" s="704"/>
    </row>
    <row r="42" spans="1:16" s="675" customFormat="1" ht="12.75" x14ac:dyDescent="0.2">
      <c r="A42" s="694">
        <v>27</v>
      </c>
      <c r="B42" s="694" t="s">
        <v>71</v>
      </c>
      <c r="C42" s="695">
        <f>'COEFIC 2023'!I34</f>
        <v>0.10410950365625671</v>
      </c>
      <c r="D42" s="696">
        <f t="shared" si="1"/>
        <v>802950.22551845876</v>
      </c>
      <c r="E42" s="697">
        <f>'COEFIC 2023'!P34</f>
        <v>0.23628668401264072</v>
      </c>
      <c r="F42" s="698">
        <f t="shared" si="2"/>
        <v>1822373.938515618</v>
      </c>
      <c r="G42" s="699">
        <f>FPART!J42</f>
        <v>0.63950739550870017</v>
      </c>
      <c r="H42" s="700">
        <f t="shared" si="4"/>
        <v>1096052.3709511263</v>
      </c>
      <c r="I42" s="700">
        <f>$F$11*'COEFIC 2023'!W34</f>
        <v>0</v>
      </c>
      <c r="J42" s="701">
        <f t="shared" si="3"/>
        <v>3721376.5349852033</v>
      </c>
      <c r="N42" s="702"/>
      <c r="O42" s="703"/>
      <c r="P42" s="704"/>
    </row>
    <row r="43" spans="1:16" s="675" customFormat="1" ht="12.75" x14ac:dyDescent="0.2">
      <c r="A43" s="694">
        <v>28</v>
      </c>
      <c r="B43" s="694" t="s">
        <v>72</v>
      </c>
      <c r="C43" s="695">
        <f>'COEFIC 2023'!I35</f>
        <v>0.11019519268470698</v>
      </c>
      <c r="D43" s="696">
        <f t="shared" si="1"/>
        <v>849886.43408942036</v>
      </c>
      <c r="E43" s="697">
        <f>'COEFIC 2023'!P35</f>
        <v>0.25822216015596905</v>
      </c>
      <c r="F43" s="698">
        <f t="shared" si="2"/>
        <v>1991552.4947240334</v>
      </c>
      <c r="G43" s="699">
        <f>FPART!J43</f>
        <v>0.62540659063940485</v>
      </c>
      <c r="H43" s="700">
        <f t="shared" si="4"/>
        <v>1071884.9872463353</v>
      </c>
      <c r="I43" s="700">
        <f>$F$11*'COEFIC 2023'!W35</f>
        <v>0</v>
      </c>
      <c r="J43" s="701">
        <f t="shared" si="3"/>
        <v>3913323.9160597892</v>
      </c>
      <c r="N43" s="702"/>
      <c r="O43" s="703"/>
      <c r="P43" s="704"/>
    </row>
    <row r="44" spans="1:16" s="675" customFormat="1" ht="12.75" x14ac:dyDescent="0.2">
      <c r="A44" s="694">
        <v>29</v>
      </c>
      <c r="B44" s="694" t="s">
        <v>61</v>
      </c>
      <c r="C44" s="695">
        <f>'COEFIC 2023'!I36</f>
        <v>0.25989471968558259</v>
      </c>
      <c r="D44" s="696">
        <f t="shared" si="1"/>
        <v>2004452.2013245991</v>
      </c>
      <c r="E44" s="697">
        <f>'COEFIC 2023'!P36</f>
        <v>0.80482357884115929</v>
      </c>
      <c r="F44" s="698">
        <f t="shared" si="2"/>
        <v>6207245.7502706097</v>
      </c>
      <c r="G44" s="699">
        <f>FPART!J44</f>
        <v>0.51039054519633531</v>
      </c>
      <c r="H44" s="700">
        <f t="shared" si="4"/>
        <v>874758.87081570225</v>
      </c>
      <c r="I44" s="700">
        <f>$F$11*'COEFIC 2023'!W36</f>
        <v>512592.69570875244</v>
      </c>
      <c r="J44" s="701">
        <f t="shared" si="3"/>
        <v>9599049.518119663</v>
      </c>
      <c r="N44" s="702"/>
      <c r="O44" s="703"/>
      <c r="P44" s="704"/>
    </row>
    <row r="45" spans="1:16" s="675" customFormat="1" ht="12.75" x14ac:dyDescent="0.2">
      <c r="A45" s="694">
        <v>30</v>
      </c>
      <c r="B45" s="694" t="s">
        <v>104</v>
      </c>
      <c r="C45" s="695">
        <f>'COEFIC 2023'!I37</f>
        <v>0.24953430791396478</v>
      </c>
      <c r="D45" s="696">
        <f t="shared" si="1"/>
        <v>1924546.9604356259</v>
      </c>
      <c r="E45" s="697">
        <f>'COEFIC 2023'!P37</f>
        <v>0.37167013004425603</v>
      </c>
      <c r="F45" s="698">
        <f t="shared" si="2"/>
        <v>2866526.1504161945</v>
      </c>
      <c r="G45" s="699">
        <f>FPART!J45</f>
        <v>0.83991550252888769</v>
      </c>
      <c r="H45" s="700">
        <f t="shared" si="4"/>
        <v>1439532.0279495812</v>
      </c>
      <c r="I45" s="700">
        <f>$F$11*'COEFIC 2023'!W37</f>
        <v>0</v>
      </c>
      <c r="J45" s="701">
        <f t="shared" si="3"/>
        <v>6230605.1388014015</v>
      </c>
      <c r="N45" s="702"/>
      <c r="O45" s="703"/>
      <c r="P45" s="704"/>
    </row>
    <row r="46" spans="1:16" s="675" customFormat="1" ht="12.75" x14ac:dyDescent="0.2">
      <c r="A46" s="694">
        <v>31</v>
      </c>
      <c r="B46" s="694" t="s">
        <v>48</v>
      </c>
      <c r="C46" s="695">
        <f>'COEFIC 2023'!I38</f>
        <v>0.33928242777297896</v>
      </c>
      <c r="D46" s="696">
        <f t="shared" si="1"/>
        <v>2616734.230087663</v>
      </c>
      <c r="E46" s="697">
        <f>'COEFIC 2023'!P38</f>
        <v>0.55583300952537551</v>
      </c>
      <c r="F46" s="698">
        <f t="shared" si="2"/>
        <v>4286892.4034312405</v>
      </c>
      <c r="G46" s="699">
        <f>FPART!J46</f>
        <v>0.79254184703312069</v>
      </c>
      <c r="H46" s="700">
        <f t="shared" si="4"/>
        <v>1358338.271956417</v>
      </c>
      <c r="I46" s="700">
        <f>$F$11*'COEFIC 2023'!W38</f>
        <v>0</v>
      </c>
      <c r="J46" s="701">
        <f t="shared" si="3"/>
        <v>8261964.9054753203</v>
      </c>
      <c r="N46" s="702"/>
      <c r="O46" s="703"/>
      <c r="P46" s="704"/>
    </row>
    <row r="47" spans="1:16" s="675" customFormat="1" ht="12.75" x14ac:dyDescent="0.2">
      <c r="A47" s="694">
        <v>32</v>
      </c>
      <c r="B47" s="694" t="s">
        <v>83</v>
      </c>
      <c r="C47" s="695">
        <f>'COEFIC 2023'!I39</f>
        <v>0.33092250201417356</v>
      </c>
      <c r="D47" s="696">
        <f t="shared" si="1"/>
        <v>2552257.8466874147</v>
      </c>
      <c r="E47" s="697">
        <f>'COEFIC 2023'!P39</f>
        <v>0.35285067758515876</v>
      </c>
      <c r="F47" s="698">
        <f t="shared" si="2"/>
        <v>2721380.0968334298</v>
      </c>
      <c r="G47" s="699">
        <f>FPART!J47</f>
        <v>1.0119385015504034</v>
      </c>
      <c r="H47" s="700">
        <f t="shared" si="4"/>
        <v>1734362.4196852001</v>
      </c>
      <c r="I47" s="700">
        <f>$F$11*'COEFIC 2023'!W39</f>
        <v>0</v>
      </c>
      <c r="J47" s="701">
        <f t="shared" si="3"/>
        <v>7008000.3632060438</v>
      </c>
      <c r="N47" s="702"/>
      <c r="O47" s="703"/>
      <c r="P47" s="704"/>
    </row>
    <row r="48" spans="1:16" s="675" customFormat="1" ht="12.75" x14ac:dyDescent="0.2">
      <c r="A48" s="694">
        <v>33</v>
      </c>
      <c r="B48" s="694" t="s">
        <v>108</v>
      </c>
      <c r="C48" s="695">
        <f>'COEFIC 2023'!I40</f>
        <v>0.45202560790558383</v>
      </c>
      <c r="D48" s="696">
        <f t="shared" ref="D48:D79" si="5">$F$8*C48%</f>
        <v>3486272.1563469325</v>
      </c>
      <c r="E48" s="697">
        <f>'COEFIC 2023'!P40</f>
        <v>0.49576725952589529</v>
      </c>
      <c r="F48" s="698">
        <f t="shared" ref="F48:F79" si="6">$F$9*E48%</f>
        <v>3823632.0303219748</v>
      </c>
      <c r="G48" s="699">
        <f>FPART!J48</f>
        <v>0.99721656830305083</v>
      </c>
      <c r="H48" s="700">
        <f t="shared" ref="H48:H79" si="7">$F$10*G48%</f>
        <v>1709130.4834260277</v>
      </c>
      <c r="I48" s="700">
        <f>$F$11*'COEFIC 2023'!W40</f>
        <v>0</v>
      </c>
      <c r="J48" s="701">
        <f t="shared" si="3"/>
        <v>9019034.6700949352</v>
      </c>
      <c r="N48" s="702"/>
      <c r="O48" s="703"/>
      <c r="P48" s="704"/>
    </row>
    <row r="49" spans="1:16" s="675" customFormat="1" ht="12.75" x14ac:dyDescent="0.2">
      <c r="A49" s="694">
        <v>34</v>
      </c>
      <c r="B49" s="694" t="s">
        <v>110</v>
      </c>
      <c r="C49" s="695">
        <f>'COEFIC 2023'!I41</f>
        <v>2.6472115541333623</v>
      </c>
      <c r="D49" s="696">
        <f t="shared" si="5"/>
        <v>20416763.50128974</v>
      </c>
      <c r="E49" s="697">
        <f>'COEFIC 2023'!P41</f>
        <v>1.9717994179898699</v>
      </c>
      <c r="F49" s="698">
        <f t="shared" si="6"/>
        <v>15207610.561468488</v>
      </c>
      <c r="G49" s="699">
        <f>FPART!J49</f>
        <v>1.1983385718274551</v>
      </c>
      <c r="H49" s="700">
        <f t="shared" si="7"/>
        <v>2053833.6883639679</v>
      </c>
      <c r="I49" s="700">
        <f>$F$11*'COEFIC 2023'!W41</f>
        <v>0</v>
      </c>
      <c r="J49" s="701">
        <f t="shared" si="3"/>
        <v>37678207.751122199</v>
      </c>
      <c r="N49" s="702"/>
      <c r="O49" s="703"/>
      <c r="P49" s="704"/>
    </row>
    <row r="50" spans="1:16" s="675" customFormat="1" ht="12.75" x14ac:dyDescent="0.2">
      <c r="A50" s="694">
        <v>35</v>
      </c>
      <c r="B50" s="694" t="s">
        <v>112</v>
      </c>
      <c r="C50" s="695">
        <f>'COEFIC 2023'!I42</f>
        <v>0.64493563278320676</v>
      </c>
      <c r="D50" s="696">
        <f t="shared" si="5"/>
        <v>4974101.2453385592</v>
      </c>
      <c r="E50" s="697">
        <f>'COEFIC 2023'!P42</f>
        <v>1.3912005894388211</v>
      </c>
      <c r="F50" s="698">
        <f t="shared" si="6"/>
        <v>10729710.427969959</v>
      </c>
      <c r="G50" s="699">
        <f>FPART!J50</f>
        <v>0.66229187199343809</v>
      </c>
      <c r="H50" s="700">
        <f t="shared" si="7"/>
        <v>1135102.7082065886</v>
      </c>
      <c r="I50" s="700">
        <f>$F$11*'COEFIC 2023'!W42</f>
        <v>0</v>
      </c>
      <c r="J50" s="701">
        <f t="shared" si="3"/>
        <v>16838914.381515108</v>
      </c>
      <c r="N50" s="702"/>
      <c r="O50" s="703"/>
      <c r="P50" s="704"/>
    </row>
    <row r="51" spans="1:16" s="675" customFormat="1" ht="12.75" x14ac:dyDescent="0.2">
      <c r="A51" s="694">
        <v>36</v>
      </c>
      <c r="B51" s="694" t="s">
        <v>114</v>
      </c>
      <c r="C51" s="695">
        <f>'COEFIC 2023'!I43</f>
        <v>0.24519641192828742</v>
      </c>
      <c r="D51" s="696">
        <f t="shared" si="5"/>
        <v>1891090.7010390237</v>
      </c>
      <c r="E51" s="697">
        <f>'COEFIC 2023'!P43</f>
        <v>0.38634093434527844</v>
      </c>
      <c r="F51" s="698">
        <f t="shared" si="6"/>
        <v>2979675.5287951124</v>
      </c>
      <c r="G51" s="699">
        <f>FPART!J51</f>
        <v>0.81181104447788688</v>
      </c>
      <c r="H51" s="700">
        <f t="shared" si="7"/>
        <v>1391363.7689154653</v>
      </c>
      <c r="I51" s="700">
        <f>$F$11*'COEFIC 2023'!W43</f>
        <v>0</v>
      </c>
      <c r="J51" s="701">
        <f t="shared" si="3"/>
        <v>6262129.9987496007</v>
      </c>
      <c r="N51" s="702"/>
      <c r="O51" s="703"/>
      <c r="P51" s="704"/>
    </row>
    <row r="52" spans="1:16" s="675" customFormat="1" ht="12.75" x14ac:dyDescent="0.2">
      <c r="A52" s="694">
        <v>37</v>
      </c>
      <c r="B52" s="694" t="s">
        <v>92</v>
      </c>
      <c r="C52" s="695">
        <f>'COEFIC 2023'!I44</f>
        <v>0.16730380391362448</v>
      </c>
      <c r="D52" s="696">
        <f t="shared" si="5"/>
        <v>1290339.7131359533</v>
      </c>
      <c r="E52" s="697">
        <f>'COEFIC 2023'!P44</f>
        <v>0.29726517420617776</v>
      </c>
      <c r="F52" s="698">
        <f t="shared" si="6"/>
        <v>2292673.8701562309</v>
      </c>
      <c r="G52" s="699">
        <f>FPART!J52</f>
        <v>0.75300089428431383</v>
      </c>
      <c r="H52" s="700">
        <f t="shared" si="7"/>
        <v>1290568.9931109052</v>
      </c>
      <c r="I52" s="700">
        <f>$F$11*'COEFIC 2023'!W44</f>
        <v>0</v>
      </c>
      <c r="J52" s="701">
        <f t="shared" si="3"/>
        <v>4873582.5764030898</v>
      </c>
      <c r="N52" s="702"/>
      <c r="O52" s="703"/>
      <c r="P52" s="704"/>
    </row>
    <row r="53" spans="1:16" s="675" customFormat="1" ht="12.75" x14ac:dyDescent="0.2">
      <c r="A53" s="694">
        <v>38</v>
      </c>
      <c r="B53" s="694" t="s">
        <v>51</v>
      </c>
      <c r="C53" s="695">
        <f>'COEFIC 2023'!I45</f>
        <v>0.88385683595551423</v>
      </c>
      <c r="D53" s="696">
        <f t="shared" si="5"/>
        <v>6816794.0565708466</v>
      </c>
      <c r="E53" s="697">
        <f>'COEFIC 2023'!P45</f>
        <v>1.9184634861274525</v>
      </c>
      <c r="F53" s="698">
        <f t="shared" si="6"/>
        <v>14796254.277813865</v>
      </c>
      <c r="G53" s="699">
        <f>FPART!J53</f>
        <v>0.65948364803154547</v>
      </c>
      <c r="H53" s="700">
        <f t="shared" si="7"/>
        <v>1130289.6903224941</v>
      </c>
      <c r="I53" s="700">
        <f>$F$11*'COEFIC 2023'!W45</f>
        <v>0</v>
      </c>
      <c r="J53" s="701">
        <f t="shared" si="3"/>
        <v>22743338.024707206</v>
      </c>
      <c r="N53" s="702"/>
      <c r="O53" s="703"/>
      <c r="P53" s="704"/>
    </row>
    <row r="54" spans="1:16" s="675" customFormat="1" ht="12.75" x14ac:dyDescent="0.2">
      <c r="A54" s="694">
        <v>39</v>
      </c>
      <c r="B54" s="694" t="s">
        <v>105</v>
      </c>
      <c r="C54" s="695">
        <f>'COEFIC 2023'!I46</f>
        <v>0.18983559374214284</v>
      </c>
      <c r="D54" s="696">
        <f t="shared" si="5"/>
        <v>1464117.3711668497</v>
      </c>
      <c r="E54" s="697">
        <f>'COEFIC 2023'!P46</f>
        <v>0.31996796117075799</v>
      </c>
      <c r="F54" s="698">
        <f t="shared" si="6"/>
        <v>2467770.3529259064</v>
      </c>
      <c r="G54" s="699">
        <f>FPART!J54</f>
        <v>0.77860048179540364</v>
      </c>
      <c r="H54" s="700">
        <f t="shared" si="7"/>
        <v>1334444.1519971937</v>
      </c>
      <c r="I54" s="700">
        <f>$F$11*'COEFIC 2023'!W46</f>
        <v>0</v>
      </c>
      <c r="J54" s="701">
        <f t="shared" si="3"/>
        <v>5266331.8760899501</v>
      </c>
      <c r="N54" s="702"/>
      <c r="O54" s="703"/>
      <c r="P54" s="704"/>
    </row>
    <row r="55" spans="1:16" s="675" customFormat="1" ht="12.75" x14ac:dyDescent="0.2">
      <c r="A55" s="694">
        <v>40</v>
      </c>
      <c r="B55" s="694" t="s">
        <v>96</v>
      </c>
      <c r="C55" s="695">
        <f>'COEFIC 2023'!I47</f>
        <v>0.38714668784795297</v>
      </c>
      <c r="D55" s="696">
        <f t="shared" si="5"/>
        <v>2985889.9466336695</v>
      </c>
      <c r="E55" s="697">
        <f>'COEFIC 2023'!P47</f>
        <v>0.4670133881314788</v>
      </c>
      <c r="F55" s="698">
        <f t="shared" si="6"/>
        <v>3601866.2288356284</v>
      </c>
      <c r="G55" s="699">
        <f>FPART!J55</f>
        <v>0.94771152584822815</v>
      </c>
      <c r="H55" s="700">
        <f t="shared" si="7"/>
        <v>1624283.7411714164</v>
      </c>
      <c r="I55" s="700">
        <f>$F$11*'COEFIC 2023'!W47</f>
        <v>0</v>
      </c>
      <c r="J55" s="701">
        <f t="shared" si="3"/>
        <v>8212039.9166407138</v>
      </c>
      <c r="N55" s="702"/>
      <c r="O55" s="703"/>
      <c r="P55" s="704"/>
    </row>
    <row r="56" spans="1:16" s="675" customFormat="1" ht="12.75" x14ac:dyDescent="0.2">
      <c r="A56" s="694">
        <v>41</v>
      </c>
      <c r="B56" s="694" t="s">
        <v>98</v>
      </c>
      <c r="C56" s="695">
        <f>'COEFIC 2023'!I48</f>
        <v>0.3378294431952521</v>
      </c>
      <c r="D56" s="696">
        <f t="shared" si="5"/>
        <v>2605528.0072800633</v>
      </c>
      <c r="E56" s="697">
        <f>'COEFIC 2023'!P48</f>
        <v>0.51242411214883699</v>
      </c>
      <c r="F56" s="698">
        <f t="shared" si="6"/>
        <v>3952098.9147111112</v>
      </c>
      <c r="G56" s="699">
        <f>FPART!J56</f>
        <v>0.83078552954091656</v>
      </c>
      <c r="H56" s="700">
        <f t="shared" si="7"/>
        <v>1423884.158025848</v>
      </c>
      <c r="I56" s="700">
        <f>$F$11*'COEFIC 2023'!W48</f>
        <v>0</v>
      </c>
      <c r="J56" s="701">
        <f t="shared" si="3"/>
        <v>7981511.0800170228</v>
      </c>
      <c r="N56" s="702"/>
      <c r="O56" s="703"/>
      <c r="P56" s="704"/>
    </row>
    <row r="57" spans="1:16" s="675" customFormat="1" ht="12.75" x14ac:dyDescent="0.2">
      <c r="A57" s="694">
        <v>42</v>
      </c>
      <c r="B57" s="694" t="s">
        <v>122</v>
      </c>
      <c r="C57" s="695">
        <f>'COEFIC 2023'!I49</f>
        <v>0.30116790479202737</v>
      </c>
      <c r="D57" s="696">
        <f t="shared" si="5"/>
        <v>2322773.8926709136</v>
      </c>
      <c r="E57" s="697">
        <f>'COEFIC 2023'!P49</f>
        <v>0.39561419725385255</v>
      </c>
      <c r="F57" s="698">
        <f t="shared" si="6"/>
        <v>3051196.0747801955</v>
      </c>
      <c r="G57" s="699">
        <f>FPART!J57</f>
        <v>0.90375681182419565</v>
      </c>
      <c r="H57" s="700">
        <f t="shared" si="7"/>
        <v>1548949.7124191809</v>
      </c>
      <c r="I57" s="700">
        <f>$F$11*'COEFIC 2023'!W49</f>
        <v>0</v>
      </c>
      <c r="J57" s="701">
        <f t="shared" si="3"/>
        <v>6922919.6798702898</v>
      </c>
      <c r="N57" s="702"/>
      <c r="O57" s="703"/>
      <c r="P57" s="704"/>
    </row>
    <row r="58" spans="1:16" s="675" customFormat="1" ht="12.75" x14ac:dyDescent="0.2">
      <c r="A58" s="694">
        <v>43</v>
      </c>
      <c r="B58" s="694" t="s">
        <v>346</v>
      </c>
      <c r="C58" s="695">
        <f>'COEFIC 2023'!I50</f>
        <v>1.4483729310236635</v>
      </c>
      <c r="D58" s="696">
        <f t="shared" si="5"/>
        <v>11170655.230862685</v>
      </c>
      <c r="E58" s="697">
        <f>'COEFIC 2023'!P50</f>
        <v>1.9015322371627141</v>
      </c>
      <c r="F58" s="698">
        <f t="shared" si="6"/>
        <v>14665671.09667189</v>
      </c>
      <c r="G58" s="699">
        <f>FPART!J58</f>
        <v>0.90404025564543489</v>
      </c>
      <c r="H58" s="700">
        <f t="shared" si="7"/>
        <v>1549435.5070706308</v>
      </c>
      <c r="I58" s="700">
        <f>$F$11*'COEFIC 2023'!W50</f>
        <v>0</v>
      </c>
      <c r="J58" s="701">
        <f t="shared" si="3"/>
        <v>27385761.834605206</v>
      </c>
      <c r="N58" s="702"/>
      <c r="O58" s="703"/>
      <c r="P58" s="704"/>
    </row>
    <row r="59" spans="1:16" s="675" customFormat="1" ht="12.75" x14ac:dyDescent="0.2">
      <c r="A59" s="694">
        <v>44</v>
      </c>
      <c r="B59" s="694" t="s">
        <v>102</v>
      </c>
      <c r="C59" s="695">
        <f>'COEFIC 2023'!I51</f>
        <v>0.27261359917756861</v>
      </c>
      <c r="D59" s="696">
        <f t="shared" si="5"/>
        <v>2102547.2531476468</v>
      </c>
      <c r="E59" s="697">
        <f>'COEFIC 2023'!P51</f>
        <v>0.37461514740795937</v>
      </c>
      <c r="F59" s="698">
        <f t="shared" si="6"/>
        <v>2889239.7574673723</v>
      </c>
      <c r="G59" s="699">
        <f>FPART!J59</f>
        <v>0.88070325427299512</v>
      </c>
      <c r="H59" s="700">
        <f t="shared" si="7"/>
        <v>1509438.1968521839</v>
      </c>
      <c r="I59" s="700">
        <f>$F$11*'COEFIC 2023'!W51</f>
        <v>0</v>
      </c>
      <c r="J59" s="701">
        <f t="shared" si="3"/>
        <v>6501225.207467203</v>
      </c>
      <c r="N59" s="702"/>
      <c r="O59" s="703"/>
      <c r="P59" s="704"/>
    </row>
    <row r="60" spans="1:16" s="675" customFormat="1" ht="12.75" x14ac:dyDescent="0.2">
      <c r="A60" s="694">
        <v>45</v>
      </c>
      <c r="B60" s="694" t="s">
        <v>127</v>
      </c>
      <c r="C60" s="695">
        <f>'COEFIC 2023'!I52</f>
        <v>0.76140603422389352</v>
      </c>
      <c r="D60" s="696">
        <f t="shared" si="5"/>
        <v>5872385.5692347139</v>
      </c>
      <c r="E60" s="697">
        <f>'COEFIC 2023'!P52</f>
        <v>0.75599148751357081</v>
      </c>
      <c r="F60" s="698">
        <f t="shared" si="6"/>
        <v>5830625.5823992323</v>
      </c>
      <c r="G60" s="699">
        <f>FPART!J60</f>
        <v>1.0491964841174999</v>
      </c>
      <c r="H60" s="700">
        <f t="shared" si="7"/>
        <v>1798218.9136308848</v>
      </c>
      <c r="I60" s="700">
        <f>$F$11*'COEFIC 2023'!W52</f>
        <v>0</v>
      </c>
      <c r="J60" s="701">
        <f t="shared" si="3"/>
        <v>13501230.06526483</v>
      </c>
      <c r="N60" s="702"/>
      <c r="O60" s="703"/>
      <c r="P60" s="704"/>
    </row>
    <row r="61" spans="1:16" s="675" customFormat="1" ht="12.75" x14ac:dyDescent="0.2">
      <c r="A61" s="694">
        <v>46</v>
      </c>
      <c r="B61" s="694" t="s">
        <v>119</v>
      </c>
      <c r="C61" s="695">
        <f>'COEFIC 2023'!I53</f>
        <v>0.31451851670911207</v>
      </c>
      <c r="D61" s="696">
        <f t="shared" si="5"/>
        <v>2425741.2152798744</v>
      </c>
      <c r="E61" s="697">
        <f>'COEFIC 2023'!P53</f>
        <v>0.43928797738663627</v>
      </c>
      <c r="F61" s="698">
        <f t="shared" si="6"/>
        <v>3388032.4862056845</v>
      </c>
      <c r="G61" s="699">
        <f>FPART!J61</f>
        <v>0.87242123304316332</v>
      </c>
      <c r="H61" s="700">
        <f t="shared" si="7"/>
        <v>1495243.6323030065</v>
      </c>
      <c r="I61" s="700">
        <f>$F$11*'COEFIC 2023'!W53</f>
        <v>0</v>
      </c>
      <c r="J61" s="701">
        <f t="shared" si="3"/>
        <v>7309017.3337885663</v>
      </c>
      <c r="N61" s="702"/>
      <c r="O61" s="703"/>
      <c r="P61" s="704"/>
    </row>
    <row r="62" spans="1:16" s="675" customFormat="1" ht="12.75" x14ac:dyDescent="0.2">
      <c r="A62" s="694">
        <v>47</v>
      </c>
      <c r="B62" s="694" t="s">
        <v>121</v>
      </c>
      <c r="C62" s="695">
        <f>'COEFIC 2023'!I54</f>
        <v>0.41765936398021752</v>
      </c>
      <c r="D62" s="696">
        <f t="shared" si="5"/>
        <v>3221220.6255932664</v>
      </c>
      <c r="E62" s="697">
        <f>'COEFIC 2023'!P54</f>
        <v>0.56420574714884908</v>
      </c>
      <c r="F62" s="698">
        <f t="shared" si="6"/>
        <v>4351467.5990365548</v>
      </c>
      <c r="G62" s="699">
        <f>FPART!J62</f>
        <v>0.88942693458047528</v>
      </c>
      <c r="H62" s="700">
        <f t="shared" si="7"/>
        <v>1524389.7213405403</v>
      </c>
      <c r="I62" s="700">
        <f>$F$11*'COEFIC 2023'!W54</f>
        <v>0</v>
      </c>
      <c r="J62" s="701">
        <f t="shared" si="3"/>
        <v>9097077.9459703621</v>
      </c>
      <c r="N62" s="702"/>
      <c r="O62" s="703"/>
      <c r="P62" s="704"/>
    </row>
    <row r="63" spans="1:16" s="675" customFormat="1" ht="12.75" x14ac:dyDescent="0.2">
      <c r="A63" s="694">
        <v>48</v>
      </c>
      <c r="B63" s="694" t="s">
        <v>47</v>
      </c>
      <c r="C63" s="695">
        <f>'COEFIC 2023'!I55</f>
        <v>0.12097675940639052</v>
      </c>
      <c r="D63" s="696">
        <f t="shared" si="5"/>
        <v>933039.85550233524</v>
      </c>
      <c r="E63" s="697">
        <f>'COEFIC 2023'!P55</f>
        <v>0.33094459983869112</v>
      </c>
      <c r="F63" s="698">
        <f t="shared" si="6"/>
        <v>2552428.2773643145</v>
      </c>
      <c r="G63" s="699">
        <f>FPART!J63</f>
        <v>0.55973048604757003</v>
      </c>
      <c r="H63" s="700">
        <f t="shared" si="7"/>
        <v>959322.64526520111</v>
      </c>
      <c r="I63" s="700">
        <f>$F$11*'COEFIC 2023'!W55</f>
        <v>0</v>
      </c>
      <c r="J63" s="701">
        <f t="shared" si="3"/>
        <v>4444790.778131851</v>
      </c>
      <c r="N63" s="702"/>
      <c r="O63" s="703"/>
      <c r="P63" s="704"/>
    </row>
    <row r="64" spans="1:16" s="675" customFormat="1" ht="12.75" x14ac:dyDescent="0.2">
      <c r="A64" s="694">
        <v>49</v>
      </c>
      <c r="B64" s="694" t="s">
        <v>115</v>
      </c>
      <c r="C64" s="695">
        <f>'COEFIC 2023'!I56</f>
        <v>0.40190816884775799</v>
      </c>
      <c r="D64" s="696">
        <f t="shared" si="5"/>
        <v>3099738.6739978362</v>
      </c>
      <c r="E64" s="697">
        <f>'COEFIC 2023'!P56</f>
        <v>1.3248275146655468</v>
      </c>
      <c r="F64" s="698">
        <f t="shared" si="6"/>
        <v>10217804.468514822</v>
      </c>
      <c r="G64" s="699">
        <f>FPART!J64</f>
        <v>0.48667703346580021</v>
      </c>
      <c r="H64" s="700">
        <f t="shared" si="7"/>
        <v>834116.25911430758</v>
      </c>
      <c r="I64" s="700">
        <f>$F$11*'COEFIC 2023'!W56</f>
        <v>0</v>
      </c>
      <c r="J64" s="701">
        <f t="shared" si="3"/>
        <v>14151659.401626967</v>
      </c>
      <c r="N64" s="702"/>
      <c r="O64" s="703"/>
      <c r="P64" s="704"/>
    </row>
    <row r="65" spans="1:16" s="675" customFormat="1" ht="12.75" x14ac:dyDescent="0.2">
      <c r="A65" s="694">
        <v>50</v>
      </c>
      <c r="B65" s="694" t="s">
        <v>69</v>
      </c>
      <c r="C65" s="695">
        <f>'COEFIC 2023'!I57</f>
        <v>1.8806884872661696</v>
      </c>
      <c r="D65" s="696">
        <f t="shared" si="5"/>
        <v>14504912.538689131</v>
      </c>
      <c r="E65" s="697">
        <f>'COEFIC 2023'!P57</f>
        <v>1.2229607983357664</v>
      </c>
      <c r="F65" s="698">
        <f t="shared" si="6"/>
        <v>9432151.8625828531</v>
      </c>
      <c r="G65" s="699">
        <f>FPART!J65</f>
        <v>1.2670218630598797</v>
      </c>
      <c r="H65" s="700">
        <f t="shared" si="7"/>
        <v>2171550.0505651329</v>
      </c>
      <c r="I65" s="700">
        <f>$F$11*'COEFIC 2023'!W57</f>
        <v>0</v>
      </c>
      <c r="J65" s="701">
        <f t="shared" si="3"/>
        <v>26108614.451837115</v>
      </c>
      <c r="N65" s="702"/>
      <c r="O65" s="703"/>
      <c r="P65" s="704"/>
    </row>
    <row r="66" spans="1:16" s="675" customFormat="1" ht="12.75" x14ac:dyDescent="0.2">
      <c r="A66" s="694">
        <v>51</v>
      </c>
      <c r="B66" s="694" t="s">
        <v>126</v>
      </c>
      <c r="C66" s="695">
        <f>'COEFIC 2023'!I58</f>
        <v>0.29445048333847845</v>
      </c>
      <c r="D66" s="696">
        <f t="shared" si="5"/>
        <v>2270965.4133140389</v>
      </c>
      <c r="E66" s="697">
        <f>'COEFIC 2023'!P58</f>
        <v>0.39645821812299525</v>
      </c>
      <c r="F66" s="698">
        <f t="shared" si="6"/>
        <v>3057705.6317699021</v>
      </c>
      <c r="G66" s="699">
        <f>FPART!J66</f>
        <v>0.89111035822978302</v>
      </c>
      <c r="H66" s="700">
        <f t="shared" si="7"/>
        <v>1527274.9428330474</v>
      </c>
      <c r="I66" s="700">
        <f>$F$11*'COEFIC 2023'!W58</f>
        <v>0</v>
      </c>
      <c r="J66" s="701">
        <f t="shared" si="3"/>
        <v>6855945.9879169883</v>
      </c>
      <c r="N66" s="702"/>
      <c r="O66" s="703"/>
      <c r="P66" s="704"/>
    </row>
    <row r="67" spans="1:16" s="675" customFormat="1" ht="12.75" x14ac:dyDescent="0.2">
      <c r="A67" s="694">
        <v>52</v>
      </c>
      <c r="B67" s="694" t="s">
        <v>58</v>
      </c>
      <c r="C67" s="695">
        <f>'COEFIC 2023'!I59</f>
        <v>4.1273816838869903</v>
      </c>
      <c r="D67" s="696">
        <f t="shared" si="5"/>
        <v>31832656.361710038</v>
      </c>
      <c r="E67" s="697">
        <f>'COEFIC 2023'!P59</f>
        <v>3.0951720361744934</v>
      </c>
      <c r="F67" s="698">
        <f t="shared" si="6"/>
        <v>23871683.152678046</v>
      </c>
      <c r="G67" s="699">
        <f>FPART!J67</f>
        <v>1.1948784663978282</v>
      </c>
      <c r="H67" s="700">
        <f t="shared" si="7"/>
        <v>2047903.4101740394</v>
      </c>
      <c r="I67" s="700">
        <f>$F$11*'COEFIC 2023'!W59</f>
        <v>0</v>
      </c>
      <c r="J67" s="701">
        <f t="shared" si="3"/>
        <v>57752242.924562126</v>
      </c>
      <c r="N67" s="702"/>
      <c r="O67" s="703"/>
      <c r="P67" s="704"/>
    </row>
    <row r="68" spans="1:16" s="675" customFormat="1" ht="12.75" x14ac:dyDescent="0.2">
      <c r="A68" s="694">
        <v>53</v>
      </c>
      <c r="B68" s="694" t="s">
        <v>103</v>
      </c>
      <c r="C68" s="695">
        <f>'COEFIC 2023'!I60</f>
        <v>17.879143690909327</v>
      </c>
      <c r="D68" s="696">
        <f t="shared" si="5"/>
        <v>137893870.91972569</v>
      </c>
      <c r="E68" s="697">
        <f>'COEFIC 2023'!P60</f>
        <v>7.4172287338747696</v>
      </c>
      <c r="F68" s="698">
        <f t="shared" si="6"/>
        <v>57205781.176815927</v>
      </c>
      <c r="G68" s="699">
        <f>FPART!J68</f>
        <v>1.4778431771649561</v>
      </c>
      <c r="H68" s="700">
        <f t="shared" si="7"/>
        <v>2532876.9137018663</v>
      </c>
      <c r="I68" s="700">
        <f>$F$11*'COEFIC 2023'!W60</f>
        <v>0</v>
      </c>
      <c r="J68" s="701">
        <f t="shared" si="3"/>
        <v>197632529.01024348</v>
      </c>
      <c r="N68" s="702"/>
      <c r="O68" s="703"/>
      <c r="P68" s="704"/>
    </row>
    <row r="69" spans="1:16" s="675" customFormat="1" ht="12.75" x14ac:dyDescent="0.2">
      <c r="A69" s="694">
        <v>54</v>
      </c>
      <c r="B69" s="694" t="s">
        <v>94</v>
      </c>
      <c r="C69" s="695">
        <f>'COEFIC 2023'!I61</f>
        <v>0.16810399831874945</v>
      </c>
      <c r="D69" s="696">
        <f t="shared" si="5"/>
        <v>1296511.2561314434</v>
      </c>
      <c r="E69" s="697">
        <f>'COEFIC 2023'!P61</f>
        <v>0.30909086115032519</v>
      </c>
      <c r="F69" s="698">
        <f t="shared" si="6"/>
        <v>2383880.1257356009</v>
      </c>
      <c r="G69" s="699">
        <f>FPART!J69</f>
        <v>0.73658381055873901</v>
      </c>
      <c r="H69" s="700">
        <f t="shared" si="7"/>
        <v>1262431.7367353067</v>
      </c>
      <c r="I69" s="700">
        <f>$F$11*'COEFIC 2023'!W61</f>
        <v>0</v>
      </c>
      <c r="J69" s="701">
        <f t="shared" si="3"/>
        <v>4942823.1186023513</v>
      </c>
      <c r="N69" s="702"/>
      <c r="O69" s="703"/>
      <c r="P69" s="704"/>
    </row>
    <row r="70" spans="1:16" s="675" customFormat="1" ht="12.75" x14ac:dyDescent="0.2">
      <c r="A70" s="694">
        <v>55</v>
      </c>
      <c r="B70" s="694" t="s">
        <v>347</v>
      </c>
      <c r="C70" s="695">
        <f>'COEFIC 2023'!I62</f>
        <v>0.96301290882037449</v>
      </c>
      <c r="D70" s="696">
        <f t="shared" si="5"/>
        <v>7427289.586045742</v>
      </c>
      <c r="E70" s="697">
        <f>'COEFIC 2023'!P62</f>
        <v>0.80325130971927761</v>
      </c>
      <c r="F70" s="698">
        <f t="shared" si="6"/>
        <v>6195119.5389099354</v>
      </c>
      <c r="G70" s="699">
        <f>FPART!J70</f>
        <v>1.1400301061832034</v>
      </c>
      <c r="H70" s="700">
        <f t="shared" si="7"/>
        <v>1953898.7502151022</v>
      </c>
      <c r="I70" s="700">
        <f>$F$11*'COEFIC 2023'!W62</f>
        <v>0</v>
      </c>
      <c r="J70" s="701">
        <f t="shared" si="3"/>
        <v>15576307.875170778</v>
      </c>
      <c r="N70" s="702"/>
      <c r="O70" s="703"/>
      <c r="P70" s="704"/>
    </row>
    <row r="71" spans="1:16" s="675" customFormat="1" ht="12.75" x14ac:dyDescent="0.2">
      <c r="A71" s="694">
        <v>56</v>
      </c>
      <c r="B71" s="694" t="s">
        <v>348</v>
      </c>
      <c r="C71" s="695">
        <f>'COEFIC 2023'!I63</f>
        <v>0.68644045311218771</v>
      </c>
      <c r="D71" s="696">
        <f t="shared" si="5"/>
        <v>5294209.4359730408</v>
      </c>
      <c r="E71" s="697">
        <f>'COEFIC 2023'!P63</f>
        <v>0.46532661427820704</v>
      </c>
      <c r="F71" s="698">
        <f t="shared" si="6"/>
        <v>3588856.8934885398</v>
      </c>
      <c r="G71" s="699">
        <f>FPART!J71</f>
        <v>1.2461723056435674</v>
      </c>
      <c r="H71" s="700">
        <f t="shared" si="7"/>
        <v>2135815.9730549697</v>
      </c>
      <c r="I71" s="700">
        <f>$F$11*'COEFIC 2023'!W63</f>
        <v>4084141.9331941684</v>
      </c>
      <c r="J71" s="701">
        <f t="shared" si="3"/>
        <v>15103024.235710718</v>
      </c>
      <c r="K71" s="706"/>
      <c r="L71" s="706"/>
      <c r="M71" s="706"/>
      <c r="N71" s="702"/>
      <c r="O71" s="703"/>
      <c r="P71" s="704"/>
    </row>
    <row r="72" spans="1:16" s="706" customFormat="1" ht="12.75" x14ac:dyDescent="0.2">
      <c r="A72" s="226">
        <v>57</v>
      </c>
      <c r="B72" s="694" t="s">
        <v>65</v>
      </c>
      <c r="C72" s="695">
        <f>'COEFIC 2023'!I64</f>
        <v>0.17258929853694982</v>
      </c>
      <c r="D72" s="696">
        <f t="shared" si="5"/>
        <v>1331104.3787114255</v>
      </c>
      <c r="E72" s="697">
        <f>'COEFIC 2023'!P64</f>
        <v>0.74491573722474513</v>
      </c>
      <c r="F72" s="698">
        <f t="shared" si="6"/>
        <v>5745203.2541787261</v>
      </c>
      <c r="G72" s="699">
        <f>FPART!J72</f>
        <v>0.3933193291422255</v>
      </c>
      <c r="H72" s="700">
        <f t="shared" si="7"/>
        <v>674110.39539945056</v>
      </c>
      <c r="I72" s="700">
        <f>$F$11*'COEFIC 2023'!W64</f>
        <v>0</v>
      </c>
      <c r="J72" s="701">
        <f t="shared" si="3"/>
        <v>7750418.0282896021</v>
      </c>
      <c r="K72" s="675"/>
      <c r="L72" s="675"/>
      <c r="M72" s="675"/>
      <c r="N72" s="702"/>
      <c r="O72" s="703"/>
      <c r="P72" s="704"/>
    </row>
    <row r="73" spans="1:16" s="675" customFormat="1" ht="12.75" x14ac:dyDescent="0.2">
      <c r="A73" s="694">
        <v>58</v>
      </c>
      <c r="B73" s="694" t="s">
        <v>134</v>
      </c>
      <c r="C73" s="695">
        <f>'COEFIC 2023'!I65</f>
        <v>0.44181260036648906</v>
      </c>
      <c r="D73" s="696">
        <f t="shared" si="5"/>
        <v>3407503.7786413399</v>
      </c>
      <c r="E73" s="697">
        <f>'COEFIC 2023'!P65</f>
        <v>0.50525093226213014</v>
      </c>
      <c r="F73" s="698">
        <f t="shared" si="6"/>
        <v>3896775.3735795273</v>
      </c>
      <c r="G73" s="699">
        <f>FPART!J73</f>
        <v>0.97543619400196546</v>
      </c>
      <c r="H73" s="700">
        <f t="shared" si="7"/>
        <v>1671801.077917092</v>
      </c>
      <c r="I73" s="700">
        <f>$F$11*'COEFIC 2023'!W65</f>
        <v>0</v>
      </c>
      <c r="J73" s="701">
        <f t="shared" si="3"/>
        <v>8976080.2301379591</v>
      </c>
      <c r="N73" s="702"/>
      <c r="O73" s="703"/>
      <c r="P73" s="704"/>
    </row>
    <row r="74" spans="1:16" s="675" customFormat="1" ht="12.75" x14ac:dyDescent="0.2">
      <c r="A74" s="694">
        <v>59</v>
      </c>
      <c r="B74" s="694" t="s">
        <v>136</v>
      </c>
      <c r="C74" s="695">
        <f>'COEFIC 2023'!I66</f>
        <v>0.19008828671218228</v>
      </c>
      <c r="D74" s="696">
        <f t="shared" si="5"/>
        <v>1466066.2794812147</v>
      </c>
      <c r="E74" s="697">
        <f>'COEFIC 2023'!P66</f>
        <v>0.34163452441152531</v>
      </c>
      <c r="F74" s="698">
        <f t="shared" si="6"/>
        <v>2634874.9037056812</v>
      </c>
      <c r="G74" s="699">
        <f>FPART!J74</f>
        <v>0.74749784840191158</v>
      </c>
      <c r="H74" s="700">
        <f t="shared" si="7"/>
        <v>1281137.3172159579</v>
      </c>
      <c r="I74" s="700">
        <f>$F$11*'COEFIC 2023'!W66</f>
        <v>0</v>
      </c>
      <c r="J74" s="701">
        <f t="shared" si="3"/>
        <v>5382078.5004028538</v>
      </c>
      <c r="N74" s="702"/>
      <c r="O74" s="703"/>
      <c r="P74" s="704"/>
    </row>
    <row r="75" spans="1:16" s="675" customFormat="1" ht="12.75" x14ac:dyDescent="0.2">
      <c r="A75" s="694">
        <v>60</v>
      </c>
      <c r="B75" s="694" t="s">
        <v>137</v>
      </c>
      <c r="C75" s="695">
        <f>'COEFIC 2023'!I67</f>
        <v>0.19872196318853044</v>
      </c>
      <c r="D75" s="696">
        <f t="shared" si="5"/>
        <v>1532653.9802220257</v>
      </c>
      <c r="E75" s="697">
        <f>'COEFIC 2023'!P67</f>
        <v>0.41133216924457244</v>
      </c>
      <c r="F75" s="698">
        <f t="shared" si="6"/>
        <v>3172421.7910828292</v>
      </c>
      <c r="G75" s="699">
        <f>FPART!J75</f>
        <v>0.68111019086876712</v>
      </c>
      <c r="H75" s="700">
        <f t="shared" si="7"/>
        <v>1167355.4439301712</v>
      </c>
      <c r="I75" s="700">
        <f>$F$11*'COEFIC 2023'!W67</f>
        <v>0</v>
      </c>
      <c r="J75" s="701">
        <f t="shared" si="3"/>
        <v>5872431.2152350266</v>
      </c>
      <c r="N75" s="702"/>
      <c r="O75" s="703"/>
      <c r="P75" s="704"/>
    </row>
    <row r="76" spans="1:16" s="675" customFormat="1" ht="12.75" x14ac:dyDescent="0.2">
      <c r="A76" s="694">
        <v>61</v>
      </c>
      <c r="B76" s="694" t="s">
        <v>135</v>
      </c>
      <c r="C76" s="695">
        <f>'COEFIC 2023'!I68</f>
        <v>0.52168463664646103</v>
      </c>
      <c r="D76" s="696">
        <f t="shared" si="5"/>
        <v>4023521.2150069363</v>
      </c>
      <c r="E76" s="697">
        <f>'COEFIC 2023'!P68</f>
        <v>0.59684263357744027</v>
      </c>
      <c r="F76" s="698">
        <f t="shared" si="6"/>
        <v>4603181.3657699227</v>
      </c>
      <c r="G76" s="699">
        <f>FPART!J76</f>
        <v>0.97521720136537549</v>
      </c>
      <c r="H76" s="700">
        <f t="shared" si="7"/>
        <v>1671425.7462160967</v>
      </c>
      <c r="I76" s="700">
        <f>$F$11*'COEFIC 2023'!W68</f>
        <v>0</v>
      </c>
      <c r="J76" s="701">
        <f t="shared" si="3"/>
        <v>10298128.326992955</v>
      </c>
      <c r="N76" s="702"/>
      <c r="O76" s="703"/>
      <c r="P76" s="704"/>
    </row>
    <row r="77" spans="1:16" s="675" customFormat="1" ht="12.75" x14ac:dyDescent="0.2">
      <c r="A77" s="694">
        <v>62</v>
      </c>
      <c r="B77" s="694" t="s">
        <v>113</v>
      </c>
      <c r="C77" s="695">
        <f>'COEFIC 2023'!I69</f>
        <v>0.44280231449914359</v>
      </c>
      <c r="D77" s="696">
        <f t="shared" si="5"/>
        <v>3415137.002872603</v>
      </c>
      <c r="E77" s="697">
        <f>'COEFIC 2023'!P69</f>
        <v>0.48709064033904148</v>
      </c>
      <c r="F77" s="698">
        <f t="shared" si="6"/>
        <v>3756713.1315841135</v>
      </c>
      <c r="G77" s="699">
        <f>FPART!J77</f>
        <v>0.99567317695291968</v>
      </c>
      <c r="H77" s="700">
        <f t="shared" si="7"/>
        <v>1706485.2634324871</v>
      </c>
      <c r="I77" s="700">
        <f>$F$11*'COEFIC 2023'!W69</f>
        <v>0</v>
      </c>
      <c r="J77" s="701">
        <f t="shared" si="3"/>
        <v>8878335.3978892043</v>
      </c>
      <c r="N77" s="702"/>
      <c r="O77" s="703"/>
      <c r="P77" s="704"/>
    </row>
    <row r="78" spans="1:16" s="675" customFormat="1" ht="12.75" x14ac:dyDescent="0.2">
      <c r="A78" s="694">
        <v>63</v>
      </c>
      <c r="B78" s="694" t="s">
        <v>123</v>
      </c>
      <c r="C78" s="695">
        <f>'COEFIC 2023'!I70</f>
        <v>0.31352880257645754</v>
      </c>
      <c r="D78" s="696">
        <f t="shared" si="5"/>
        <v>2418107.9910486108</v>
      </c>
      <c r="E78" s="697">
        <f>'COEFIC 2023'!P70</f>
        <v>0.41328818544046847</v>
      </c>
      <c r="F78" s="698">
        <f t="shared" si="6"/>
        <v>3187507.6726830159</v>
      </c>
      <c r="G78" s="699">
        <f>FPART!J78</f>
        <v>0.90197034059299264</v>
      </c>
      <c r="H78" s="700">
        <f t="shared" si="7"/>
        <v>1545887.8775720035</v>
      </c>
      <c r="I78" s="700">
        <f>$F$11*'COEFIC 2023'!W70</f>
        <v>0</v>
      </c>
      <c r="J78" s="701">
        <f t="shared" si="3"/>
        <v>7151503.5413036309</v>
      </c>
      <c r="N78" s="702"/>
      <c r="O78" s="703"/>
      <c r="P78" s="704"/>
    </row>
    <row r="79" spans="1:16" s="675" customFormat="1" ht="12.75" x14ac:dyDescent="0.2">
      <c r="A79" s="694">
        <v>64</v>
      </c>
      <c r="B79" s="694" t="s">
        <v>74</v>
      </c>
      <c r="C79" s="695">
        <f>'COEFIC 2023'!I71</f>
        <v>0.56502148100822813</v>
      </c>
      <c r="D79" s="696">
        <f t="shared" si="5"/>
        <v>4357758.990920567</v>
      </c>
      <c r="E79" s="697">
        <f>'COEFIC 2023'!P71</f>
        <v>0.68085562816258149</v>
      </c>
      <c r="F79" s="698">
        <f t="shared" si="6"/>
        <v>5251136.1689293953</v>
      </c>
      <c r="G79" s="699">
        <f>FPART!J79</f>
        <v>0.94826481243502747</v>
      </c>
      <c r="H79" s="700">
        <f t="shared" si="7"/>
        <v>1625232.0196112527</v>
      </c>
      <c r="I79" s="700">
        <f>$F$11*'COEFIC 2023'!W71</f>
        <v>0</v>
      </c>
      <c r="J79" s="701">
        <f t="shared" si="3"/>
        <v>11234127.179461215</v>
      </c>
      <c r="N79" s="702"/>
      <c r="O79" s="703"/>
      <c r="P79" s="704"/>
    </row>
    <row r="80" spans="1:16" s="675" customFormat="1" ht="12.75" x14ac:dyDescent="0.2">
      <c r="A80" s="694">
        <v>65</v>
      </c>
      <c r="B80" s="694" t="s">
        <v>89</v>
      </c>
      <c r="C80" s="695">
        <f>'COEFIC 2023'!I72</f>
        <v>0.83508709273789883</v>
      </c>
      <c r="D80" s="696">
        <f t="shared" ref="D80:D111" si="8">$F$8*C80%</f>
        <v>6440654.7518983642</v>
      </c>
      <c r="E80" s="697">
        <f>'COEFIC 2023'!P72</f>
        <v>0.61494319721037083</v>
      </c>
      <c r="F80" s="698">
        <f t="shared" ref="F80:F111" si="9">$F$9*E80%</f>
        <v>4742782.9500696603</v>
      </c>
      <c r="G80" s="699">
        <f>FPART!J80</f>
        <v>1.204188788717512</v>
      </c>
      <c r="H80" s="700">
        <f t="shared" ref="H80:H111" si="10">$F$10*G80%</f>
        <v>2063860.3809995155</v>
      </c>
      <c r="I80" s="700">
        <f>$F$11*'COEFIC 2023'!W72</f>
        <v>0</v>
      </c>
      <c r="J80" s="701">
        <f t="shared" si="3"/>
        <v>13247298.08296754</v>
      </c>
      <c r="N80" s="702"/>
      <c r="O80" s="703"/>
      <c r="P80" s="704"/>
    </row>
    <row r="81" spans="1:16" s="675" customFormat="1" ht="12.75" x14ac:dyDescent="0.2">
      <c r="A81" s="694">
        <v>66</v>
      </c>
      <c r="B81" s="694" t="s">
        <v>118</v>
      </c>
      <c r="C81" s="695">
        <f>'COEFIC 2023'!I73</f>
        <v>2.0717033148684965</v>
      </c>
      <c r="D81" s="696">
        <f t="shared" si="8"/>
        <v>15978124.815323016</v>
      </c>
      <c r="E81" s="697">
        <f>'COEFIC 2023'!P73</f>
        <v>1.3350772698902451</v>
      </c>
      <c r="F81" s="698">
        <f t="shared" si="9"/>
        <v>10296856.264750006</v>
      </c>
      <c r="G81" s="699">
        <f>FPART!J81</f>
        <v>1.2715202471937566</v>
      </c>
      <c r="H81" s="700">
        <f t="shared" si="10"/>
        <v>2179259.8356747525</v>
      </c>
      <c r="I81" s="700">
        <f>$F$11*'COEFIC 2023'!W73</f>
        <v>0</v>
      </c>
      <c r="J81" s="701">
        <f t="shared" ref="J81:J128" si="11">D81+F81+H81+I81</f>
        <v>28454240.915747773</v>
      </c>
      <c r="N81" s="702"/>
      <c r="O81" s="703"/>
      <c r="P81" s="704"/>
    </row>
    <row r="82" spans="1:16" s="675" customFormat="1" ht="12.75" x14ac:dyDescent="0.2">
      <c r="A82" s="694">
        <v>67</v>
      </c>
      <c r="B82" s="694" t="s">
        <v>120</v>
      </c>
      <c r="C82" s="695">
        <f>'COEFIC 2023'!I74</f>
        <v>0.35000082125215265</v>
      </c>
      <c r="D82" s="696">
        <f t="shared" si="8"/>
        <v>2699400.4244219866</v>
      </c>
      <c r="E82" s="697">
        <f>'COEFIC 2023'!P74</f>
        <v>0.49564708763613402</v>
      </c>
      <c r="F82" s="698">
        <f t="shared" si="9"/>
        <v>3822705.1980675114</v>
      </c>
      <c r="G82" s="699">
        <f>FPART!J82</f>
        <v>0.8654049337071944</v>
      </c>
      <c r="H82" s="700">
        <f t="shared" si="10"/>
        <v>1483218.3897858744</v>
      </c>
      <c r="I82" s="700">
        <f>$F$11*'COEFIC 2023'!W74</f>
        <v>0</v>
      </c>
      <c r="J82" s="701">
        <f t="shared" si="11"/>
        <v>8005324.0122753726</v>
      </c>
      <c r="N82" s="702"/>
      <c r="O82" s="703"/>
      <c r="P82" s="704"/>
    </row>
    <row r="83" spans="1:16" s="675" customFormat="1" ht="12.75" x14ac:dyDescent="0.2">
      <c r="A83" s="694">
        <v>68</v>
      </c>
      <c r="B83" s="694" t="s">
        <v>144</v>
      </c>
      <c r="C83" s="695">
        <f>'COEFIC 2023'!I75</f>
        <v>0.61886614137413598</v>
      </c>
      <c r="D83" s="696">
        <f t="shared" si="8"/>
        <v>4773038.8709065495</v>
      </c>
      <c r="E83" s="697">
        <f>'COEFIC 2023'!P75</f>
        <v>0.67531065033607796</v>
      </c>
      <c r="F83" s="698">
        <f t="shared" si="9"/>
        <v>5208370.2249961076</v>
      </c>
      <c r="G83" s="699">
        <f>FPART!J83</f>
        <v>0.99986875676695242</v>
      </c>
      <c r="H83" s="700">
        <f t="shared" si="10"/>
        <v>1713676.0719125473</v>
      </c>
      <c r="I83" s="700">
        <f>$F$11*'COEFIC 2023'!W75</f>
        <v>0</v>
      </c>
      <c r="J83" s="701">
        <f t="shared" si="11"/>
        <v>11695085.167815205</v>
      </c>
      <c r="N83" s="702"/>
      <c r="O83" s="703"/>
      <c r="P83" s="704"/>
    </row>
    <row r="84" spans="1:16" s="675" customFormat="1" ht="12.75" x14ac:dyDescent="0.2">
      <c r="A84" s="694">
        <v>69</v>
      </c>
      <c r="B84" s="694" t="s">
        <v>84</v>
      </c>
      <c r="C84" s="695">
        <f>'COEFIC 2023'!I76</f>
        <v>2.2424395316251569</v>
      </c>
      <c r="D84" s="696">
        <f t="shared" si="8"/>
        <v>17294937.1997291</v>
      </c>
      <c r="E84" s="697">
        <f>'COEFIC 2023'!P76</f>
        <v>1.9355321382709125</v>
      </c>
      <c r="F84" s="698">
        <f t="shared" si="9"/>
        <v>14927897.188466275</v>
      </c>
      <c r="G84" s="699">
        <f>FPART!J84</f>
        <v>1.12226426101586</v>
      </c>
      <c r="H84" s="700">
        <f t="shared" si="10"/>
        <v>1923449.8502424476</v>
      </c>
      <c r="I84" s="700">
        <f>$F$11*'COEFIC 2023'!W76</f>
        <v>0</v>
      </c>
      <c r="J84" s="701">
        <f t="shared" si="11"/>
        <v>34146284.238437824</v>
      </c>
      <c r="N84" s="702"/>
      <c r="O84" s="703"/>
      <c r="P84" s="704"/>
    </row>
    <row r="85" spans="1:16" s="675" customFormat="1" ht="12.75" x14ac:dyDescent="0.2">
      <c r="A85" s="694">
        <v>70</v>
      </c>
      <c r="B85" s="694" t="s">
        <v>53</v>
      </c>
      <c r="C85" s="695">
        <f>'COEFIC 2023'!I77</f>
        <v>0.32645825954347646</v>
      </c>
      <c r="D85" s="696">
        <f t="shared" si="8"/>
        <v>2517827.1331336298</v>
      </c>
      <c r="E85" s="697">
        <f>'COEFIC 2023'!P77</f>
        <v>0.45201662211357152</v>
      </c>
      <c r="F85" s="698">
        <f t="shared" si="9"/>
        <v>3486202.8529359149</v>
      </c>
      <c r="G85" s="699">
        <f>FPART!J85</f>
        <v>0.87684522131647236</v>
      </c>
      <c r="H85" s="700">
        <f t="shared" si="10"/>
        <v>1502825.9102720723</v>
      </c>
      <c r="I85" s="700">
        <f>$F$11*'COEFIC 2023'!W77</f>
        <v>0</v>
      </c>
      <c r="J85" s="701">
        <f t="shared" si="11"/>
        <v>7506855.8963416172</v>
      </c>
      <c r="N85" s="702"/>
      <c r="O85" s="703"/>
      <c r="P85" s="704"/>
    </row>
    <row r="86" spans="1:16" s="675" customFormat="1" ht="12.75" x14ac:dyDescent="0.2">
      <c r="A86" s="694">
        <v>71</v>
      </c>
      <c r="B86" s="694" t="s">
        <v>143</v>
      </c>
      <c r="C86" s="695">
        <f>'COEFIC 2023'!I78</f>
        <v>1.4584595920777386</v>
      </c>
      <c r="D86" s="696">
        <f t="shared" si="8"/>
        <v>11248449.154411094</v>
      </c>
      <c r="E86" s="697">
        <f>'COEFIC 2023'!P78</f>
        <v>1.0305721617264547</v>
      </c>
      <c r="F86" s="698">
        <f t="shared" si="9"/>
        <v>7948344.0090492824</v>
      </c>
      <c r="G86" s="699">
        <f>FPART!J86</f>
        <v>1.2251911375010087</v>
      </c>
      <c r="H86" s="700">
        <f t="shared" si="10"/>
        <v>2099856.3277881886</v>
      </c>
      <c r="I86" s="700">
        <f>$F$11*'COEFIC 2023'!W78</f>
        <v>0</v>
      </c>
      <c r="J86" s="701">
        <f t="shared" si="11"/>
        <v>21296649.491248567</v>
      </c>
      <c r="N86" s="702"/>
      <c r="O86" s="703"/>
      <c r="P86" s="704"/>
    </row>
    <row r="87" spans="1:16" s="675" customFormat="1" ht="12.75" x14ac:dyDescent="0.2">
      <c r="A87" s="694">
        <v>72</v>
      </c>
      <c r="B87" s="694" t="s">
        <v>132</v>
      </c>
      <c r="C87" s="695">
        <f>'COEFIC 2023'!I79</f>
        <v>0.29398721289340612</v>
      </c>
      <c r="D87" s="696">
        <f t="shared" si="8"/>
        <v>2267392.4147377028</v>
      </c>
      <c r="E87" s="697">
        <f>'COEFIC 2023'!P79</f>
        <v>0.37946277923825678</v>
      </c>
      <c r="F87" s="698">
        <f t="shared" si="9"/>
        <v>2926627.3823687406</v>
      </c>
      <c r="G87" s="699">
        <f>FPART!J87</f>
        <v>0.91277339179785055</v>
      </c>
      <c r="H87" s="700">
        <f t="shared" si="10"/>
        <v>1564403.2379411706</v>
      </c>
      <c r="I87" s="700">
        <f>$F$11*'COEFIC 2023'!W79</f>
        <v>0</v>
      </c>
      <c r="J87" s="701">
        <f t="shared" si="11"/>
        <v>6758423.0350476131</v>
      </c>
      <c r="N87" s="702"/>
      <c r="O87" s="703"/>
      <c r="P87" s="704"/>
    </row>
    <row r="88" spans="1:16" s="675" customFormat="1" ht="12.75" x14ac:dyDescent="0.2">
      <c r="A88" s="694">
        <v>73</v>
      </c>
      <c r="B88" s="694" t="s">
        <v>85</v>
      </c>
      <c r="C88" s="695">
        <f>'COEFIC 2023'!I80</f>
        <v>0.5722653461493592</v>
      </c>
      <c r="D88" s="696">
        <f t="shared" si="8"/>
        <v>4413627.6959323687</v>
      </c>
      <c r="E88" s="697">
        <f>'COEFIC 2023'!P80</f>
        <v>0.54450577422167679</v>
      </c>
      <c r="F88" s="698">
        <f t="shared" si="9"/>
        <v>4199530.4833164774</v>
      </c>
      <c r="G88" s="699">
        <f>FPART!J88</f>
        <v>1.0714530756763703</v>
      </c>
      <c r="H88" s="700">
        <f t="shared" si="10"/>
        <v>1836364.5083788328</v>
      </c>
      <c r="I88" s="700">
        <f>$F$11*'COEFIC 2023'!W80</f>
        <v>0</v>
      </c>
      <c r="J88" s="701">
        <f t="shared" si="11"/>
        <v>10449522.687627681</v>
      </c>
      <c r="N88" s="702"/>
      <c r="O88" s="703"/>
      <c r="P88" s="704"/>
    </row>
    <row r="89" spans="1:16" s="675" customFormat="1" ht="12.75" x14ac:dyDescent="0.2">
      <c r="A89" s="694">
        <v>74</v>
      </c>
      <c r="B89" s="705" t="s">
        <v>133</v>
      </c>
      <c r="C89" s="695">
        <f>'COEFIC 2023'!I81</f>
        <v>0.22222240940220003</v>
      </c>
      <c r="D89" s="696">
        <f t="shared" si="8"/>
        <v>1713902.4534579883</v>
      </c>
      <c r="E89" s="697">
        <f>'COEFIC 2023'!P81</f>
        <v>0.30271862627818635</v>
      </c>
      <c r="F89" s="698">
        <f t="shared" si="9"/>
        <v>2334733.916715777</v>
      </c>
      <c r="G89" s="699">
        <f>FPART!J89</f>
        <v>0.88515068741753156</v>
      </c>
      <c r="H89" s="700">
        <f t="shared" si="10"/>
        <v>1517060.6570097217</v>
      </c>
      <c r="I89" s="700">
        <f>$F$11*'COEFIC 2023'!W81</f>
        <v>0</v>
      </c>
      <c r="J89" s="701">
        <f t="shared" si="11"/>
        <v>5565697.0271834871</v>
      </c>
      <c r="N89" s="702"/>
      <c r="O89" s="703"/>
      <c r="P89" s="704"/>
    </row>
    <row r="90" spans="1:16" s="675" customFormat="1" ht="12.75" x14ac:dyDescent="0.2">
      <c r="A90" s="694">
        <v>75</v>
      </c>
      <c r="B90" s="694" t="s">
        <v>146</v>
      </c>
      <c r="C90" s="695">
        <f>'COEFIC 2023'!I82</f>
        <v>1.6621932991720516</v>
      </c>
      <c r="D90" s="696">
        <f t="shared" si="8"/>
        <v>12819756.482868031</v>
      </c>
      <c r="E90" s="697">
        <f>'COEFIC 2023'!P82</f>
        <v>1.0263852879652673</v>
      </c>
      <c r="F90" s="698">
        <f t="shared" si="9"/>
        <v>7916052.5167964445</v>
      </c>
      <c r="G90" s="699">
        <f>FPART!J90</f>
        <v>1.2927027552766872</v>
      </c>
      <c r="H90" s="700">
        <f t="shared" si="10"/>
        <v>2215564.5576686547</v>
      </c>
      <c r="I90" s="700">
        <f>$F$11*'COEFIC 2023'!W82</f>
        <v>0</v>
      </c>
      <c r="J90" s="701">
        <f t="shared" si="11"/>
        <v>22951373.55733313</v>
      </c>
      <c r="N90" s="702"/>
      <c r="O90" s="703"/>
      <c r="P90" s="704"/>
    </row>
    <row r="91" spans="1:16" s="675" customFormat="1" ht="12.75" x14ac:dyDescent="0.2">
      <c r="A91" s="694">
        <v>76</v>
      </c>
      <c r="B91" s="694" t="s">
        <v>148</v>
      </c>
      <c r="C91" s="695">
        <f>'COEFIC 2023'!I83</f>
        <v>1.6525488508155455</v>
      </c>
      <c r="D91" s="696">
        <f t="shared" si="8"/>
        <v>12745373.148869757</v>
      </c>
      <c r="E91" s="697">
        <f>'COEFIC 2023'!P83</f>
        <v>1.8504233032214761</v>
      </c>
      <c r="F91" s="698">
        <f t="shared" si="9"/>
        <v>14271490.655954184</v>
      </c>
      <c r="G91" s="699">
        <f>FPART!J91</f>
        <v>0.98641008576890343</v>
      </c>
      <c r="H91" s="700">
        <f t="shared" si="10"/>
        <v>1690609.2420981266</v>
      </c>
      <c r="I91" s="700">
        <f>$F$11*'COEFIC 2023'!W83</f>
        <v>0</v>
      </c>
      <c r="J91" s="701">
        <f t="shared" si="11"/>
        <v>28707473.046922069</v>
      </c>
      <c r="N91" s="702"/>
      <c r="O91" s="703"/>
      <c r="P91" s="704"/>
    </row>
    <row r="92" spans="1:16" s="675" customFormat="1" ht="12.75" x14ac:dyDescent="0.2">
      <c r="A92" s="694">
        <v>77</v>
      </c>
      <c r="B92" s="694" t="s">
        <v>45</v>
      </c>
      <c r="C92" s="695">
        <f>'COEFIC 2023'!I84</f>
        <v>0.37223780261562495</v>
      </c>
      <c r="D92" s="696">
        <f t="shared" si="8"/>
        <v>2870904.3560861237</v>
      </c>
      <c r="E92" s="697">
        <f>'COEFIC 2023'!P84</f>
        <v>0.62678870776607709</v>
      </c>
      <c r="F92" s="698">
        <f t="shared" si="9"/>
        <v>4834142.0963344406</v>
      </c>
      <c r="G92" s="699">
        <f>FPART!J92</f>
        <v>0.77908231415513252</v>
      </c>
      <c r="H92" s="700">
        <f t="shared" si="10"/>
        <v>1335269.9649650981</v>
      </c>
      <c r="I92" s="700">
        <f>$F$11*'COEFIC 2023'!W84</f>
        <v>0</v>
      </c>
      <c r="J92" s="701">
        <f t="shared" si="11"/>
        <v>9040316.417385662</v>
      </c>
      <c r="N92" s="702"/>
      <c r="O92" s="703"/>
      <c r="P92" s="704"/>
    </row>
    <row r="93" spans="1:16" s="675" customFormat="1" ht="12.75" x14ac:dyDescent="0.2">
      <c r="A93" s="694">
        <v>78</v>
      </c>
      <c r="B93" s="694" t="s">
        <v>349</v>
      </c>
      <c r="C93" s="695">
        <f>'COEFIC 2023'!I85</f>
        <v>0.26979186101212799</v>
      </c>
      <c r="D93" s="696">
        <f t="shared" si="8"/>
        <v>2080784.4436372356</v>
      </c>
      <c r="E93" s="697">
        <f>'COEFIC 2023'!P85</f>
        <v>0.40979046274032732</v>
      </c>
      <c r="F93" s="698">
        <f t="shared" si="9"/>
        <v>3160531.2955776909</v>
      </c>
      <c r="G93" s="699">
        <f>FPART!J93</f>
        <v>0.83009281053141881</v>
      </c>
      <c r="H93" s="700">
        <f t="shared" si="10"/>
        <v>1422696.9062159469</v>
      </c>
      <c r="I93" s="700">
        <f>$F$11*'COEFIC 2023'!W85</f>
        <v>0</v>
      </c>
      <c r="J93" s="701">
        <f t="shared" si="11"/>
        <v>6664012.6454308741</v>
      </c>
      <c r="N93" s="702"/>
      <c r="O93" s="703"/>
      <c r="P93" s="704"/>
    </row>
    <row r="94" spans="1:16" s="675" customFormat="1" ht="12.75" x14ac:dyDescent="0.2">
      <c r="A94" s="694">
        <v>79</v>
      </c>
      <c r="B94" s="694" t="s">
        <v>138</v>
      </c>
      <c r="C94" s="695">
        <f>'COEFIC 2023'!I86</f>
        <v>1.0506973694240664</v>
      </c>
      <c r="D94" s="696">
        <f t="shared" si="8"/>
        <v>8103560.771130464</v>
      </c>
      <c r="E94" s="697">
        <f>'COEFIC 2023'!P86</f>
        <v>0.84314994921472297</v>
      </c>
      <c r="F94" s="698">
        <f t="shared" si="9"/>
        <v>6502839.9722579261</v>
      </c>
      <c r="G94" s="699">
        <f>FPART!J94</f>
        <v>1.160038930477814</v>
      </c>
      <c r="H94" s="700">
        <f t="shared" si="10"/>
        <v>1988191.8943789904</v>
      </c>
      <c r="I94" s="700">
        <f>$F$11*'COEFIC 2023'!W86</f>
        <v>0</v>
      </c>
      <c r="J94" s="701">
        <f t="shared" si="11"/>
        <v>16594592.63776738</v>
      </c>
      <c r="N94" s="702"/>
      <c r="O94" s="703"/>
      <c r="P94" s="704"/>
    </row>
    <row r="95" spans="1:16" s="675" customFormat="1" ht="12.75" x14ac:dyDescent="0.2">
      <c r="A95" s="694">
        <v>80</v>
      </c>
      <c r="B95" s="694" t="s">
        <v>93</v>
      </c>
      <c r="C95" s="695">
        <f>'COEFIC 2023'!I87</f>
        <v>0.41763830623271425</v>
      </c>
      <c r="D95" s="696">
        <f t="shared" si="8"/>
        <v>3221058.2165670693</v>
      </c>
      <c r="E95" s="697">
        <f>'COEFIC 2023'!P87</f>
        <v>0.46314450232260923</v>
      </c>
      <c r="F95" s="698">
        <f t="shared" si="9"/>
        <v>3572027.2360094409</v>
      </c>
      <c r="G95" s="699">
        <f>FPART!J95</f>
        <v>0.99145128306937969</v>
      </c>
      <c r="H95" s="700">
        <f t="shared" si="10"/>
        <v>1699249.3552421257</v>
      </c>
      <c r="I95" s="700">
        <f>$F$11*'COEFIC 2023'!W87</f>
        <v>0</v>
      </c>
      <c r="J95" s="701">
        <f t="shared" si="11"/>
        <v>8492334.8078186363</v>
      </c>
      <c r="N95" s="702"/>
      <c r="O95" s="703"/>
      <c r="P95" s="704"/>
    </row>
    <row r="96" spans="1:16" s="675" customFormat="1" ht="12.75" x14ac:dyDescent="0.2">
      <c r="A96" s="694">
        <v>81</v>
      </c>
      <c r="B96" s="694" t="s">
        <v>116</v>
      </c>
      <c r="C96" s="695">
        <f>'COEFIC 2023'!I88</f>
        <v>0.19112011633984341</v>
      </c>
      <c r="D96" s="696">
        <f t="shared" si="8"/>
        <v>1474024.3217648726</v>
      </c>
      <c r="E96" s="697">
        <f>'COEFIC 2023'!P88</f>
        <v>0.43209989462611942</v>
      </c>
      <c r="F96" s="698">
        <f t="shared" si="9"/>
        <v>3332594.0058469749</v>
      </c>
      <c r="G96" s="699">
        <f>FPART!J96</f>
        <v>0.64121680254968882</v>
      </c>
      <c r="H96" s="700">
        <f t="shared" si="10"/>
        <v>1098982.1254048739</v>
      </c>
      <c r="I96" s="700">
        <f>$F$11*'COEFIC 2023'!W88</f>
        <v>0</v>
      </c>
      <c r="J96" s="701">
        <f t="shared" si="11"/>
        <v>5905600.4530167216</v>
      </c>
      <c r="N96" s="702"/>
      <c r="O96" s="703"/>
      <c r="P96" s="704"/>
    </row>
    <row r="97" spans="1:16" s="675" customFormat="1" ht="12.75" x14ac:dyDescent="0.2">
      <c r="A97" s="694">
        <v>82</v>
      </c>
      <c r="B97" s="694" t="s">
        <v>152</v>
      </c>
      <c r="C97" s="695">
        <f>'COEFIC 2023'!I89</f>
        <v>1.6749332364115408</v>
      </c>
      <c r="D97" s="696">
        <f t="shared" si="8"/>
        <v>12918013.943717273</v>
      </c>
      <c r="E97" s="697">
        <f>'COEFIC 2023'!P89</f>
        <v>1.3119994634053675</v>
      </c>
      <c r="F97" s="698">
        <f t="shared" si="9"/>
        <v>10118867.423474897</v>
      </c>
      <c r="G97" s="699">
        <f>FPART!J97</f>
        <v>1.1724975552384336</v>
      </c>
      <c r="H97" s="700">
        <f t="shared" si="10"/>
        <v>2009544.743937212</v>
      </c>
      <c r="I97" s="700">
        <f>$F$11*'COEFIC 2023'!W89</f>
        <v>0</v>
      </c>
      <c r="J97" s="701">
        <f t="shared" si="11"/>
        <v>25046426.111129384</v>
      </c>
      <c r="N97" s="702"/>
      <c r="O97" s="703"/>
      <c r="P97" s="704"/>
    </row>
    <row r="98" spans="1:16" s="675" customFormat="1" ht="12.75" x14ac:dyDescent="0.2">
      <c r="A98" s="694">
        <v>83</v>
      </c>
      <c r="B98" s="694" t="s">
        <v>153</v>
      </c>
      <c r="C98" s="695">
        <f>'COEFIC 2023'!I90</f>
        <v>0.70444482722749913</v>
      </c>
      <c r="D98" s="696">
        <f t="shared" si="8"/>
        <v>5433069.1533715613</v>
      </c>
      <c r="E98" s="697">
        <f>'COEFIC 2023'!P90</f>
        <v>0.84846349141285227</v>
      </c>
      <c r="F98" s="698">
        <f t="shared" si="9"/>
        <v>6543820.9562839055</v>
      </c>
      <c r="G98" s="699">
        <f>FPART!J98</f>
        <v>0.94850811469966656</v>
      </c>
      <c r="H98" s="700">
        <f t="shared" si="10"/>
        <v>1625649.0156083095</v>
      </c>
      <c r="I98" s="700">
        <f>$F$11*'COEFIC 2023'!W90</f>
        <v>0</v>
      </c>
      <c r="J98" s="701">
        <f t="shared" si="11"/>
        <v>13602539.125263775</v>
      </c>
      <c r="N98" s="702"/>
      <c r="O98" s="703"/>
      <c r="P98" s="704"/>
    </row>
    <row r="99" spans="1:16" s="675" customFormat="1" ht="12.75" x14ac:dyDescent="0.2">
      <c r="A99" s="694">
        <v>84</v>
      </c>
      <c r="B99" s="694" t="s">
        <v>107</v>
      </c>
      <c r="C99" s="695">
        <f>'COEFIC 2023'!I91</f>
        <v>0.66786751981428749</v>
      </c>
      <c r="D99" s="696">
        <f t="shared" si="8"/>
        <v>5150964.6748671988</v>
      </c>
      <c r="E99" s="697">
        <f>'COEFIC 2023'!P91</f>
        <v>0.50669760758141813</v>
      </c>
      <c r="F99" s="698">
        <f t="shared" si="9"/>
        <v>3907932.9358872836</v>
      </c>
      <c r="G99" s="699">
        <f>FPART!J99</f>
        <v>1.1889212876884179</v>
      </c>
      <c r="H99" s="700">
        <f t="shared" si="10"/>
        <v>2037693.3955682898</v>
      </c>
      <c r="I99" s="700">
        <f>$F$11*'COEFIC 2023'!W91</f>
        <v>0</v>
      </c>
      <c r="J99" s="701">
        <f t="shared" si="11"/>
        <v>11096591.006322771</v>
      </c>
      <c r="N99" s="702"/>
      <c r="O99" s="703"/>
      <c r="P99" s="704"/>
    </row>
    <row r="100" spans="1:16" s="675" customFormat="1" ht="12.75" x14ac:dyDescent="0.2">
      <c r="A100" s="694">
        <v>85</v>
      </c>
      <c r="B100" s="694" t="s">
        <v>124</v>
      </c>
      <c r="C100" s="695">
        <f>'COEFIC 2023'!I92</f>
        <v>0.74241194597592763</v>
      </c>
      <c r="D100" s="696">
        <f t="shared" si="8"/>
        <v>5725892.6276049307</v>
      </c>
      <c r="E100" s="697">
        <f>'COEFIC 2023'!P92</f>
        <v>0.66451015921013734</v>
      </c>
      <c r="F100" s="698">
        <f t="shared" si="9"/>
        <v>5125070.8480831431</v>
      </c>
      <c r="G100" s="699">
        <f>FPART!J100</f>
        <v>1.1033537639277704</v>
      </c>
      <c r="H100" s="700">
        <f t="shared" si="10"/>
        <v>1891039.1301869308</v>
      </c>
      <c r="I100" s="700">
        <f>$F$11*'COEFIC 2023'!W92</f>
        <v>0</v>
      </c>
      <c r="J100" s="701">
        <f t="shared" si="11"/>
        <v>12742002.605875004</v>
      </c>
      <c r="N100" s="702"/>
      <c r="O100" s="703"/>
      <c r="P100" s="704"/>
    </row>
    <row r="101" spans="1:16" s="675" customFormat="1" ht="12.75" x14ac:dyDescent="0.2">
      <c r="A101" s="694">
        <v>86</v>
      </c>
      <c r="B101" s="694" t="s">
        <v>129</v>
      </c>
      <c r="C101" s="695">
        <f>'COEFIC 2023'!I93</f>
        <v>0.32711104971607841</v>
      </c>
      <c r="D101" s="696">
        <f t="shared" si="8"/>
        <v>2522861.8129457398</v>
      </c>
      <c r="E101" s="697">
        <f>'COEFIC 2023'!P93</f>
        <v>0.39136182539384073</v>
      </c>
      <c r="F101" s="698">
        <f t="shared" si="9"/>
        <v>3018399.4248676342</v>
      </c>
      <c r="G101" s="699">
        <f>FPART!J101</f>
        <v>0.9519731967183146</v>
      </c>
      <c r="H101" s="700">
        <f t="shared" si="10"/>
        <v>1631587.8231791873</v>
      </c>
      <c r="I101" s="700">
        <f>$F$11*'COEFIC 2023'!W93</f>
        <v>0</v>
      </c>
      <c r="J101" s="701">
        <f t="shared" si="11"/>
        <v>7172849.0609925613</v>
      </c>
      <c r="N101" s="702"/>
      <c r="O101" s="703"/>
      <c r="P101" s="704"/>
    </row>
    <row r="102" spans="1:16" s="675" customFormat="1" ht="12.75" x14ac:dyDescent="0.2">
      <c r="A102" s="694">
        <v>87</v>
      </c>
      <c r="B102" s="694" t="s">
        <v>350</v>
      </c>
      <c r="C102" s="695">
        <f>'COEFIC 2023'!I94</f>
        <v>0.32826922582875923</v>
      </c>
      <c r="D102" s="696">
        <f t="shared" si="8"/>
        <v>2531794.3093865798</v>
      </c>
      <c r="E102" s="697">
        <f>'COEFIC 2023'!P94</f>
        <v>0.36366268944449609</v>
      </c>
      <c r="F102" s="698">
        <f t="shared" si="9"/>
        <v>2804768.328031105</v>
      </c>
      <c r="G102" s="699">
        <f>FPART!J102</f>
        <v>0.9919886218149192</v>
      </c>
      <c r="H102" s="700">
        <f t="shared" si="10"/>
        <v>1700170.3006607224</v>
      </c>
      <c r="I102" s="700">
        <f>$F$11*'COEFIC 2023'!W94</f>
        <v>0</v>
      </c>
      <c r="J102" s="701">
        <f t="shared" si="11"/>
        <v>7036732.9380784072</v>
      </c>
      <c r="N102" s="702"/>
      <c r="O102" s="703"/>
      <c r="P102" s="704"/>
    </row>
    <row r="103" spans="1:16" s="675" customFormat="1" ht="12.75" x14ac:dyDescent="0.2">
      <c r="A103" s="694">
        <v>88</v>
      </c>
      <c r="B103" s="694" t="s">
        <v>99</v>
      </c>
      <c r="C103" s="695">
        <f>'COEFIC 2023'!I95</f>
        <v>2.411385839844038</v>
      </c>
      <c r="D103" s="696">
        <f t="shared" si="8"/>
        <v>18597944.816908427</v>
      </c>
      <c r="E103" s="697">
        <f>'COEFIC 2023'!P95</f>
        <v>1.5072208482992138</v>
      </c>
      <c r="F103" s="698">
        <f t="shared" si="9"/>
        <v>11624523.002662929</v>
      </c>
      <c r="G103" s="699">
        <f>FPART!J103</f>
        <v>1.2866929269784904</v>
      </c>
      <c r="H103" s="700">
        <f t="shared" si="10"/>
        <v>2205264.3068795167</v>
      </c>
      <c r="I103" s="700">
        <f>$F$11*'COEFIC 2023'!W95</f>
        <v>0</v>
      </c>
      <c r="J103" s="701">
        <f t="shared" si="11"/>
        <v>32427732.12645087</v>
      </c>
      <c r="N103" s="702"/>
      <c r="O103" s="703"/>
      <c r="P103" s="704"/>
    </row>
    <row r="104" spans="1:16" s="675" customFormat="1" ht="12.75" x14ac:dyDescent="0.2">
      <c r="A104" s="694">
        <v>89</v>
      </c>
      <c r="B104" s="694" t="s">
        <v>55</v>
      </c>
      <c r="C104" s="695">
        <f>'COEFIC 2023'!I96</f>
        <v>0.50694421339415929</v>
      </c>
      <c r="D104" s="696">
        <f t="shared" si="8"/>
        <v>3909834.8966689664</v>
      </c>
      <c r="E104" s="697">
        <f>'COEFIC 2023'!P96</f>
        <v>0.8277868069583757</v>
      </c>
      <c r="F104" s="698">
        <f t="shared" si="9"/>
        <v>6384350.899635545</v>
      </c>
      <c r="G104" s="699">
        <f>FPART!J104</f>
        <v>0.79415687293111992</v>
      </c>
      <c r="H104" s="700">
        <f t="shared" si="10"/>
        <v>1361106.266473887</v>
      </c>
      <c r="I104" s="700">
        <f>$F$11*'COEFIC 2023'!W96</f>
        <v>0</v>
      </c>
      <c r="J104" s="701">
        <f t="shared" si="11"/>
        <v>11655292.062778398</v>
      </c>
      <c r="N104" s="702"/>
      <c r="O104" s="703"/>
      <c r="P104" s="704"/>
    </row>
    <row r="105" spans="1:16" s="675" customFormat="1" ht="12.75" x14ac:dyDescent="0.2">
      <c r="A105" s="694">
        <v>90</v>
      </c>
      <c r="B105" s="694" t="s">
        <v>147</v>
      </c>
      <c r="C105" s="695">
        <f>'COEFIC 2023'!I97</f>
        <v>0.34376772799117933</v>
      </c>
      <c r="D105" s="696">
        <f t="shared" si="8"/>
        <v>2651327.3526676451</v>
      </c>
      <c r="E105" s="697">
        <f>'COEFIC 2023'!P97</f>
        <v>0.35072713773174047</v>
      </c>
      <c r="F105" s="698">
        <f t="shared" si="9"/>
        <v>2705002.1798871588</v>
      </c>
      <c r="G105" s="699">
        <f>FPART!J105</f>
        <v>1.0349895076901878</v>
      </c>
      <c r="H105" s="700">
        <f t="shared" si="10"/>
        <v>1773869.5623855945</v>
      </c>
      <c r="I105" s="700">
        <f>$F$11*'COEFIC 2023'!W97</f>
        <v>0</v>
      </c>
      <c r="J105" s="701">
        <f t="shared" si="11"/>
        <v>7130199.0949403979</v>
      </c>
      <c r="N105" s="702"/>
      <c r="O105" s="703"/>
      <c r="P105" s="704"/>
    </row>
    <row r="106" spans="1:16" s="675" customFormat="1" ht="12.75" x14ac:dyDescent="0.2">
      <c r="A106" s="694">
        <v>91</v>
      </c>
      <c r="B106" s="694" t="s">
        <v>351</v>
      </c>
      <c r="C106" s="695">
        <f>'COEFIC 2023'!I98</f>
        <v>0.31447640121410547</v>
      </c>
      <c r="D106" s="696">
        <f t="shared" si="8"/>
        <v>2425416.3972274801</v>
      </c>
      <c r="E106" s="697">
        <f>'COEFIC 2023'!P98</f>
        <v>0.3913826442102713</v>
      </c>
      <c r="F106" s="698">
        <f t="shared" si="9"/>
        <v>3018559.9911249005</v>
      </c>
      <c r="G106" s="699">
        <f>FPART!J106</f>
        <v>0.93155812720200115</v>
      </c>
      <c r="H106" s="700">
        <f t="shared" si="10"/>
        <v>1596598.4149195873</v>
      </c>
      <c r="I106" s="700">
        <f>$F$11*'COEFIC 2023'!W98</f>
        <v>0</v>
      </c>
      <c r="J106" s="701">
        <f t="shared" si="11"/>
        <v>7040574.8032719679</v>
      </c>
      <c r="N106" s="702"/>
      <c r="O106" s="703"/>
      <c r="P106" s="704"/>
    </row>
    <row r="107" spans="1:16" s="675" customFormat="1" ht="12.75" x14ac:dyDescent="0.2">
      <c r="A107" s="694">
        <v>92</v>
      </c>
      <c r="B107" s="694" t="s">
        <v>352</v>
      </c>
      <c r="C107" s="695">
        <f>'COEFIC 2023'!I99</f>
        <v>0.27029724695220692</v>
      </c>
      <c r="D107" s="696">
        <f t="shared" si="8"/>
        <v>2084682.2602659659</v>
      </c>
      <c r="E107" s="697">
        <f>'COEFIC 2023'!P99</f>
        <v>1.386545035984039</v>
      </c>
      <c r="F107" s="698">
        <f t="shared" si="9"/>
        <v>10693804.218016513</v>
      </c>
      <c r="G107" s="699">
        <f>FPART!J107</f>
        <v>0.34111462177289331</v>
      </c>
      <c r="H107" s="700">
        <f t="shared" si="10"/>
        <v>584636.69472167967</v>
      </c>
      <c r="I107" s="700">
        <f>$F$11*'COEFIC 2023'!W99</f>
        <v>0</v>
      </c>
      <c r="J107" s="701">
        <f t="shared" si="11"/>
        <v>13363123.173004158</v>
      </c>
      <c r="N107" s="702"/>
      <c r="O107" s="703"/>
      <c r="P107" s="704"/>
    </row>
    <row r="108" spans="1:16" s="675" customFormat="1" ht="12.75" x14ac:dyDescent="0.2">
      <c r="A108" s="694">
        <v>93</v>
      </c>
      <c r="B108" s="694" t="s">
        <v>353</v>
      </c>
      <c r="C108" s="695">
        <f>'COEFIC 2023'!I100</f>
        <v>0.60132503770389689</v>
      </c>
      <c r="D108" s="696">
        <f t="shared" si="8"/>
        <v>4637752.1520843655</v>
      </c>
      <c r="E108" s="697">
        <f>'COEFIC 2023'!P100</f>
        <v>0.65567373347769853</v>
      </c>
      <c r="F108" s="698">
        <f t="shared" si="9"/>
        <v>5056919.4326459374</v>
      </c>
      <c r="G108" s="699">
        <f>FPART!J108</f>
        <v>1.0002632586827527</v>
      </c>
      <c r="H108" s="700">
        <f t="shared" si="10"/>
        <v>1714352.2091444142</v>
      </c>
      <c r="I108" s="700">
        <f>$F$11*'COEFIC 2023'!W100</f>
        <v>0</v>
      </c>
      <c r="J108" s="701">
        <f t="shared" si="11"/>
        <v>11409023.793874716</v>
      </c>
      <c r="N108" s="702"/>
      <c r="O108" s="703"/>
      <c r="P108" s="704"/>
    </row>
    <row r="109" spans="1:16" s="675" customFormat="1" ht="12.75" x14ac:dyDescent="0.2">
      <c r="A109" s="694">
        <v>94</v>
      </c>
      <c r="B109" s="694" t="s">
        <v>354</v>
      </c>
      <c r="C109" s="695">
        <f>'COEFIC 2023'!I101</f>
        <v>0.13519073897111003</v>
      </c>
      <c r="D109" s="696">
        <f t="shared" si="8"/>
        <v>1042665.9481853771</v>
      </c>
      <c r="E109" s="697">
        <f>'COEFIC 2023'!P101</f>
        <v>0.28459801121905781</v>
      </c>
      <c r="F109" s="698">
        <f t="shared" si="9"/>
        <v>2194977.6846977985</v>
      </c>
      <c r="G109" s="699">
        <f>FPART!J109</f>
        <v>0.67337351189936723</v>
      </c>
      <c r="H109" s="700">
        <f t="shared" si="10"/>
        <v>1154095.5420318467</v>
      </c>
      <c r="I109" s="700">
        <f>$F$11*'COEFIC 2023'!W101</f>
        <v>0</v>
      </c>
      <c r="J109" s="701">
        <f t="shared" si="11"/>
        <v>4391739.1749150222</v>
      </c>
      <c r="N109" s="702"/>
      <c r="O109" s="703"/>
      <c r="P109" s="704"/>
    </row>
    <row r="110" spans="1:16" s="675" customFormat="1" ht="12.75" x14ac:dyDescent="0.2">
      <c r="A110" s="694">
        <v>95</v>
      </c>
      <c r="B110" s="694" t="s">
        <v>100</v>
      </c>
      <c r="C110" s="695">
        <f>'COEFIC 2023'!I102</f>
        <v>0.25953673797802668</v>
      </c>
      <c r="D110" s="696">
        <f t="shared" si="8"/>
        <v>2001691.2478792481</v>
      </c>
      <c r="E110" s="697">
        <f>'COEFIC 2023'!P102</f>
        <v>0.50154876438978779</v>
      </c>
      <c r="F110" s="698">
        <f t="shared" si="9"/>
        <v>3868222.2019323022</v>
      </c>
      <c r="G110" s="699">
        <f>FPART!J110</f>
        <v>0.7130258503350696</v>
      </c>
      <c r="H110" s="700">
        <f t="shared" si="10"/>
        <v>1222055.7249186086</v>
      </c>
      <c r="I110" s="700">
        <f>$F$11*'COEFIC 2023'!W102</f>
        <v>0</v>
      </c>
      <c r="J110" s="701">
        <f t="shared" si="11"/>
        <v>7091969.1747301584</v>
      </c>
      <c r="N110" s="702"/>
      <c r="O110" s="703"/>
      <c r="P110" s="704"/>
    </row>
    <row r="111" spans="1:16" s="675" customFormat="1" ht="12.75" x14ac:dyDescent="0.2">
      <c r="A111" s="694">
        <v>96</v>
      </c>
      <c r="B111" s="694" t="s">
        <v>78</v>
      </c>
      <c r="C111" s="695">
        <f>'COEFIC 2023'!I103</f>
        <v>0.12573581034213366</v>
      </c>
      <c r="D111" s="696">
        <f t="shared" si="8"/>
        <v>969744.29542287975</v>
      </c>
      <c r="E111" s="697">
        <f>'COEFIC 2023'!P103</f>
        <v>1.3013400949509077</v>
      </c>
      <c r="F111" s="698">
        <f t="shared" si="9"/>
        <v>10036656.462863151</v>
      </c>
      <c r="G111" s="699">
        <f>FPART!J111</f>
        <v>0.18422636972178577</v>
      </c>
      <c r="H111" s="700">
        <f t="shared" si="10"/>
        <v>315745.76110204658</v>
      </c>
      <c r="I111" s="700">
        <f>$F$11*'COEFIC 2023'!W103</f>
        <v>554015.63736909127</v>
      </c>
      <c r="J111" s="701">
        <f t="shared" si="11"/>
        <v>11876162.156757168</v>
      </c>
      <c r="N111" s="702"/>
      <c r="O111" s="703"/>
      <c r="P111" s="704"/>
    </row>
    <row r="112" spans="1:16" s="675" customFormat="1" ht="12.75" x14ac:dyDescent="0.2">
      <c r="A112" s="694">
        <v>97</v>
      </c>
      <c r="B112" s="694" t="s">
        <v>130</v>
      </c>
      <c r="C112" s="695">
        <f>'COEFIC 2023'!I104</f>
        <v>0.61185391145554102</v>
      </c>
      <c r="D112" s="696">
        <f t="shared" ref="D112:D128" si="12">$F$8*C112%</f>
        <v>4718956.6651829155</v>
      </c>
      <c r="E112" s="697">
        <f>'COEFIC 2023'!P104</f>
        <v>1.6393849867608183</v>
      </c>
      <c r="F112" s="698">
        <f t="shared" ref="F112:F128" si="13">$F$9*E112%</f>
        <v>12643846.12933524</v>
      </c>
      <c r="G112" s="699">
        <f>FPART!J112</f>
        <v>0.56828479898068007</v>
      </c>
      <c r="H112" s="700">
        <f t="shared" ref="H112:H128" si="14">$F$10*G112%</f>
        <v>973983.89083959337</v>
      </c>
      <c r="I112" s="700">
        <f>$F$11*'COEFIC 2023'!W104</f>
        <v>0</v>
      </c>
      <c r="J112" s="701">
        <f t="shared" si="11"/>
        <v>18336786.685357746</v>
      </c>
      <c r="N112" s="702"/>
      <c r="O112" s="703"/>
      <c r="P112" s="704"/>
    </row>
    <row r="113" spans="1:16" s="675" customFormat="1" ht="12.75" x14ac:dyDescent="0.2">
      <c r="A113" s="694">
        <v>98</v>
      </c>
      <c r="B113" s="694" t="s">
        <v>355</v>
      </c>
      <c r="C113" s="695">
        <f>'COEFIC 2023'!I105</f>
        <v>0.54238440244219333</v>
      </c>
      <c r="D113" s="696">
        <f t="shared" si="12"/>
        <v>4183169.2877586847</v>
      </c>
      <c r="E113" s="697">
        <f>'COEFIC 2023'!P105</f>
        <v>0.65675616703162876</v>
      </c>
      <c r="F113" s="698">
        <f t="shared" si="13"/>
        <v>5065267.7604710963</v>
      </c>
      <c r="G113" s="699">
        <f>FPART!J113</f>
        <v>0.94575136814049388</v>
      </c>
      <c r="H113" s="700">
        <f t="shared" si="14"/>
        <v>1620924.2248967197</v>
      </c>
      <c r="I113" s="700">
        <f>$F$11*'COEFIC 2023'!W105</f>
        <v>0</v>
      </c>
      <c r="J113" s="701">
        <f t="shared" si="11"/>
        <v>10869361.2731265</v>
      </c>
      <c r="N113" s="702"/>
      <c r="O113" s="703"/>
      <c r="P113" s="704"/>
    </row>
    <row r="114" spans="1:16" s="675" customFormat="1" ht="12.75" x14ac:dyDescent="0.2">
      <c r="A114" s="694">
        <v>99</v>
      </c>
      <c r="B114" s="694" t="s">
        <v>139</v>
      </c>
      <c r="C114" s="695">
        <f>'COEFIC 2023'!I106</f>
        <v>0.30173646397461618</v>
      </c>
      <c r="D114" s="696">
        <f t="shared" si="12"/>
        <v>2327158.936378235</v>
      </c>
      <c r="E114" s="697">
        <f>'COEFIC 2023'!P106</f>
        <v>1.0151448119377655</v>
      </c>
      <c r="F114" s="698">
        <f t="shared" si="13"/>
        <v>7829359.7323315665</v>
      </c>
      <c r="G114" s="699">
        <f>FPART!J114</f>
        <v>0.47909435811536139</v>
      </c>
      <c r="H114" s="700">
        <f t="shared" si="14"/>
        <v>821120.3041740366</v>
      </c>
      <c r="I114" s="700">
        <f>$F$11*'COEFIC 2023'!W106</f>
        <v>0</v>
      </c>
      <c r="J114" s="701">
        <f t="shared" si="11"/>
        <v>10977638.972883837</v>
      </c>
      <c r="N114" s="702"/>
      <c r="O114" s="703"/>
      <c r="P114" s="704"/>
    </row>
    <row r="115" spans="1:16" s="675" customFormat="1" ht="12.75" x14ac:dyDescent="0.2">
      <c r="A115" s="694">
        <v>100</v>
      </c>
      <c r="B115" s="694" t="s">
        <v>125</v>
      </c>
      <c r="C115" s="695">
        <f>'COEFIC 2023'!I107</f>
        <v>0.31399207302152987</v>
      </c>
      <c r="D115" s="696">
        <f t="shared" si="12"/>
        <v>2421680.9896249468</v>
      </c>
      <c r="E115" s="697">
        <f>'COEFIC 2023'!P107</f>
        <v>0.41005540499195375</v>
      </c>
      <c r="F115" s="698">
        <f t="shared" si="13"/>
        <v>3162574.6771444231</v>
      </c>
      <c r="G115" s="699">
        <f>FPART!J115</f>
        <v>0.90675826255322967</v>
      </c>
      <c r="H115" s="700">
        <f t="shared" si="14"/>
        <v>1554093.901854604</v>
      </c>
      <c r="I115" s="700">
        <f>$F$11*'COEFIC 2023'!W107</f>
        <v>0</v>
      </c>
      <c r="J115" s="701">
        <f t="shared" si="11"/>
        <v>7138349.5686239749</v>
      </c>
      <c r="N115" s="702"/>
      <c r="O115" s="703"/>
      <c r="P115" s="704"/>
    </row>
    <row r="116" spans="1:16" s="675" customFormat="1" ht="12.75" x14ac:dyDescent="0.2">
      <c r="A116" s="694">
        <v>101</v>
      </c>
      <c r="B116" s="694" t="s">
        <v>66</v>
      </c>
      <c r="C116" s="695">
        <f>'COEFIC 2023'!I108</f>
        <v>0.18646635414161672</v>
      </c>
      <c r="D116" s="696">
        <f t="shared" si="12"/>
        <v>1438131.9269753138</v>
      </c>
      <c r="E116" s="697">
        <f>'COEFIC 2023'!P108</f>
        <v>1.1972559825788365</v>
      </c>
      <c r="F116" s="698">
        <f t="shared" si="13"/>
        <v>9233902.0690089222</v>
      </c>
      <c r="G116" s="699">
        <f>FPART!J116</f>
        <v>0.28176783207365719</v>
      </c>
      <c r="H116" s="700">
        <f t="shared" si="14"/>
        <v>482922.17192645313</v>
      </c>
      <c r="I116" s="700">
        <f>$F$11*'COEFIC 2023'!W108</f>
        <v>0</v>
      </c>
      <c r="J116" s="701">
        <f t="shared" si="11"/>
        <v>11154956.167910689</v>
      </c>
      <c r="N116" s="702"/>
      <c r="O116" s="703"/>
      <c r="P116" s="704"/>
    </row>
    <row r="117" spans="1:16" s="675" customFormat="1" ht="12.75" x14ac:dyDescent="0.2">
      <c r="A117" s="694">
        <v>102</v>
      </c>
      <c r="B117" s="694" t="s">
        <v>117</v>
      </c>
      <c r="C117" s="695">
        <f>'COEFIC 2023'!I109</f>
        <v>7.5131095007081719</v>
      </c>
      <c r="D117" s="696">
        <f t="shared" si="12"/>
        <v>57945266.820758246</v>
      </c>
      <c r="E117" s="697">
        <f>'COEFIC 2023'!P109</f>
        <v>3.2046435796815618</v>
      </c>
      <c r="F117" s="698">
        <f t="shared" si="13"/>
        <v>24715988.403014064</v>
      </c>
      <c r="G117" s="699">
        <f>FPART!J117</f>
        <v>1.4657363346795347</v>
      </c>
      <c r="H117" s="700">
        <f t="shared" si="14"/>
        <v>2512126.9841403444</v>
      </c>
      <c r="I117" s="700">
        <f>$F$11*'COEFIC 2023'!W109</f>
        <v>0</v>
      </c>
      <c r="J117" s="701">
        <f t="shared" si="11"/>
        <v>85173382.207912669</v>
      </c>
      <c r="N117" s="702"/>
      <c r="O117" s="703"/>
      <c r="P117" s="704"/>
    </row>
    <row r="118" spans="1:16" s="675" customFormat="1" ht="12.75" x14ac:dyDescent="0.2">
      <c r="A118" s="694">
        <v>103</v>
      </c>
      <c r="B118" s="694" t="s">
        <v>356</v>
      </c>
      <c r="C118" s="695">
        <f>'COEFIC 2023'!I110</f>
        <v>0.49420427615467</v>
      </c>
      <c r="D118" s="696">
        <f t="shared" si="12"/>
        <v>3811577.4358197218</v>
      </c>
      <c r="E118" s="697">
        <f>'COEFIC 2023'!P110</f>
        <v>0.56434491249142493</v>
      </c>
      <c r="F118" s="698">
        <f t="shared" si="13"/>
        <v>4352540.9193318337</v>
      </c>
      <c r="G118" s="699">
        <f>FPART!J118</f>
        <v>0.97619221060691552</v>
      </c>
      <c r="H118" s="700">
        <f t="shared" si="14"/>
        <v>1673096.815539758</v>
      </c>
      <c r="I118" s="700">
        <f>$F$11*'COEFIC 2023'!W110</f>
        <v>0</v>
      </c>
      <c r="J118" s="701">
        <f t="shared" si="11"/>
        <v>9837215.1706913132</v>
      </c>
      <c r="N118" s="702"/>
      <c r="O118" s="703"/>
      <c r="P118" s="704"/>
    </row>
    <row r="119" spans="1:16" s="675" customFormat="1" ht="12.75" x14ac:dyDescent="0.2">
      <c r="A119" s="694">
        <v>104</v>
      </c>
      <c r="B119" s="694" t="s">
        <v>109</v>
      </c>
      <c r="C119" s="695">
        <f>'COEFIC 2023'!I111</f>
        <v>0.33406010639216349</v>
      </c>
      <c r="D119" s="696">
        <f t="shared" si="12"/>
        <v>2576456.7915907823</v>
      </c>
      <c r="E119" s="697">
        <f>'COEFIC 2023'!P111</f>
        <v>0.47064902069414494</v>
      </c>
      <c r="F119" s="698">
        <f t="shared" si="13"/>
        <v>3629906.2432778599</v>
      </c>
      <c r="G119" s="699">
        <f>FPART!J119</f>
        <v>0.86801168304157472</v>
      </c>
      <c r="H119" s="700">
        <f t="shared" si="14"/>
        <v>1487686.1001024221</v>
      </c>
      <c r="I119" s="700">
        <f>$F$11*'COEFIC 2023'!W111</f>
        <v>0</v>
      </c>
      <c r="J119" s="701">
        <f t="shared" si="11"/>
        <v>7694049.1349710645</v>
      </c>
      <c r="N119" s="702"/>
      <c r="O119" s="703"/>
      <c r="P119" s="704"/>
    </row>
    <row r="120" spans="1:16" s="675" customFormat="1" ht="12.75" x14ac:dyDescent="0.2">
      <c r="A120" s="694">
        <v>105</v>
      </c>
      <c r="B120" s="694" t="s">
        <v>150</v>
      </c>
      <c r="C120" s="695">
        <f>'COEFIC 2023'!I112</f>
        <v>0.44183365811399233</v>
      </c>
      <c r="D120" s="696">
        <f t="shared" si="12"/>
        <v>3407666.1876675365</v>
      </c>
      <c r="E120" s="697">
        <f>'COEFIC 2023'!P112</f>
        <v>0.4853513770445434</v>
      </c>
      <c r="F120" s="698">
        <f t="shared" si="13"/>
        <v>3743298.9685585722</v>
      </c>
      <c r="G120" s="699">
        <f>FPART!J120</f>
        <v>0.99639666628438228</v>
      </c>
      <c r="H120" s="700">
        <f t="shared" si="14"/>
        <v>1707725.2525282763</v>
      </c>
      <c r="I120" s="700">
        <f>$F$11*'COEFIC 2023'!W112</f>
        <v>0</v>
      </c>
      <c r="J120" s="701">
        <f t="shared" si="11"/>
        <v>8858690.408754386</v>
      </c>
      <c r="N120" s="702"/>
      <c r="O120" s="703"/>
      <c r="P120" s="704"/>
    </row>
    <row r="121" spans="1:16" s="675" customFormat="1" ht="12.75" x14ac:dyDescent="0.2">
      <c r="A121" s="694">
        <v>106</v>
      </c>
      <c r="B121" s="694" t="s">
        <v>357</v>
      </c>
      <c r="C121" s="695">
        <f>'COEFIC 2023'!I113</f>
        <v>0.68022841759871766</v>
      </c>
      <c r="D121" s="696">
        <f t="shared" si="12"/>
        <v>5246298.7732448969</v>
      </c>
      <c r="E121" s="697">
        <f>'COEFIC 2023'!P113</f>
        <v>0.6649816513046064</v>
      </c>
      <c r="F121" s="698">
        <f t="shared" si="13"/>
        <v>5128707.2565788953</v>
      </c>
      <c r="G121" s="699">
        <f>FPART!J121</f>
        <v>1.0573153678859981</v>
      </c>
      <c r="H121" s="700">
        <f t="shared" si="14"/>
        <v>1812133.8767203428</v>
      </c>
      <c r="I121" s="700">
        <f>$F$11*'COEFIC 2023'!W113</f>
        <v>0</v>
      </c>
      <c r="J121" s="701">
        <f t="shared" si="11"/>
        <v>12187139.906544134</v>
      </c>
      <c r="N121" s="702"/>
      <c r="O121" s="703"/>
      <c r="P121" s="704"/>
    </row>
    <row r="122" spans="1:16" s="675" customFormat="1" ht="12.75" x14ac:dyDescent="0.2">
      <c r="A122" s="694">
        <v>107</v>
      </c>
      <c r="B122" s="694" t="s">
        <v>358</v>
      </c>
      <c r="C122" s="695">
        <f>'COEFIC 2023'!I114</f>
        <v>1.6178456829301266</v>
      </c>
      <c r="D122" s="696">
        <f t="shared" si="12"/>
        <v>12477723.073696939</v>
      </c>
      <c r="E122" s="697">
        <f>'COEFIC 2023'!P114</f>
        <v>1.0775803879663932</v>
      </c>
      <c r="F122" s="698">
        <f t="shared" si="13"/>
        <v>8310897.5179508971</v>
      </c>
      <c r="G122" s="699">
        <f>FPART!J122</f>
        <v>1.2550168374600785</v>
      </c>
      <c r="H122" s="700">
        <f t="shared" si="14"/>
        <v>2150974.6250666925</v>
      </c>
      <c r="I122" s="700">
        <f>$F$11*'COEFIC 2023'!W114</f>
        <v>0</v>
      </c>
      <c r="J122" s="701">
        <f t="shared" si="11"/>
        <v>22939595.216714531</v>
      </c>
      <c r="N122" s="702"/>
      <c r="O122" s="703"/>
      <c r="P122" s="704"/>
    </row>
    <row r="123" spans="1:16" s="675" customFormat="1" ht="12.75" x14ac:dyDescent="0.2">
      <c r="A123" s="694">
        <v>108</v>
      </c>
      <c r="B123" s="694" t="s">
        <v>149</v>
      </c>
      <c r="C123" s="695">
        <f>'COEFIC 2023'!I115</f>
        <v>4.313890153523614</v>
      </c>
      <c r="D123" s="696">
        <f t="shared" si="12"/>
        <v>33271113.106737752</v>
      </c>
      <c r="E123" s="697">
        <f>'COEFIC 2023'!P115</f>
        <v>2.6970472672578447</v>
      </c>
      <c r="F123" s="698">
        <f t="shared" si="13"/>
        <v>20801124.157011412</v>
      </c>
      <c r="G123" s="699">
        <f>FPART!J123</f>
        <v>1.2865683823402381</v>
      </c>
      <c r="H123" s="700">
        <f t="shared" si="14"/>
        <v>2205050.8496982483</v>
      </c>
      <c r="I123" s="700">
        <f>$F$11*'COEFIC 2023'!W115</f>
        <v>0</v>
      </c>
      <c r="J123" s="701">
        <f t="shared" si="11"/>
        <v>56277288.113447413</v>
      </c>
      <c r="N123" s="702"/>
      <c r="O123" s="703"/>
      <c r="P123" s="704"/>
    </row>
    <row r="124" spans="1:16" s="675" customFormat="1" ht="12.75" x14ac:dyDescent="0.2">
      <c r="A124" s="694">
        <v>109</v>
      </c>
      <c r="B124" s="694" t="s">
        <v>50</v>
      </c>
      <c r="C124" s="695">
        <f>'COEFIC 2023'!I116</f>
        <v>6.8058639930627357E-2</v>
      </c>
      <c r="D124" s="696">
        <f t="shared" si="12"/>
        <v>524905.97266902472</v>
      </c>
      <c r="E124" s="697">
        <f>'COEFIC 2023'!P116</f>
        <v>0.2211655189413736</v>
      </c>
      <c r="F124" s="698">
        <f t="shared" si="13"/>
        <v>1705751.1281316199</v>
      </c>
      <c r="G124" s="699">
        <f>FPART!J124</f>
        <v>0.49202659964457895</v>
      </c>
      <c r="H124" s="700">
        <f t="shared" si="14"/>
        <v>843284.88599022722</v>
      </c>
      <c r="I124" s="700">
        <f>$F$11*'COEFIC 2023'!W116</f>
        <v>0</v>
      </c>
      <c r="J124" s="701">
        <f t="shared" si="11"/>
        <v>3073941.9867908717</v>
      </c>
      <c r="N124" s="702"/>
      <c r="O124" s="703"/>
      <c r="P124" s="704"/>
    </row>
    <row r="125" spans="1:16" s="675" customFormat="1" ht="12.75" x14ac:dyDescent="0.2">
      <c r="A125" s="694">
        <v>110</v>
      </c>
      <c r="B125" s="694" t="s">
        <v>111</v>
      </c>
      <c r="C125" s="695">
        <f>'COEFIC 2023'!I117</f>
        <v>1.0319349163986367</v>
      </c>
      <c r="D125" s="696">
        <f t="shared" si="12"/>
        <v>7958854.3287888486</v>
      </c>
      <c r="E125" s="697">
        <f>'COEFIC 2023'!P117</f>
        <v>0.93707100970791035</v>
      </c>
      <c r="F125" s="698">
        <f t="shared" si="13"/>
        <v>7227211.2741607325</v>
      </c>
      <c r="G125" s="699">
        <f>FPART!J125</f>
        <v>1.0958349989493676</v>
      </c>
      <c r="H125" s="700">
        <f t="shared" si="14"/>
        <v>1878152.7112978308</v>
      </c>
      <c r="I125" s="700">
        <f>$F$11*'COEFIC 2023'!W117</f>
        <v>0</v>
      </c>
      <c r="J125" s="701">
        <f t="shared" si="11"/>
        <v>17064218.314247414</v>
      </c>
      <c r="N125" s="702"/>
      <c r="O125" s="703"/>
      <c r="P125" s="704"/>
    </row>
    <row r="126" spans="1:16" s="675" customFormat="1" ht="12.75" x14ac:dyDescent="0.2">
      <c r="A126" s="694">
        <v>111</v>
      </c>
      <c r="B126" s="694" t="s">
        <v>140</v>
      </c>
      <c r="C126" s="695">
        <f>'COEFIC 2023'!I118</f>
        <v>0.38750466955550888</v>
      </c>
      <c r="D126" s="696">
        <f t="shared" si="12"/>
        <v>2988650.9000790203</v>
      </c>
      <c r="E126" s="697">
        <f>'COEFIC 2023'!P118</f>
        <v>0.45366995431345297</v>
      </c>
      <c r="F126" s="698">
        <f t="shared" si="13"/>
        <v>3498954.2677071821</v>
      </c>
      <c r="G126" s="699">
        <f>FPART!J126</f>
        <v>0.96323146383146219</v>
      </c>
      <c r="H126" s="700">
        <f t="shared" si="14"/>
        <v>1650883.3785532587</v>
      </c>
      <c r="I126" s="700">
        <f>$F$11*'COEFIC 2023'!W118</f>
        <v>0</v>
      </c>
      <c r="J126" s="701">
        <f t="shared" si="11"/>
        <v>8138488.5463394616</v>
      </c>
      <c r="N126" s="702"/>
      <c r="O126" s="703"/>
      <c r="P126" s="704"/>
    </row>
    <row r="127" spans="1:16" s="675" customFormat="1" ht="12.75" x14ac:dyDescent="0.2">
      <c r="A127" s="694">
        <v>112</v>
      </c>
      <c r="B127" s="694" t="s">
        <v>142</v>
      </c>
      <c r="C127" s="695">
        <f>'COEFIC 2023'!I119</f>
        <v>3.3072455918764265</v>
      </c>
      <c r="D127" s="696">
        <f t="shared" si="12"/>
        <v>25507312.018411621</v>
      </c>
      <c r="E127" s="697">
        <f>'COEFIC 2023'!P119</f>
        <v>1.8287280295210968</v>
      </c>
      <c r="F127" s="698">
        <f t="shared" si="13"/>
        <v>14104164.674188664</v>
      </c>
      <c r="G127" s="699">
        <f>FPART!J127</f>
        <v>1.3464292708166699</v>
      </c>
      <c r="H127" s="700">
        <f t="shared" si="14"/>
        <v>2307646.4869068586</v>
      </c>
      <c r="I127" s="700">
        <f>$F$11*'COEFIC 2023'!W119</f>
        <v>0</v>
      </c>
      <c r="J127" s="701">
        <f t="shared" si="11"/>
        <v>41919123.179507144</v>
      </c>
      <c r="N127" s="702"/>
      <c r="O127" s="703"/>
      <c r="P127" s="704"/>
    </row>
    <row r="128" spans="1:16" s="675" customFormat="1" ht="12.75" x14ac:dyDescent="0.2">
      <c r="A128" s="694">
        <v>113</v>
      </c>
      <c r="B128" s="694" t="s">
        <v>101</v>
      </c>
      <c r="C128" s="695">
        <f>'COEFIC 2023'!I120</f>
        <v>0.55198673530369269</v>
      </c>
      <c r="D128" s="696">
        <f t="shared" si="12"/>
        <v>4257227.8037045626</v>
      </c>
      <c r="E128" s="697">
        <f>'COEFIC 2023'!P120</f>
        <v>0.58979875485710986</v>
      </c>
      <c r="F128" s="698">
        <f t="shared" si="13"/>
        <v>4548855.0669366447</v>
      </c>
      <c r="G128" s="699">
        <f>FPART!J128</f>
        <v>1.0108436899472564</v>
      </c>
      <c r="H128" s="700">
        <f t="shared" si="14"/>
        <v>1732486.0209730016</v>
      </c>
      <c r="I128" s="700">
        <f>$F$11*'COEFIC 2023'!W120</f>
        <v>0</v>
      </c>
      <c r="J128" s="701">
        <f t="shared" si="11"/>
        <v>10538568.89161421</v>
      </c>
      <c r="K128" s="706"/>
      <c r="L128" s="706"/>
      <c r="M128" s="706"/>
      <c r="N128" s="702"/>
      <c r="O128" s="703"/>
      <c r="P128" s="704"/>
    </row>
    <row r="129" spans="1:10" s="706" customFormat="1" ht="13.5" thickBot="1" x14ac:dyDescent="0.25">
      <c r="A129" s="225"/>
      <c r="B129" s="226" t="s">
        <v>156</v>
      </c>
      <c r="C129" s="707">
        <f t="shared" ref="C129:J129" si="15">SUM(C16:C128)</f>
        <v>100.00000000000004</v>
      </c>
      <c r="D129" s="708">
        <f t="shared" si="15"/>
        <v>771255454.41999018</v>
      </c>
      <c r="E129" s="709">
        <f t="shared" si="15"/>
        <v>99.999999999999915</v>
      </c>
      <c r="F129" s="708">
        <f t="shared" si="15"/>
        <v>771255454.41998947</v>
      </c>
      <c r="G129" s="710">
        <f t="shared" si="15"/>
        <v>100.00000000000006</v>
      </c>
      <c r="H129" s="708">
        <f t="shared" si="15"/>
        <v>171390100.98222014</v>
      </c>
      <c r="I129" s="708">
        <f t="shared" si="15"/>
        <v>6364984.1778001795</v>
      </c>
      <c r="J129" s="708">
        <f t="shared" si="15"/>
        <v>1720265993.9999995</v>
      </c>
    </row>
    <row r="130" spans="1:10" s="675" customFormat="1" ht="13.5" thickTop="1" x14ac:dyDescent="0.2">
      <c r="D130" s="680"/>
      <c r="F130" s="680"/>
      <c r="H130" s="680"/>
      <c r="I130" s="680"/>
      <c r="J130" s="680"/>
    </row>
    <row r="131" spans="1:10" s="675" customFormat="1" ht="12.75" x14ac:dyDescent="0.2">
      <c r="D131" s="680"/>
      <c r="E131" s="680"/>
      <c r="F131" s="680"/>
      <c r="G131" s="680"/>
      <c r="H131" s="680"/>
      <c r="I131" s="680"/>
      <c r="J131" s="680"/>
    </row>
    <row r="132" spans="1:10" s="675" customFormat="1" ht="12.75" x14ac:dyDescent="0.2">
      <c r="H132" s="680"/>
      <c r="I132" s="680"/>
    </row>
    <row r="133" spans="1:10" s="675" customFormat="1" ht="12.75" x14ac:dyDescent="0.2">
      <c r="D133" s="680"/>
    </row>
    <row r="134" spans="1:10" s="675" customFormat="1" ht="12.75" x14ac:dyDescent="0.2"/>
    <row r="135" spans="1:10" s="675" customFormat="1" ht="12.75" x14ac:dyDescent="0.2">
      <c r="C135" s="711"/>
      <c r="D135" s="711"/>
      <c r="J135" s="681"/>
    </row>
    <row r="136" spans="1:10" s="675" customFormat="1" ht="12.75" x14ac:dyDescent="0.2">
      <c r="J136" s="681"/>
    </row>
    <row r="137" spans="1:10" s="675" customFormat="1" ht="12.75" x14ac:dyDescent="0.2">
      <c r="A137" s="675" t="s">
        <v>7</v>
      </c>
      <c r="B137" s="675" t="s">
        <v>7</v>
      </c>
      <c r="J137" s="681"/>
    </row>
    <row r="138" spans="1:10" s="675" customFormat="1" ht="12.75" x14ac:dyDescent="0.2">
      <c r="J138" s="681"/>
    </row>
    <row r="139" spans="1:10" s="675" customFormat="1" ht="12.75" x14ac:dyDescent="0.2">
      <c r="J139" s="681"/>
    </row>
    <row r="140" spans="1:10" s="675" customFormat="1" ht="12.75" x14ac:dyDescent="0.2">
      <c r="J140" s="681"/>
    </row>
    <row r="141" spans="1:10" s="675" customFormat="1" ht="12.75" x14ac:dyDescent="0.2">
      <c r="J141" s="681"/>
    </row>
    <row r="142" spans="1:10" s="675" customFormat="1" ht="12.75" x14ac:dyDescent="0.2">
      <c r="J142" s="681"/>
    </row>
    <row r="143" spans="1:10" s="675" customFormat="1" ht="12.75" x14ac:dyDescent="0.2">
      <c r="J143" s="681"/>
    </row>
    <row r="144" spans="1:10" s="675" customFormat="1" ht="12.75" x14ac:dyDescent="0.2">
      <c r="J144" s="681"/>
    </row>
    <row r="145" spans="10:10" s="675" customFormat="1" ht="12.75" x14ac:dyDescent="0.2">
      <c r="J145" s="681"/>
    </row>
    <row r="146" spans="10:10" s="675" customFormat="1" ht="12.75" x14ac:dyDescent="0.2">
      <c r="J146" s="681"/>
    </row>
    <row r="147" spans="10:10" s="675" customFormat="1" ht="12.75" x14ac:dyDescent="0.2">
      <c r="J147" s="681"/>
    </row>
    <row r="148" spans="10:10" s="675" customFormat="1" ht="12.75" x14ac:dyDescent="0.2">
      <c r="J148" s="681"/>
    </row>
    <row r="149" spans="10:10" s="675" customFormat="1" ht="12.75" x14ac:dyDescent="0.2">
      <c r="J149" s="681"/>
    </row>
    <row r="150" spans="10:10" s="675" customFormat="1" ht="12.75" x14ac:dyDescent="0.2">
      <c r="J150" s="681"/>
    </row>
    <row r="151" spans="10:10" s="675" customFormat="1" ht="12.75" x14ac:dyDescent="0.2">
      <c r="J151" s="681"/>
    </row>
    <row r="152" spans="10:10" s="675" customFormat="1" ht="12.75" x14ac:dyDescent="0.2">
      <c r="J152" s="681"/>
    </row>
    <row r="153" spans="10:10" s="675" customFormat="1" ht="12.75" x14ac:dyDescent="0.2">
      <c r="J153" s="681"/>
    </row>
    <row r="154" spans="10:10" s="675" customFormat="1" ht="12.75" x14ac:dyDescent="0.2">
      <c r="J154" s="681"/>
    </row>
    <row r="155" spans="10:10" s="675" customFormat="1" ht="12.75" x14ac:dyDescent="0.2">
      <c r="J155" s="681"/>
    </row>
    <row r="156" spans="10:10" s="675" customFormat="1" ht="12.75" x14ac:dyDescent="0.2">
      <c r="J156" s="681"/>
    </row>
    <row r="157" spans="10:10" s="675" customFormat="1" ht="12.75" x14ac:dyDescent="0.2">
      <c r="J157" s="681"/>
    </row>
    <row r="158" spans="10:10" s="675" customFormat="1" ht="12.75" x14ac:dyDescent="0.2">
      <c r="J158" s="681"/>
    </row>
    <row r="159" spans="10:10" s="675" customFormat="1" ht="12.75" x14ac:dyDescent="0.2">
      <c r="J159" s="681"/>
    </row>
    <row r="160" spans="10:10" s="675" customFormat="1" ht="12.75" x14ac:dyDescent="0.2">
      <c r="J160" s="681"/>
    </row>
    <row r="161" spans="10:10" s="675" customFormat="1" ht="12.75" x14ac:dyDescent="0.2">
      <c r="J161" s="681"/>
    </row>
    <row r="162" spans="10:10" s="675" customFormat="1" ht="12.75" x14ac:dyDescent="0.2">
      <c r="J162" s="681"/>
    </row>
    <row r="163" spans="10:10" s="675" customFormat="1" ht="12.75" x14ac:dyDescent="0.2">
      <c r="J163" s="681"/>
    </row>
    <row r="164" spans="10:10" s="675" customFormat="1" ht="12.75" x14ac:dyDescent="0.2">
      <c r="J164" s="681"/>
    </row>
    <row r="165" spans="10:10" s="675" customFormat="1" ht="12.75" x14ac:dyDescent="0.2">
      <c r="J165" s="681"/>
    </row>
    <row r="166" spans="10:10" s="675" customFormat="1" ht="12.75" x14ac:dyDescent="0.2">
      <c r="J166" s="681"/>
    </row>
    <row r="167" spans="10:10" s="675" customFormat="1" ht="12.75" x14ac:dyDescent="0.2">
      <c r="J167" s="681"/>
    </row>
    <row r="168" spans="10:10" s="675" customFormat="1" ht="12.75" x14ac:dyDescent="0.2">
      <c r="J168" s="681"/>
    </row>
    <row r="169" spans="10:10" s="675" customFormat="1" ht="12.75" x14ac:dyDescent="0.2">
      <c r="J169" s="681"/>
    </row>
    <row r="170" spans="10:10" s="675" customFormat="1" ht="12.75" x14ac:dyDescent="0.2">
      <c r="J170" s="681"/>
    </row>
    <row r="171" spans="10:10" s="675" customFormat="1" ht="12.75" x14ac:dyDescent="0.2">
      <c r="J171" s="681"/>
    </row>
    <row r="172" spans="10:10" s="675" customFormat="1" ht="12.75" x14ac:dyDescent="0.2">
      <c r="J172" s="681"/>
    </row>
    <row r="173" spans="10:10" s="675" customFormat="1" ht="12.75" x14ac:dyDescent="0.2">
      <c r="J173" s="681"/>
    </row>
    <row r="174" spans="10:10" s="675" customFormat="1" ht="12.75" x14ac:dyDescent="0.2">
      <c r="J174" s="681"/>
    </row>
    <row r="175" spans="10:10" s="675" customFormat="1" ht="12.75" x14ac:dyDescent="0.2">
      <c r="J175" s="681"/>
    </row>
    <row r="176" spans="10:10" s="675" customFormat="1" ht="12.75" x14ac:dyDescent="0.2">
      <c r="J176" s="681"/>
    </row>
    <row r="177" spans="10:10" s="675" customFormat="1" ht="12.75" x14ac:dyDescent="0.2">
      <c r="J177" s="681"/>
    </row>
    <row r="178" spans="10:10" s="675" customFormat="1" ht="12.75" x14ac:dyDescent="0.2">
      <c r="J178" s="681"/>
    </row>
    <row r="179" spans="10:10" s="675" customFormat="1" ht="12.75" x14ac:dyDescent="0.2">
      <c r="J179" s="681"/>
    </row>
    <row r="180" spans="10:10" s="675" customFormat="1" ht="12.75" x14ac:dyDescent="0.2">
      <c r="J180" s="681"/>
    </row>
    <row r="181" spans="10:10" s="675" customFormat="1" ht="12.75" x14ac:dyDescent="0.2">
      <c r="J181" s="681"/>
    </row>
    <row r="182" spans="10:10" s="675" customFormat="1" ht="12.75" x14ac:dyDescent="0.2">
      <c r="J182" s="681"/>
    </row>
    <row r="183" spans="10:10" s="675" customFormat="1" ht="12.75" x14ac:dyDescent="0.2">
      <c r="J183" s="681"/>
    </row>
    <row r="184" spans="10:10" s="675" customFormat="1" ht="12.75" x14ac:dyDescent="0.2">
      <c r="J184" s="681"/>
    </row>
    <row r="185" spans="10:10" s="675" customFormat="1" ht="12.75" x14ac:dyDescent="0.2">
      <c r="J185" s="681"/>
    </row>
    <row r="186" spans="10:10" s="675" customFormat="1" ht="12.75" x14ac:dyDescent="0.2">
      <c r="J186" s="681"/>
    </row>
    <row r="187" spans="10:10" s="675" customFormat="1" ht="12.75" x14ac:dyDescent="0.2">
      <c r="J187" s="681"/>
    </row>
    <row r="188" spans="10:10" s="675" customFormat="1" ht="12.75" x14ac:dyDescent="0.2">
      <c r="J188" s="681"/>
    </row>
    <row r="189" spans="10:10" s="675" customFormat="1" ht="12.75" x14ac:dyDescent="0.2">
      <c r="J189" s="681"/>
    </row>
    <row r="190" spans="10:10" s="675" customFormat="1" ht="12.75" x14ac:dyDescent="0.2">
      <c r="J190" s="681"/>
    </row>
    <row r="191" spans="10:10" s="675" customFormat="1" ht="12.75" x14ac:dyDescent="0.2">
      <c r="J191" s="681"/>
    </row>
    <row r="192" spans="10:10" s="675" customFormat="1" ht="12.75" x14ac:dyDescent="0.2">
      <c r="J192" s="681"/>
    </row>
    <row r="193" spans="10:10" s="675" customFormat="1" ht="12.75" x14ac:dyDescent="0.2">
      <c r="J193" s="681"/>
    </row>
    <row r="194" spans="10:10" s="675" customFormat="1" ht="12.75" x14ac:dyDescent="0.2">
      <c r="J194" s="681"/>
    </row>
    <row r="195" spans="10:10" s="675" customFormat="1" ht="12.75" x14ac:dyDescent="0.2">
      <c r="J195" s="681"/>
    </row>
    <row r="196" spans="10:10" s="675" customFormat="1" ht="12.75" x14ac:dyDescent="0.2">
      <c r="J196" s="681"/>
    </row>
    <row r="197" spans="10:10" s="675" customFormat="1" ht="12.75" x14ac:dyDescent="0.2">
      <c r="J197" s="681"/>
    </row>
    <row r="198" spans="10:10" s="675" customFormat="1" ht="12.75" x14ac:dyDescent="0.2">
      <c r="J198" s="681"/>
    </row>
    <row r="199" spans="10:10" s="675" customFormat="1" ht="12.75" x14ac:dyDescent="0.2">
      <c r="J199" s="681"/>
    </row>
    <row r="200" spans="10:10" s="675" customFormat="1" ht="12.75" x14ac:dyDescent="0.2">
      <c r="J200" s="681"/>
    </row>
    <row r="201" spans="10:10" s="675" customFormat="1" ht="12.75" x14ac:dyDescent="0.2">
      <c r="J201" s="681"/>
    </row>
    <row r="202" spans="10:10" s="675" customFormat="1" ht="12.75" x14ac:dyDescent="0.2">
      <c r="J202" s="681"/>
    </row>
    <row r="203" spans="10:10" s="675" customFormat="1" ht="12.75" x14ac:dyDescent="0.2">
      <c r="J203" s="681"/>
    </row>
    <row r="204" spans="10:10" s="675" customFormat="1" ht="12.75" x14ac:dyDescent="0.2">
      <c r="J204" s="681"/>
    </row>
    <row r="205" spans="10:10" s="675" customFormat="1" ht="12.75" x14ac:dyDescent="0.2">
      <c r="J205" s="681"/>
    </row>
    <row r="206" spans="10:10" s="675" customFormat="1" ht="12.75" x14ac:dyDescent="0.2">
      <c r="J206" s="681"/>
    </row>
    <row r="207" spans="10:10" s="675" customFormat="1" ht="12.75" x14ac:dyDescent="0.2">
      <c r="J207" s="681"/>
    </row>
    <row r="208" spans="10:10" s="675" customFormat="1" ht="12.75" x14ac:dyDescent="0.2">
      <c r="J208" s="681"/>
    </row>
    <row r="209" spans="10:10" s="675" customFormat="1" ht="12.75" x14ac:dyDescent="0.2">
      <c r="J209" s="681"/>
    </row>
    <row r="210" spans="10:10" s="675" customFormat="1" ht="12.75" x14ac:dyDescent="0.2">
      <c r="J210" s="681"/>
    </row>
    <row r="211" spans="10:10" s="675" customFormat="1" ht="12.75" x14ac:dyDescent="0.2">
      <c r="J211" s="681"/>
    </row>
    <row r="212" spans="10:10" s="675" customFormat="1" ht="12.75" x14ac:dyDescent="0.2">
      <c r="J212" s="681"/>
    </row>
    <row r="213" spans="10:10" s="675" customFormat="1" ht="12.75" x14ac:dyDescent="0.2">
      <c r="J213" s="681"/>
    </row>
    <row r="214" spans="10:10" s="675" customFormat="1" ht="12.75" x14ac:dyDescent="0.2">
      <c r="J214" s="681"/>
    </row>
    <row r="215" spans="10:10" s="675" customFormat="1" ht="12.75" x14ac:dyDescent="0.2">
      <c r="J215" s="681"/>
    </row>
    <row r="216" spans="10:10" s="675" customFormat="1" ht="12.75" x14ac:dyDescent="0.2">
      <c r="J216" s="681"/>
    </row>
    <row r="217" spans="10:10" s="675" customFormat="1" ht="12.75" x14ac:dyDescent="0.2">
      <c r="J217" s="681"/>
    </row>
    <row r="218" spans="10:10" s="675" customFormat="1" ht="12.75" x14ac:dyDescent="0.2">
      <c r="J218" s="681"/>
    </row>
    <row r="219" spans="10:10" s="675" customFormat="1" ht="12.75" x14ac:dyDescent="0.2">
      <c r="J219" s="681"/>
    </row>
    <row r="220" spans="10:10" s="675" customFormat="1" ht="12.75" x14ac:dyDescent="0.2">
      <c r="J220" s="681"/>
    </row>
    <row r="221" spans="10:10" s="675" customFormat="1" ht="12.75" x14ac:dyDescent="0.2">
      <c r="J221" s="681"/>
    </row>
    <row r="222" spans="10:10" s="675" customFormat="1" ht="12.75" x14ac:dyDescent="0.2">
      <c r="J222" s="681"/>
    </row>
    <row r="223" spans="10:10" s="675" customFormat="1" ht="12.75" x14ac:dyDescent="0.2">
      <c r="J223" s="681"/>
    </row>
    <row r="224" spans="10:10" s="675" customFormat="1" ht="12.75" x14ac:dyDescent="0.2">
      <c r="J224" s="681"/>
    </row>
    <row r="225" spans="10:10" s="675" customFormat="1" ht="12.75" x14ac:dyDescent="0.2">
      <c r="J225" s="681"/>
    </row>
    <row r="226" spans="10:10" s="675" customFormat="1" ht="12.75" x14ac:dyDescent="0.2">
      <c r="J226" s="681"/>
    </row>
    <row r="227" spans="10:10" s="675" customFormat="1" ht="12.75" x14ac:dyDescent="0.2">
      <c r="J227" s="681"/>
    </row>
    <row r="228" spans="10:10" s="675" customFormat="1" ht="12.75" x14ac:dyDescent="0.2">
      <c r="J228" s="681"/>
    </row>
    <row r="229" spans="10:10" s="675" customFormat="1" ht="12.75" x14ac:dyDescent="0.2">
      <c r="J229" s="681"/>
    </row>
    <row r="230" spans="10:10" s="675" customFormat="1" ht="12.75" x14ac:dyDescent="0.2">
      <c r="J230" s="681"/>
    </row>
    <row r="231" spans="10:10" s="675" customFormat="1" ht="12.75" x14ac:dyDescent="0.2">
      <c r="J231" s="681"/>
    </row>
    <row r="232" spans="10:10" s="675" customFormat="1" ht="12.75" x14ac:dyDescent="0.2">
      <c r="J232" s="681"/>
    </row>
    <row r="233" spans="10:10" s="675" customFormat="1" ht="12.75" x14ac:dyDescent="0.2">
      <c r="J233" s="681"/>
    </row>
    <row r="234" spans="10:10" s="675" customFormat="1" ht="12.75" x14ac:dyDescent="0.2">
      <c r="J234" s="681"/>
    </row>
    <row r="235" spans="10:10" s="675" customFormat="1" ht="12.75" x14ac:dyDescent="0.2">
      <c r="J235" s="681"/>
    </row>
    <row r="236" spans="10:10" s="675" customFormat="1" ht="12.75" x14ac:dyDescent="0.2">
      <c r="J236" s="681"/>
    </row>
    <row r="237" spans="10:10" s="675" customFormat="1" ht="12.75" x14ac:dyDescent="0.2">
      <c r="J237" s="681"/>
    </row>
    <row r="238" spans="10:10" s="675" customFormat="1" ht="12.75" x14ac:dyDescent="0.2">
      <c r="J238" s="681"/>
    </row>
    <row r="239" spans="10:10" s="675" customFormat="1" ht="12.75" x14ac:dyDescent="0.2">
      <c r="J239" s="681"/>
    </row>
    <row r="240" spans="10:10" s="675" customFormat="1" ht="12.75" x14ac:dyDescent="0.2">
      <c r="J240" s="681"/>
    </row>
    <row r="241" spans="10:10" s="675" customFormat="1" ht="12.75" x14ac:dyDescent="0.2">
      <c r="J241" s="681"/>
    </row>
    <row r="242" spans="10:10" s="675" customFormat="1" ht="12.75" x14ac:dyDescent="0.2">
      <c r="J242" s="681"/>
    </row>
    <row r="243" spans="10:10" s="675" customFormat="1" ht="12.75" x14ac:dyDescent="0.2">
      <c r="J243" s="681"/>
    </row>
    <row r="244" spans="10:10" s="675" customFormat="1" ht="12.75" x14ac:dyDescent="0.2">
      <c r="J244" s="681"/>
    </row>
    <row r="245" spans="10:10" s="675" customFormat="1" ht="12.75" x14ac:dyDescent="0.2">
      <c r="J245" s="681"/>
    </row>
    <row r="246" spans="10:10" s="675" customFormat="1" ht="12.75" x14ac:dyDescent="0.2">
      <c r="J246" s="681"/>
    </row>
    <row r="247" spans="10:10" s="675" customFormat="1" ht="12.75" x14ac:dyDescent="0.2">
      <c r="J247" s="681"/>
    </row>
    <row r="248" spans="10:10" s="675" customFormat="1" ht="12.75" x14ac:dyDescent="0.2">
      <c r="J248" s="681"/>
    </row>
    <row r="249" spans="10:10" s="675" customFormat="1" ht="12.75" x14ac:dyDescent="0.2">
      <c r="J249" s="681"/>
    </row>
    <row r="250" spans="10:10" s="675" customFormat="1" ht="12.75" x14ac:dyDescent="0.2">
      <c r="J250" s="681"/>
    </row>
    <row r="251" spans="10:10" s="675" customFormat="1" ht="12.75" x14ac:dyDescent="0.2">
      <c r="J251" s="681"/>
    </row>
    <row r="252" spans="10:10" s="675" customFormat="1" ht="12.75" x14ac:dyDescent="0.2">
      <c r="J252" s="681"/>
    </row>
    <row r="253" spans="10:10" s="675" customFormat="1" ht="12.75" x14ac:dyDescent="0.2">
      <c r="J253" s="681"/>
    </row>
    <row r="254" spans="10:10" s="675" customFormat="1" ht="12.75" x14ac:dyDescent="0.2">
      <c r="J254" s="681"/>
    </row>
    <row r="255" spans="10:10" s="675" customFormat="1" ht="12.75" x14ac:dyDescent="0.2">
      <c r="J255" s="681"/>
    </row>
    <row r="256" spans="10:10" s="675" customFormat="1" ht="12.75" x14ac:dyDescent="0.2">
      <c r="J256" s="681"/>
    </row>
    <row r="257" spans="10:10" s="675" customFormat="1" ht="12.75" x14ac:dyDescent="0.2">
      <c r="J257" s="681"/>
    </row>
    <row r="258" spans="10:10" s="675" customFormat="1" ht="12.75" x14ac:dyDescent="0.2">
      <c r="J258" s="681"/>
    </row>
    <row r="259" spans="10:10" s="675" customFormat="1" ht="12.75" x14ac:dyDescent="0.2">
      <c r="J259" s="681"/>
    </row>
    <row r="260" spans="10:10" s="675" customFormat="1" ht="12.75" x14ac:dyDescent="0.2">
      <c r="J260" s="681"/>
    </row>
    <row r="261" spans="10:10" s="675" customFormat="1" ht="12.75" x14ac:dyDescent="0.2">
      <c r="J261" s="681"/>
    </row>
    <row r="262" spans="10:10" s="675" customFormat="1" ht="12.75" x14ac:dyDescent="0.2">
      <c r="J262" s="681"/>
    </row>
    <row r="263" spans="10:10" s="675" customFormat="1" ht="12.75" x14ac:dyDescent="0.2">
      <c r="J263" s="681"/>
    </row>
    <row r="264" spans="10:10" s="675" customFormat="1" ht="12.75" x14ac:dyDescent="0.2">
      <c r="J264" s="681"/>
    </row>
    <row r="265" spans="10:10" s="675" customFormat="1" ht="12.75" x14ac:dyDescent="0.2">
      <c r="J265" s="681"/>
    </row>
    <row r="266" spans="10:10" s="675" customFormat="1" ht="12.75" x14ac:dyDescent="0.2">
      <c r="J266" s="681"/>
    </row>
    <row r="267" spans="10:10" s="675" customFormat="1" ht="12.75" x14ac:dyDescent="0.2">
      <c r="J267" s="681"/>
    </row>
    <row r="268" spans="10:10" s="675" customFormat="1" ht="12.75" x14ac:dyDescent="0.2">
      <c r="J268" s="681"/>
    </row>
    <row r="269" spans="10:10" s="675" customFormat="1" ht="12.75" x14ac:dyDescent="0.2">
      <c r="J269" s="681"/>
    </row>
    <row r="270" spans="10:10" s="675" customFormat="1" ht="12.75" x14ac:dyDescent="0.2">
      <c r="J270" s="681"/>
    </row>
    <row r="271" spans="10:10" s="675" customFormat="1" ht="12.75" x14ac:dyDescent="0.2">
      <c r="J271" s="681"/>
    </row>
    <row r="272" spans="10:10" s="675" customFormat="1" ht="12.75" x14ac:dyDescent="0.2">
      <c r="J272" s="681"/>
    </row>
    <row r="273" spans="10:10" s="675" customFormat="1" ht="12.75" x14ac:dyDescent="0.2">
      <c r="J273" s="681"/>
    </row>
    <row r="274" spans="10:10" s="675" customFormat="1" ht="12.75" x14ac:dyDescent="0.2">
      <c r="J274" s="681"/>
    </row>
    <row r="275" spans="10:10" s="675" customFormat="1" ht="12.75" x14ac:dyDescent="0.2">
      <c r="J275" s="681"/>
    </row>
    <row r="276" spans="10:10" s="675" customFormat="1" ht="12.75" x14ac:dyDescent="0.2">
      <c r="J276" s="681"/>
    </row>
    <row r="277" spans="10:10" s="675" customFormat="1" ht="12.75" x14ac:dyDescent="0.2">
      <c r="J277" s="681"/>
    </row>
    <row r="278" spans="10:10" s="675" customFormat="1" ht="12.75" x14ac:dyDescent="0.2">
      <c r="J278" s="681"/>
    </row>
    <row r="279" spans="10:10" s="675" customFormat="1" ht="12.75" x14ac:dyDescent="0.2">
      <c r="J279" s="681"/>
    </row>
    <row r="280" spans="10:10" s="675" customFormat="1" ht="12.75" x14ac:dyDescent="0.2">
      <c r="J280" s="681"/>
    </row>
    <row r="281" spans="10:10" s="675" customFormat="1" ht="12.75" x14ac:dyDescent="0.2">
      <c r="J281" s="681"/>
    </row>
    <row r="282" spans="10:10" s="675" customFormat="1" ht="12.75" x14ac:dyDescent="0.2">
      <c r="J282" s="681"/>
    </row>
    <row r="283" spans="10:10" s="675" customFormat="1" ht="12.75" x14ac:dyDescent="0.2">
      <c r="J283" s="681"/>
    </row>
    <row r="284" spans="10:10" s="675" customFormat="1" ht="12.75" x14ac:dyDescent="0.2">
      <c r="J284" s="681"/>
    </row>
    <row r="285" spans="10:10" s="675" customFormat="1" ht="12.75" x14ac:dyDescent="0.2">
      <c r="J285" s="681"/>
    </row>
    <row r="286" spans="10:10" s="675" customFormat="1" ht="12.75" x14ac:dyDescent="0.2">
      <c r="J286" s="681"/>
    </row>
    <row r="287" spans="10:10" s="675" customFormat="1" ht="12.75" x14ac:dyDescent="0.2">
      <c r="J287" s="681"/>
    </row>
    <row r="288" spans="10:10" s="675" customFormat="1" ht="12.75" x14ac:dyDescent="0.2">
      <c r="J288" s="681"/>
    </row>
    <row r="289" spans="10:10" s="675" customFormat="1" ht="12.75" x14ac:dyDescent="0.2">
      <c r="J289" s="681"/>
    </row>
    <row r="290" spans="10:10" s="675" customFormat="1" ht="12.75" x14ac:dyDescent="0.2">
      <c r="J290" s="681"/>
    </row>
    <row r="291" spans="10:10" s="675" customFormat="1" ht="12.75" x14ac:dyDescent="0.2">
      <c r="J291" s="681"/>
    </row>
    <row r="292" spans="10:10" s="675" customFormat="1" ht="12.75" x14ac:dyDescent="0.2">
      <c r="J292" s="681"/>
    </row>
    <row r="293" spans="10:10" s="675" customFormat="1" ht="12.75" x14ac:dyDescent="0.2">
      <c r="J293" s="681"/>
    </row>
    <row r="294" spans="10:10" s="675" customFormat="1" ht="12.75" x14ac:dyDescent="0.2">
      <c r="J294" s="681"/>
    </row>
    <row r="295" spans="10:10" s="675" customFormat="1" ht="12.75" x14ac:dyDescent="0.2">
      <c r="J295" s="681"/>
    </row>
    <row r="296" spans="10:10" s="675" customFormat="1" ht="12.75" x14ac:dyDescent="0.2">
      <c r="J296" s="681"/>
    </row>
    <row r="297" spans="10:10" s="675" customFormat="1" ht="12.75" x14ac:dyDescent="0.2">
      <c r="J297" s="681"/>
    </row>
    <row r="298" spans="10:10" s="675" customFormat="1" ht="12.75" x14ac:dyDescent="0.2">
      <c r="J298" s="681"/>
    </row>
    <row r="299" spans="10:10" s="675" customFormat="1" ht="12.75" x14ac:dyDescent="0.2">
      <c r="J299" s="681"/>
    </row>
    <row r="300" spans="10:10" s="675" customFormat="1" ht="12.75" x14ac:dyDescent="0.2">
      <c r="J300" s="681"/>
    </row>
    <row r="301" spans="10:10" s="675" customFormat="1" ht="12.75" x14ac:dyDescent="0.2">
      <c r="J301" s="681"/>
    </row>
    <row r="302" spans="10:10" s="675" customFormat="1" ht="12.75" x14ac:dyDescent="0.2">
      <c r="J302" s="681"/>
    </row>
    <row r="303" spans="10:10" s="675" customFormat="1" ht="12.75" x14ac:dyDescent="0.2">
      <c r="J303" s="681"/>
    </row>
    <row r="304" spans="10:10" s="675" customFormat="1" ht="12.75" x14ac:dyDescent="0.2">
      <c r="J304" s="681"/>
    </row>
    <row r="305" spans="10:10" s="675" customFormat="1" ht="12.75" x14ac:dyDescent="0.2">
      <c r="J305" s="681"/>
    </row>
    <row r="306" spans="10:10" s="675" customFormat="1" ht="12.75" x14ac:dyDescent="0.2">
      <c r="J306" s="681"/>
    </row>
    <row r="307" spans="10:10" s="675" customFormat="1" ht="12.75" x14ac:dyDescent="0.2">
      <c r="J307" s="681"/>
    </row>
    <row r="308" spans="10:10" s="675" customFormat="1" ht="12.75" x14ac:dyDescent="0.2">
      <c r="J308" s="681"/>
    </row>
    <row r="309" spans="10:10" s="675" customFormat="1" ht="12.75" x14ac:dyDescent="0.2">
      <c r="J309" s="681"/>
    </row>
    <row r="310" spans="10:10" s="675" customFormat="1" ht="12.75" x14ac:dyDescent="0.2">
      <c r="J310" s="681"/>
    </row>
    <row r="311" spans="10:10" s="675" customFormat="1" ht="12.75" x14ac:dyDescent="0.2">
      <c r="J311" s="681"/>
    </row>
    <row r="312" spans="10:10" s="675" customFormat="1" ht="12.75" x14ac:dyDescent="0.2">
      <c r="J312" s="681"/>
    </row>
    <row r="313" spans="10:10" s="675" customFormat="1" ht="12.75" x14ac:dyDescent="0.2">
      <c r="J313" s="681"/>
    </row>
    <row r="314" spans="10:10" s="675" customFormat="1" ht="12.75" x14ac:dyDescent="0.2">
      <c r="J314" s="681"/>
    </row>
    <row r="315" spans="10:10" s="675" customFormat="1" ht="12.75" x14ac:dyDescent="0.2">
      <c r="J315" s="681"/>
    </row>
    <row r="316" spans="10:10" s="675" customFormat="1" ht="12.75" x14ac:dyDescent="0.2">
      <c r="J316" s="681"/>
    </row>
    <row r="317" spans="10:10" s="675" customFormat="1" ht="12.75" x14ac:dyDescent="0.2">
      <c r="J317" s="681"/>
    </row>
    <row r="318" spans="10:10" s="675" customFormat="1" ht="12.75" x14ac:dyDescent="0.2">
      <c r="J318" s="681"/>
    </row>
    <row r="319" spans="10:10" s="675" customFormat="1" ht="12.75" x14ac:dyDescent="0.2">
      <c r="J319" s="681"/>
    </row>
    <row r="320" spans="10:10" s="675" customFormat="1" ht="12.75" x14ac:dyDescent="0.2">
      <c r="J320" s="681"/>
    </row>
    <row r="321" spans="10:10" s="675" customFormat="1" ht="12.75" x14ac:dyDescent="0.2">
      <c r="J321" s="681"/>
    </row>
    <row r="322" spans="10:10" s="675" customFormat="1" ht="12.75" x14ac:dyDescent="0.2">
      <c r="J322" s="681"/>
    </row>
    <row r="323" spans="10:10" s="675" customFormat="1" ht="12.75" x14ac:dyDescent="0.2">
      <c r="J323" s="681"/>
    </row>
    <row r="324" spans="10:10" s="675" customFormat="1" ht="12.75" x14ac:dyDescent="0.2">
      <c r="J324" s="681"/>
    </row>
    <row r="325" spans="10:10" s="675" customFormat="1" ht="12.75" x14ac:dyDescent="0.2">
      <c r="J325" s="681"/>
    </row>
    <row r="326" spans="10:10" s="675" customFormat="1" ht="12.75" x14ac:dyDescent="0.2">
      <c r="J326" s="681"/>
    </row>
    <row r="327" spans="10:10" s="675" customFormat="1" ht="12.75" x14ac:dyDescent="0.2">
      <c r="J327" s="681"/>
    </row>
    <row r="328" spans="10:10" s="675" customFormat="1" ht="12.75" x14ac:dyDescent="0.2">
      <c r="J328" s="681"/>
    </row>
    <row r="329" spans="10:10" s="675" customFormat="1" ht="12.75" x14ac:dyDescent="0.2">
      <c r="J329" s="681"/>
    </row>
    <row r="330" spans="10:10" s="675" customFormat="1" ht="12.75" x14ac:dyDescent="0.2">
      <c r="J330" s="681"/>
    </row>
    <row r="331" spans="10:10" s="675" customFormat="1" ht="12.75" x14ac:dyDescent="0.2">
      <c r="J331" s="681"/>
    </row>
    <row r="332" spans="10:10" s="675" customFormat="1" ht="12.75" x14ac:dyDescent="0.2">
      <c r="J332" s="681"/>
    </row>
    <row r="333" spans="10:10" s="675" customFormat="1" ht="12.75" x14ac:dyDescent="0.2">
      <c r="J333" s="681"/>
    </row>
    <row r="334" spans="10:10" s="675" customFormat="1" ht="12.75" x14ac:dyDescent="0.2">
      <c r="J334" s="681"/>
    </row>
    <row r="335" spans="10:10" s="675" customFormat="1" ht="12.75" x14ac:dyDescent="0.2">
      <c r="J335" s="681"/>
    </row>
    <row r="336" spans="10:10" s="675" customFormat="1" ht="12.75" x14ac:dyDescent="0.2">
      <c r="J336" s="681"/>
    </row>
    <row r="337" spans="10:10" s="675" customFormat="1" ht="12.75" x14ac:dyDescent="0.2">
      <c r="J337" s="681"/>
    </row>
    <row r="338" spans="10:10" s="675" customFormat="1" ht="12.75" x14ac:dyDescent="0.2">
      <c r="J338" s="681"/>
    </row>
    <row r="339" spans="10:10" s="675" customFormat="1" ht="12.75" x14ac:dyDescent="0.2">
      <c r="J339" s="681"/>
    </row>
    <row r="340" spans="10:10" s="675" customFormat="1" ht="12.75" x14ac:dyDescent="0.2">
      <c r="J340" s="681"/>
    </row>
    <row r="341" spans="10:10" s="675" customFormat="1" ht="12.75" x14ac:dyDescent="0.2">
      <c r="J341" s="681"/>
    </row>
    <row r="342" spans="10:10" s="675" customFormat="1" ht="12.75" x14ac:dyDescent="0.2">
      <c r="J342" s="681"/>
    </row>
    <row r="343" spans="10:10" s="675" customFormat="1" ht="12.75" x14ac:dyDescent="0.2">
      <c r="J343" s="681"/>
    </row>
    <row r="344" spans="10:10" s="675" customFormat="1" ht="12.75" x14ac:dyDescent="0.2">
      <c r="J344" s="681"/>
    </row>
    <row r="345" spans="10:10" s="675" customFormat="1" ht="12.75" x14ac:dyDescent="0.2">
      <c r="J345" s="681"/>
    </row>
    <row r="346" spans="10:10" s="675" customFormat="1" ht="12.75" x14ac:dyDescent="0.2">
      <c r="J346" s="681"/>
    </row>
    <row r="347" spans="10:10" s="675" customFormat="1" ht="12.75" x14ac:dyDescent="0.2">
      <c r="J347" s="681"/>
    </row>
    <row r="348" spans="10:10" s="675" customFormat="1" ht="12.75" x14ac:dyDescent="0.2">
      <c r="J348" s="681"/>
    </row>
    <row r="349" spans="10:10" s="675" customFormat="1" ht="12.75" x14ac:dyDescent="0.2">
      <c r="J349" s="681"/>
    </row>
    <row r="350" spans="10:10" s="675" customFormat="1" ht="12.75" x14ac:dyDescent="0.2">
      <c r="J350" s="681"/>
    </row>
    <row r="351" spans="10:10" s="675" customFormat="1" ht="12.75" x14ac:dyDescent="0.2">
      <c r="J351" s="681"/>
    </row>
    <row r="352" spans="10:10" s="675" customFormat="1" ht="12.75" x14ac:dyDescent="0.2">
      <c r="J352" s="681"/>
    </row>
    <row r="353" spans="10:10" s="675" customFormat="1" ht="12.75" x14ac:dyDescent="0.2">
      <c r="J353" s="681"/>
    </row>
    <row r="354" spans="10:10" s="675" customFormat="1" ht="12.75" x14ac:dyDescent="0.2">
      <c r="J354" s="681"/>
    </row>
    <row r="355" spans="10:10" s="675" customFormat="1" ht="12.75" x14ac:dyDescent="0.2">
      <c r="J355" s="681"/>
    </row>
    <row r="356" spans="10:10" s="675" customFormat="1" ht="12.75" x14ac:dyDescent="0.2">
      <c r="J356" s="681"/>
    </row>
    <row r="357" spans="10:10" s="675" customFormat="1" ht="12.75" x14ac:dyDescent="0.2">
      <c r="J357" s="681"/>
    </row>
    <row r="358" spans="10:10" s="675" customFormat="1" ht="12.75" x14ac:dyDescent="0.2">
      <c r="J358" s="681"/>
    </row>
    <row r="359" spans="10:10" s="675" customFormat="1" ht="12.75" x14ac:dyDescent="0.2">
      <c r="J359" s="681"/>
    </row>
    <row r="360" spans="10:10" s="675" customFormat="1" ht="12.75" x14ac:dyDescent="0.2">
      <c r="J360" s="681"/>
    </row>
    <row r="361" spans="10:10" s="675" customFormat="1" ht="12.75" x14ac:dyDescent="0.2">
      <c r="J361" s="681"/>
    </row>
    <row r="362" spans="10:10" s="675" customFormat="1" ht="12.75" x14ac:dyDescent="0.2">
      <c r="J362" s="681"/>
    </row>
    <row r="363" spans="10:10" s="675" customFormat="1" ht="12.75" x14ac:dyDescent="0.2">
      <c r="J363" s="681"/>
    </row>
    <row r="364" spans="10:10" s="675" customFormat="1" ht="12.75" x14ac:dyDescent="0.2">
      <c r="J364" s="681"/>
    </row>
    <row r="365" spans="10:10" s="675" customFormat="1" ht="12.75" x14ac:dyDescent="0.2">
      <c r="J365" s="681"/>
    </row>
    <row r="366" spans="10:10" s="675" customFormat="1" ht="12.75" x14ac:dyDescent="0.2">
      <c r="J366" s="681"/>
    </row>
    <row r="367" spans="10:10" s="675" customFormat="1" ht="12.75" x14ac:dyDescent="0.2">
      <c r="J367" s="681"/>
    </row>
    <row r="368" spans="10:10" s="675" customFormat="1" ht="12.75" x14ac:dyDescent="0.2">
      <c r="J368" s="681"/>
    </row>
    <row r="369" spans="10:10" s="675" customFormat="1" ht="12.75" x14ac:dyDescent="0.2">
      <c r="J369" s="681"/>
    </row>
    <row r="370" spans="10:10" s="675" customFormat="1" ht="12.75" x14ac:dyDescent="0.2">
      <c r="J370" s="681"/>
    </row>
    <row r="371" spans="10:10" s="675" customFormat="1" ht="12.75" x14ac:dyDescent="0.2">
      <c r="J371" s="681"/>
    </row>
    <row r="372" spans="10:10" s="675" customFormat="1" ht="12.75" x14ac:dyDescent="0.2">
      <c r="J372" s="681"/>
    </row>
    <row r="373" spans="10:10" s="675" customFormat="1" ht="12.75" x14ac:dyDescent="0.2">
      <c r="J373" s="681"/>
    </row>
    <row r="374" spans="10:10" s="675" customFormat="1" ht="12.75" x14ac:dyDescent="0.2">
      <c r="J374" s="681"/>
    </row>
    <row r="375" spans="10:10" s="675" customFormat="1" ht="12.75" x14ac:dyDescent="0.2">
      <c r="J375" s="681"/>
    </row>
    <row r="376" spans="10:10" s="675" customFormat="1" ht="12.75" x14ac:dyDescent="0.2">
      <c r="J376" s="681"/>
    </row>
    <row r="377" spans="10:10" s="675" customFormat="1" ht="12.75" x14ac:dyDescent="0.2">
      <c r="J377" s="681"/>
    </row>
    <row r="378" spans="10:10" s="675" customFormat="1" ht="12.75" x14ac:dyDescent="0.2">
      <c r="J378" s="681"/>
    </row>
    <row r="379" spans="10:10" s="675" customFormat="1" ht="12.75" x14ac:dyDescent="0.2">
      <c r="J379" s="681"/>
    </row>
    <row r="380" spans="10:10" s="675" customFormat="1" ht="12.75" x14ac:dyDescent="0.2">
      <c r="J380" s="681"/>
    </row>
    <row r="381" spans="10:10" s="675" customFormat="1" ht="12.75" x14ac:dyDescent="0.2">
      <c r="J381" s="681"/>
    </row>
    <row r="382" spans="10:10" s="675" customFormat="1" ht="12.75" x14ac:dyDescent="0.2">
      <c r="J382" s="681"/>
    </row>
    <row r="383" spans="10:10" s="675" customFormat="1" ht="12.75" x14ac:dyDescent="0.2">
      <c r="J383" s="681"/>
    </row>
    <row r="384" spans="10:10" s="675" customFormat="1" ht="12.75" x14ac:dyDescent="0.2">
      <c r="J384" s="681"/>
    </row>
    <row r="385" spans="10:10" s="675" customFormat="1" ht="12.75" x14ac:dyDescent="0.2">
      <c r="J385" s="681"/>
    </row>
    <row r="386" spans="10:10" s="675" customFormat="1" ht="12.75" x14ac:dyDescent="0.2">
      <c r="J386" s="681"/>
    </row>
    <row r="387" spans="10:10" s="675" customFormat="1" ht="12.75" x14ac:dyDescent="0.2">
      <c r="J387" s="681"/>
    </row>
    <row r="388" spans="10:10" s="675" customFormat="1" ht="12.75" x14ac:dyDescent="0.2">
      <c r="J388" s="681"/>
    </row>
    <row r="389" spans="10:10" s="675" customFormat="1" ht="12.75" x14ac:dyDescent="0.2">
      <c r="J389" s="681"/>
    </row>
    <row r="390" spans="10:10" s="675" customFormat="1" ht="12.75" x14ac:dyDescent="0.2">
      <c r="J390" s="681"/>
    </row>
    <row r="391" spans="10:10" s="675" customFormat="1" ht="12.75" x14ac:dyDescent="0.2">
      <c r="J391" s="681"/>
    </row>
    <row r="392" spans="10:10" s="675" customFormat="1" ht="12.75" x14ac:dyDescent="0.2">
      <c r="J392" s="681"/>
    </row>
    <row r="393" spans="10:10" s="675" customFormat="1" ht="12.75" x14ac:dyDescent="0.2">
      <c r="J393" s="681"/>
    </row>
    <row r="394" spans="10:10" s="675" customFormat="1" ht="12.75" x14ac:dyDescent="0.2">
      <c r="J394" s="681"/>
    </row>
    <row r="395" spans="10:10" s="675" customFormat="1" ht="12.75" x14ac:dyDescent="0.2">
      <c r="J395" s="681"/>
    </row>
    <row r="396" spans="10:10" s="675" customFormat="1" ht="12.75" x14ac:dyDescent="0.2">
      <c r="J396" s="681"/>
    </row>
    <row r="397" spans="10:10" s="675" customFormat="1" ht="12.75" x14ac:dyDescent="0.2">
      <c r="J397" s="681"/>
    </row>
    <row r="398" spans="10:10" s="675" customFormat="1" ht="12.75" x14ac:dyDescent="0.2">
      <c r="J398" s="681"/>
    </row>
    <row r="399" spans="10:10" s="675" customFormat="1" ht="12.75" x14ac:dyDescent="0.2">
      <c r="J399" s="681"/>
    </row>
    <row r="400" spans="10:10" s="675" customFormat="1" ht="12.75" x14ac:dyDescent="0.2">
      <c r="J400" s="681"/>
    </row>
    <row r="401" spans="10:10" s="675" customFormat="1" ht="12.75" x14ac:dyDescent="0.2">
      <c r="J401" s="681"/>
    </row>
    <row r="402" spans="10:10" s="675" customFormat="1" ht="12.75" x14ac:dyDescent="0.2">
      <c r="J402" s="681"/>
    </row>
    <row r="403" spans="10:10" s="675" customFormat="1" ht="12.75" x14ac:dyDescent="0.2">
      <c r="J403" s="681"/>
    </row>
    <row r="404" spans="10:10" s="675" customFormat="1" ht="12.75" x14ac:dyDescent="0.2">
      <c r="J404" s="681"/>
    </row>
    <row r="405" spans="10:10" s="675" customFormat="1" ht="12.75" x14ac:dyDescent="0.2">
      <c r="J405" s="681"/>
    </row>
    <row r="406" spans="10:10" s="675" customFormat="1" ht="12.75" x14ac:dyDescent="0.2">
      <c r="J406" s="681"/>
    </row>
    <row r="407" spans="10:10" s="675" customFormat="1" ht="12.75" x14ac:dyDescent="0.2">
      <c r="J407" s="681"/>
    </row>
    <row r="408" spans="10:10" s="675" customFormat="1" ht="12.75" x14ac:dyDescent="0.2">
      <c r="J408" s="681"/>
    </row>
    <row r="409" spans="10:10" s="675" customFormat="1" ht="12.75" x14ac:dyDescent="0.2">
      <c r="J409" s="681"/>
    </row>
    <row r="410" spans="10:10" s="675" customFormat="1" ht="12.75" x14ac:dyDescent="0.2">
      <c r="J410" s="681"/>
    </row>
    <row r="411" spans="10:10" s="675" customFormat="1" ht="12.75" x14ac:dyDescent="0.2">
      <c r="J411" s="681"/>
    </row>
    <row r="412" spans="10:10" s="675" customFormat="1" ht="12.75" x14ac:dyDescent="0.2">
      <c r="J412" s="681"/>
    </row>
    <row r="413" spans="10:10" s="675" customFormat="1" ht="12.75" x14ac:dyDescent="0.2">
      <c r="J413" s="681"/>
    </row>
    <row r="414" spans="10:10" s="675" customFormat="1" ht="12.75" x14ac:dyDescent="0.2">
      <c r="J414" s="681"/>
    </row>
    <row r="415" spans="10:10" s="675" customFormat="1" ht="12.75" x14ac:dyDescent="0.2">
      <c r="J415" s="681"/>
    </row>
    <row r="416" spans="10:10" s="675" customFormat="1" ht="12.75" x14ac:dyDescent="0.2">
      <c r="J416" s="681"/>
    </row>
    <row r="417" spans="10:10" s="675" customFormat="1" ht="12.75" x14ac:dyDescent="0.2">
      <c r="J417" s="681"/>
    </row>
    <row r="418" spans="10:10" s="675" customFormat="1" ht="12.75" x14ac:dyDescent="0.2">
      <c r="J418" s="681"/>
    </row>
    <row r="419" spans="10:10" s="675" customFormat="1" ht="12.75" x14ac:dyDescent="0.2">
      <c r="J419" s="681"/>
    </row>
    <row r="420" spans="10:10" s="675" customFormat="1" ht="12.75" x14ac:dyDescent="0.2">
      <c r="J420" s="681"/>
    </row>
    <row r="421" spans="10:10" s="675" customFormat="1" ht="12.75" x14ac:dyDescent="0.2">
      <c r="J421" s="681"/>
    </row>
    <row r="422" spans="10:10" s="675" customFormat="1" ht="12.75" x14ac:dyDescent="0.2">
      <c r="J422" s="681"/>
    </row>
    <row r="423" spans="10:10" s="675" customFormat="1" ht="12.75" x14ac:dyDescent="0.2">
      <c r="J423" s="681"/>
    </row>
    <row r="424" spans="10:10" s="675" customFormat="1" ht="12.75" x14ac:dyDescent="0.2">
      <c r="J424" s="681"/>
    </row>
    <row r="425" spans="10:10" s="675" customFormat="1" ht="12.75" x14ac:dyDescent="0.2">
      <c r="J425" s="681"/>
    </row>
    <row r="426" spans="10:10" s="675" customFormat="1" ht="12.75" x14ac:dyDescent="0.2">
      <c r="J426" s="681"/>
    </row>
    <row r="427" spans="10:10" s="675" customFormat="1" ht="12.75" x14ac:dyDescent="0.2">
      <c r="J427" s="681"/>
    </row>
    <row r="428" spans="10:10" s="675" customFormat="1" ht="12.75" x14ac:dyDescent="0.2">
      <c r="J428" s="681"/>
    </row>
    <row r="429" spans="10:10" s="675" customFormat="1" ht="12.75" x14ac:dyDescent="0.2">
      <c r="J429" s="681"/>
    </row>
    <row r="430" spans="10:10" s="675" customFormat="1" ht="12.75" x14ac:dyDescent="0.2">
      <c r="J430" s="681"/>
    </row>
    <row r="431" spans="10:10" s="675" customFormat="1" ht="12.75" x14ac:dyDescent="0.2">
      <c r="J431" s="681"/>
    </row>
    <row r="432" spans="10:10" s="675" customFormat="1" ht="12.75" x14ac:dyDescent="0.2">
      <c r="J432" s="681"/>
    </row>
    <row r="433" spans="10:10" s="675" customFormat="1" ht="12.75" x14ac:dyDescent="0.2">
      <c r="J433" s="681"/>
    </row>
    <row r="434" spans="10:10" s="675" customFormat="1" ht="12.75" x14ac:dyDescent="0.2">
      <c r="J434" s="681"/>
    </row>
    <row r="435" spans="10:10" s="675" customFormat="1" ht="12.75" x14ac:dyDescent="0.2">
      <c r="J435" s="681"/>
    </row>
    <row r="436" spans="10:10" s="675" customFormat="1" ht="12.75" x14ac:dyDescent="0.2">
      <c r="J436" s="681"/>
    </row>
    <row r="437" spans="10:10" s="675" customFormat="1" ht="12.75" x14ac:dyDescent="0.2">
      <c r="J437" s="681"/>
    </row>
    <row r="438" spans="10:10" s="675" customFormat="1" ht="12.75" x14ac:dyDescent="0.2">
      <c r="J438" s="681"/>
    </row>
    <row r="439" spans="10:10" s="675" customFormat="1" ht="12.75" x14ac:dyDescent="0.2">
      <c r="J439" s="681"/>
    </row>
    <row r="440" spans="10:10" s="675" customFormat="1" ht="12.75" x14ac:dyDescent="0.2">
      <c r="J440" s="681"/>
    </row>
    <row r="441" spans="10:10" s="675" customFormat="1" ht="12.75" x14ac:dyDescent="0.2">
      <c r="J441" s="681"/>
    </row>
    <row r="442" spans="10:10" s="675" customFormat="1" ht="12.75" x14ac:dyDescent="0.2">
      <c r="J442" s="681"/>
    </row>
    <row r="443" spans="10:10" s="675" customFormat="1" ht="12.75" x14ac:dyDescent="0.2">
      <c r="J443" s="681"/>
    </row>
    <row r="444" spans="10:10" s="675" customFormat="1" ht="12.75" x14ac:dyDescent="0.2">
      <c r="J444" s="681"/>
    </row>
    <row r="445" spans="10:10" s="675" customFormat="1" ht="12.75" x14ac:dyDescent="0.2">
      <c r="J445" s="681"/>
    </row>
    <row r="446" spans="10:10" s="675" customFormat="1" ht="12.75" x14ac:dyDescent="0.2">
      <c r="J446" s="681"/>
    </row>
    <row r="447" spans="10:10" s="675" customFormat="1" ht="12.75" x14ac:dyDescent="0.2">
      <c r="J447" s="681"/>
    </row>
    <row r="448" spans="10:10" s="675" customFormat="1" ht="12.75" x14ac:dyDescent="0.2">
      <c r="J448" s="681"/>
    </row>
    <row r="449" spans="10:10" s="675" customFormat="1" ht="12.75" x14ac:dyDescent="0.2">
      <c r="J449" s="681"/>
    </row>
    <row r="450" spans="10:10" s="675" customFormat="1" ht="12.75" x14ac:dyDescent="0.2">
      <c r="J450" s="681"/>
    </row>
    <row r="451" spans="10:10" s="675" customFormat="1" ht="12.75" x14ac:dyDescent="0.2">
      <c r="J451" s="681"/>
    </row>
    <row r="452" spans="10:10" s="675" customFormat="1" ht="12.75" x14ac:dyDescent="0.2">
      <c r="J452" s="681"/>
    </row>
    <row r="453" spans="10:10" s="675" customFormat="1" ht="12.75" x14ac:dyDescent="0.2">
      <c r="J453" s="681"/>
    </row>
    <row r="454" spans="10:10" s="675" customFormat="1" ht="12.75" x14ac:dyDescent="0.2">
      <c r="J454" s="681"/>
    </row>
    <row r="455" spans="10:10" s="675" customFormat="1" ht="12.75" x14ac:dyDescent="0.2">
      <c r="J455" s="681"/>
    </row>
    <row r="456" spans="10:10" s="675" customFormat="1" ht="12.75" x14ac:dyDescent="0.2">
      <c r="J456" s="681"/>
    </row>
    <row r="457" spans="10:10" s="675" customFormat="1" ht="12.75" x14ac:dyDescent="0.2">
      <c r="J457" s="681"/>
    </row>
    <row r="458" spans="10:10" s="675" customFormat="1" ht="12.75" x14ac:dyDescent="0.2">
      <c r="J458" s="681"/>
    </row>
    <row r="459" spans="10:10" s="675" customFormat="1" ht="12.75" x14ac:dyDescent="0.2">
      <c r="J459" s="681"/>
    </row>
    <row r="460" spans="10:10" s="675" customFormat="1" ht="12.75" x14ac:dyDescent="0.2">
      <c r="J460" s="681"/>
    </row>
    <row r="461" spans="10:10" s="675" customFormat="1" ht="12.75" x14ac:dyDescent="0.2">
      <c r="J461" s="681"/>
    </row>
    <row r="462" spans="10:10" s="675" customFormat="1" ht="12.75" x14ac:dyDescent="0.2">
      <c r="J462" s="681"/>
    </row>
    <row r="463" spans="10:10" s="675" customFormat="1" ht="12.75" x14ac:dyDescent="0.2">
      <c r="J463" s="681"/>
    </row>
    <row r="464" spans="10:10" s="675" customFormat="1" ht="12.75" x14ac:dyDescent="0.2">
      <c r="J464" s="681"/>
    </row>
    <row r="465" spans="10:10" s="675" customFormat="1" ht="12.75" x14ac:dyDescent="0.2">
      <c r="J465" s="681"/>
    </row>
    <row r="466" spans="10:10" s="675" customFormat="1" ht="12.75" x14ac:dyDescent="0.2">
      <c r="J466" s="681"/>
    </row>
    <row r="467" spans="10:10" s="675" customFormat="1" ht="12.75" x14ac:dyDescent="0.2">
      <c r="J467" s="681"/>
    </row>
    <row r="468" spans="10:10" s="675" customFormat="1" ht="12.75" x14ac:dyDescent="0.2">
      <c r="J468" s="681"/>
    </row>
    <row r="469" spans="10:10" s="675" customFormat="1" ht="12.75" x14ac:dyDescent="0.2">
      <c r="J469" s="681"/>
    </row>
    <row r="470" spans="10:10" s="675" customFormat="1" ht="12.75" x14ac:dyDescent="0.2">
      <c r="J470" s="681"/>
    </row>
    <row r="471" spans="10:10" s="675" customFormat="1" ht="12.75" x14ac:dyDescent="0.2">
      <c r="J471" s="681"/>
    </row>
    <row r="472" spans="10:10" s="675" customFormat="1" ht="12.75" x14ac:dyDescent="0.2">
      <c r="J472" s="681"/>
    </row>
    <row r="473" spans="10:10" s="675" customFormat="1" ht="12.75" x14ac:dyDescent="0.2">
      <c r="J473" s="681"/>
    </row>
    <row r="474" spans="10:10" s="675" customFormat="1" ht="12.75" x14ac:dyDescent="0.2">
      <c r="J474" s="681"/>
    </row>
    <row r="475" spans="10:10" s="675" customFormat="1" ht="12.75" x14ac:dyDescent="0.2">
      <c r="J475" s="681"/>
    </row>
    <row r="476" spans="10:10" s="675" customFormat="1" ht="12.75" x14ac:dyDescent="0.2">
      <c r="J476" s="681"/>
    </row>
    <row r="477" spans="10:10" s="675" customFormat="1" ht="12.75" x14ac:dyDescent="0.2">
      <c r="J477" s="681"/>
    </row>
    <row r="478" spans="10:10" s="675" customFormat="1" ht="12.75" x14ac:dyDescent="0.2">
      <c r="J478" s="681"/>
    </row>
    <row r="479" spans="10:10" s="675" customFormat="1" ht="12.75" x14ac:dyDescent="0.2">
      <c r="J479" s="681"/>
    </row>
    <row r="480" spans="10:10" s="675" customFormat="1" ht="12.75" x14ac:dyDescent="0.2">
      <c r="J480" s="681"/>
    </row>
    <row r="481" spans="10:10" s="675" customFormat="1" ht="12.75" x14ac:dyDescent="0.2">
      <c r="J481" s="681"/>
    </row>
    <row r="482" spans="10:10" s="675" customFormat="1" ht="12.75" x14ac:dyDescent="0.2">
      <c r="J482" s="681"/>
    </row>
    <row r="483" spans="10:10" s="675" customFormat="1" ht="12.75" x14ac:dyDescent="0.2">
      <c r="J483" s="681"/>
    </row>
    <row r="484" spans="10:10" s="675" customFormat="1" ht="12.75" x14ac:dyDescent="0.2">
      <c r="J484" s="681"/>
    </row>
    <row r="485" spans="10:10" s="675" customFormat="1" ht="12.75" x14ac:dyDescent="0.2">
      <c r="J485" s="681"/>
    </row>
    <row r="486" spans="10:10" s="675" customFormat="1" ht="12.75" x14ac:dyDescent="0.2">
      <c r="J486" s="681"/>
    </row>
    <row r="487" spans="10:10" s="675" customFormat="1" ht="12.75" x14ac:dyDescent="0.2">
      <c r="J487" s="681"/>
    </row>
    <row r="488" spans="10:10" s="675" customFormat="1" ht="12.75" x14ac:dyDescent="0.2">
      <c r="J488" s="681"/>
    </row>
    <row r="489" spans="10:10" s="675" customFormat="1" ht="12.75" x14ac:dyDescent="0.2">
      <c r="J489" s="681"/>
    </row>
    <row r="490" spans="10:10" s="675" customFormat="1" ht="12.75" x14ac:dyDescent="0.2">
      <c r="J490" s="681"/>
    </row>
    <row r="491" spans="10:10" s="675" customFormat="1" ht="12.75" x14ac:dyDescent="0.2">
      <c r="J491" s="681"/>
    </row>
    <row r="492" spans="10:10" s="675" customFormat="1" ht="12.75" x14ac:dyDescent="0.2">
      <c r="J492" s="681"/>
    </row>
    <row r="493" spans="10:10" s="675" customFormat="1" ht="12.75" x14ac:dyDescent="0.2">
      <c r="J493" s="681"/>
    </row>
    <row r="494" spans="10:10" s="675" customFormat="1" ht="12.75" x14ac:dyDescent="0.2">
      <c r="J494" s="681"/>
    </row>
    <row r="495" spans="10:10" s="675" customFormat="1" ht="12.75" x14ac:dyDescent="0.2">
      <c r="J495" s="681"/>
    </row>
    <row r="496" spans="10:10" s="675" customFormat="1" ht="12.75" x14ac:dyDescent="0.2">
      <c r="J496" s="681"/>
    </row>
    <row r="497" spans="10:10" s="675" customFormat="1" ht="12.75" x14ac:dyDescent="0.2">
      <c r="J497" s="681"/>
    </row>
    <row r="498" spans="10:10" s="675" customFormat="1" ht="12.75" x14ac:dyDescent="0.2">
      <c r="J498" s="681"/>
    </row>
    <row r="499" spans="10:10" s="675" customFormat="1" ht="12.75" x14ac:dyDescent="0.2">
      <c r="J499" s="681"/>
    </row>
    <row r="500" spans="10:10" s="675" customFormat="1" ht="12.75" x14ac:dyDescent="0.2">
      <c r="J500" s="681"/>
    </row>
    <row r="501" spans="10:10" s="675" customFormat="1" ht="12.75" x14ac:dyDescent="0.2">
      <c r="J501" s="681"/>
    </row>
    <row r="502" spans="10:10" s="675" customFormat="1" ht="12.75" x14ac:dyDescent="0.2">
      <c r="J502" s="681"/>
    </row>
    <row r="503" spans="10:10" s="675" customFormat="1" ht="12.75" x14ac:dyDescent="0.2">
      <c r="J503" s="681"/>
    </row>
    <row r="504" spans="10:10" s="675" customFormat="1" ht="12.75" x14ac:dyDescent="0.2">
      <c r="J504" s="681"/>
    </row>
    <row r="505" spans="10:10" s="675" customFormat="1" ht="12.75" x14ac:dyDescent="0.2">
      <c r="J505" s="681"/>
    </row>
    <row r="506" spans="10:10" s="675" customFormat="1" ht="12.75" x14ac:dyDescent="0.2">
      <c r="J506" s="681"/>
    </row>
    <row r="507" spans="10:10" s="675" customFormat="1" ht="12.75" x14ac:dyDescent="0.2">
      <c r="J507" s="681"/>
    </row>
    <row r="508" spans="10:10" s="675" customFormat="1" ht="12.75" x14ac:dyDescent="0.2">
      <c r="J508" s="681"/>
    </row>
    <row r="509" spans="10:10" s="675" customFormat="1" ht="12.75" x14ac:dyDescent="0.2">
      <c r="J509" s="681"/>
    </row>
    <row r="510" spans="10:10" s="675" customFormat="1" ht="12.75" x14ac:dyDescent="0.2">
      <c r="J510" s="681"/>
    </row>
    <row r="511" spans="10:10" s="675" customFormat="1" ht="12.75" x14ac:dyDescent="0.2">
      <c r="J511" s="681"/>
    </row>
    <row r="512" spans="10:10" s="675" customFormat="1" ht="12.75" x14ac:dyDescent="0.2">
      <c r="J512" s="681"/>
    </row>
    <row r="513" spans="10:10" s="675" customFormat="1" ht="12.75" x14ac:dyDescent="0.2">
      <c r="J513" s="681"/>
    </row>
    <row r="514" spans="10:10" s="675" customFormat="1" ht="12.75" x14ac:dyDescent="0.2">
      <c r="J514" s="681"/>
    </row>
    <row r="515" spans="10:10" s="675" customFormat="1" ht="12.75" x14ac:dyDescent="0.2">
      <c r="J515" s="681"/>
    </row>
    <row r="516" spans="10:10" s="675" customFormat="1" ht="12.75" x14ac:dyDescent="0.2">
      <c r="J516" s="681"/>
    </row>
    <row r="517" spans="10:10" s="675" customFormat="1" ht="12.75" x14ac:dyDescent="0.2">
      <c r="J517" s="681"/>
    </row>
    <row r="518" spans="10:10" s="675" customFormat="1" ht="12.75" x14ac:dyDescent="0.2">
      <c r="J518" s="681"/>
    </row>
    <row r="519" spans="10:10" s="675" customFormat="1" ht="12.75" x14ac:dyDescent="0.2">
      <c r="J519" s="681"/>
    </row>
    <row r="520" spans="10:10" s="675" customFormat="1" ht="12.75" x14ac:dyDescent="0.2">
      <c r="J520" s="681"/>
    </row>
    <row r="521" spans="10:10" s="675" customFormat="1" ht="12.75" x14ac:dyDescent="0.2">
      <c r="J521" s="681"/>
    </row>
    <row r="522" spans="10:10" s="675" customFormat="1" ht="12.75" x14ac:dyDescent="0.2">
      <c r="J522" s="681"/>
    </row>
    <row r="523" spans="10:10" s="675" customFormat="1" ht="12.75" x14ac:dyDescent="0.2">
      <c r="J523" s="681"/>
    </row>
    <row r="524" spans="10:10" s="675" customFormat="1" ht="12.75" x14ac:dyDescent="0.2">
      <c r="J524" s="681"/>
    </row>
    <row r="525" spans="10:10" s="675" customFormat="1" ht="12.75" x14ac:dyDescent="0.2">
      <c r="J525" s="681"/>
    </row>
    <row r="526" spans="10:10" s="675" customFormat="1" ht="12.75" x14ac:dyDescent="0.2">
      <c r="J526" s="681"/>
    </row>
    <row r="527" spans="10:10" s="675" customFormat="1" ht="12.75" x14ac:dyDescent="0.2">
      <c r="J527" s="681"/>
    </row>
    <row r="528" spans="10:10" s="675" customFormat="1" ht="12.75" x14ac:dyDescent="0.2">
      <c r="J528" s="681"/>
    </row>
    <row r="529" spans="10:10" s="675" customFormat="1" ht="12.75" x14ac:dyDescent="0.2">
      <c r="J529" s="681"/>
    </row>
    <row r="530" spans="10:10" s="675" customFormat="1" ht="12.75" x14ac:dyDescent="0.2">
      <c r="J530" s="681"/>
    </row>
    <row r="531" spans="10:10" s="675" customFormat="1" ht="12.75" x14ac:dyDescent="0.2">
      <c r="J531" s="681"/>
    </row>
    <row r="532" spans="10:10" s="675" customFormat="1" ht="12.75" x14ac:dyDescent="0.2">
      <c r="J532" s="681"/>
    </row>
    <row r="533" spans="10:10" s="675" customFormat="1" ht="12.75" x14ac:dyDescent="0.2">
      <c r="J533" s="681"/>
    </row>
    <row r="534" spans="10:10" s="675" customFormat="1" ht="12.75" x14ac:dyDescent="0.2">
      <c r="J534" s="681"/>
    </row>
    <row r="535" spans="10:10" s="675" customFormat="1" ht="12.75" x14ac:dyDescent="0.2">
      <c r="J535" s="681"/>
    </row>
    <row r="536" spans="10:10" s="675" customFormat="1" ht="12.75" x14ac:dyDescent="0.2">
      <c r="J536" s="681"/>
    </row>
    <row r="537" spans="10:10" s="675" customFormat="1" ht="12.75" x14ac:dyDescent="0.2">
      <c r="J537" s="681"/>
    </row>
    <row r="538" spans="10:10" s="675" customFormat="1" ht="12.75" x14ac:dyDescent="0.2">
      <c r="J538" s="681"/>
    </row>
    <row r="539" spans="10:10" s="675" customFormat="1" ht="12.75" x14ac:dyDescent="0.2">
      <c r="J539" s="681"/>
    </row>
    <row r="540" spans="10:10" s="675" customFormat="1" ht="12.75" x14ac:dyDescent="0.2">
      <c r="J540" s="681"/>
    </row>
    <row r="541" spans="10:10" s="675" customFormat="1" ht="12.75" x14ac:dyDescent="0.2">
      <c r="J541" s="681"/>
    </row>
    <row r="542" spans="10:10" s="675" customFormat="1" ht="12.75" x14ac:dyDescent="0.2">
      <c r="J542" s="681"/>
    </row>
    <row r="543" spans="10:10" s="675" customFormat="1" ht="12.75" x14ac:dyDescent="0.2">
      <c r="J543" s="681"/>
    </row>
    <row r="544" spans="10:10" s="675" customFormat="1" ht="12.75" x14ac:dyDescent="0.2">
      <c r="J544" s="681"/>
    </row>
    <row r="545" spans="10:10" s="675" customFormat="1" ht="12.75" x14ac:dyDescent="0.2">
      <c r="J545" s="681"/>
    </row>
    <row r="546" spans="10:10" s="675" customFormat="1" ht="12.75" x14ac:dyDescent="0.2">
      <c r="J546" s="681"/>
    </row>
    <row r="547" spans="10:10" s="675" customFormat="1" ht="12.75" x14ac:dyDescent="0.2">
      <c r="J547" s="681"/>
    </row>
    <row r="548" spans="10:10" s="675" customFormat="1" ht="12.75" x14ac:dyDescent="0.2">
      <c r="J548" s="681"/>
    </row>
    <row r="549" spans="10:10" s="675" customFormat="1" ht="12.75" x14ac:dyDescent="0.2">
      <c r="J549" s="681"/>
    </row>
    <row r="550" spans="10:10" s="675" customFormat="1" ht="12.75" x14ac:dyDescent="0.2">
      <c r="J550" s="681"/>
    </row>
    <row r="551" spans="10:10" s="675" customFormat="1" ht="12.75" x14ac:dyDescent="0.2">
      <c r="J551" s="681"/>
    </row>
    <row r="552" spans="10:10" s="675" customFormat="1" ht="12.75" x14ac:dyDescent="0.2">
      <c r="J552" s="681"/>
    </row>
    <row r="553" spans="10:10" s="675" customFormat="1" ht="12.75" x14ac:dyDescent="0.2">
      <c r="J553" s="681"/>
    </row>
    <row r="554" spans="10:10" s="675" customFormat="1" ht="12.75" x14ac:dyDescent="0.2">
      <c r="J554" s="681"/>
    </row>
    <row r="555" spans="10:10" s="675" customFormat="1" ht="12.75" x14ac:dyDescent="0.2">
      <c r="J555" s="681"/>
    </row>
    <row r="556" spans="10:10" s="675" customFormat="1" ht="12.75" x14ac:dyDescent="0.2">
      <c r="J556" s="681"/>
    </row>
    <row r="557" spans="10:10" s="675" customFormat="1" ht="12.75" x14ac:dyDescent="0.2">
      <c r="J557" s="681"/>
    </row>
    <row r="558" spans="10:10" s="675" customFormat="1" ht="12.75" x14ac:dyDescent="0.2">
      <c r="J558" s="681"/>
    </row>
    <row r="559" spans="10:10" s="675" customFormat="1" ht="12.75" x14ac:dyDescent="0.2">
      <c r="J559" s="681"/>
    </row>
    <row r="560" spans="10:10" s="675" customFormat="1" ht="12.75" x14ac:dyDescent="0.2">
      <c r="J560" s="681"/>
    </row>
    <row r="561" spans="10:10" s="675" customFormat="1" ht="12.75" x14ac:dyDescent="0.2">
      <c r="J561" s="681"/>
    </row>
    <row r="562" spans="10:10" s="675" customFormat="1" ht="12.75" x14ac:dyDescent="0.2">
      <c r="J562" s="681"/>
    </row>
    <row r="563" spans="10:10" s="675" customFormat="1" ht="12.75" x14ac:dyDescent="0.2">
      <c r="J563" s="681"/>
    </row>
    <row r="564" spans="10:10" s="675" customFormat="1" ht="12.75" x14ac:dyDescent="0.2">
      <c r="J564" s="681"/>
    </row>
    <row r="565" spans="10:10" s="675" customFormat="1" ht="12.75" x14ac:dyDescent="0.2">
      <c r="J565" s="681"/>
    </row>
    <row r="566" spans="10:10" s="675" customFormat="1" ht="12.75" x14ac:dyDescent="0.2">
      <c r="J566" s="681"/>
    </row>
    <row r="567" spans="10:10" s="675" customFormat="1" ht="12.75" x14ac:dyDescent="0.2">
      <c r="J567" s="681"/>
    </row>
    <row r="568" spans="10:10" s="675" customFormat="1" ht="12.75" x14ac:dyDescent="0.2">
      <c r="J568" s="681"/>
    </row>
    <row r="569" spans="10:10" s="675" customFormat="1" ht="12.75" x14ac:dyDescent="0.2">
      <c r="J569" s="681"/>
    </row>
    <row r="570" spans="10:10" s="675" customFormat="1" ht="12.75" x14ac:dyDescent="0.2">
      <c r="J570" s="681"/>
    </row>
    <row r="571" spans="10:10" s="675" customFormat="1" ht="12.75" x14ac:dyDescent="0.2">
      <c r="J571" s="681"/>
    </row>
    <row r="572" spans="10:10" s="675" customFormat="1" ht="12.75" x14ac:dyDescent="0.2">
      <c r="J572" s="681"/>
    </row>
    <row r="573" spans="10:10" s="675" customFormat="1" ht="12.75" x14ac:dyDescent="0.2">
      <c r="J573" s="681"/>
    </row>
    <row r="574" spans="10:10" s="675" customFormat="1" ht="12.75" x14ac:dyDescent="0.2">
      <c r="J574" s="681"/>
    </row>
    <row r="575" spans="10:10" s="675" customFormat="1" ht="12.75" x14ac:dyDescent="0.2">
      <c r="J575" s="681"/>
    </row>
    <row r="576" spans="10:10" s="675" customFormat="1" ht="12.75" x14ac:dyDescent="0.2">
      <c r="J576" s="681"/>
    </row>
    <row r="577" spans="10:10" s="675" customFormat="1" ht="12.75" x14ac:dyDescent="0.2">
      <c r="J577" s="681"/>
    </row>
    <row r="578" spans="10:10" s="675" customFormat="1" ht="12.75" x14ac:dyDescent="0.2">
      <c r="J578" s="681"/>
    </row>
    <row r="579" spans="10:10" s="675" customFormat="1" ht="12.75" x14ac:dyDescent="0.2">
      <c r="J579" s="681"/>
    </row>
    <row r="580" spans="10:10" s="675" customFormat="1" ht="12.75" x14ac:dyDescent="0.2">
      <c r="J580" s="681"/>
    </row>
    <row r="581" spans="10:10" s="675" customFormat="1" ht="12.75" x14ac:dyDescent="0.2">
      <c r="J581" s="681"/>
    </row>
    <row r="582" spans="10:10" s="675" customFormat="1" ht="12.75" x14ac:dyDescent="0.2">
      <c r="J582" s="681"/>
    </row>
    <row r="583" spans="10:10" s="675" customFormat="1" ht="12.75" x14ac:dyDescent="0.2">
      <c r="J583" s="681"/>
    </row>
    <row r="584" spans="10:10" s="675" customFormat="1" ht="12.75" x14ac:dyDescent="0.2">
      <c r="J584" s="681"/>
    </row>
    <row r="585" spans="10:10" s="675" customFormat="1" ht="12.75" x14ac:dyDescent="0.2">
      <c r="J585" s="681"/>
    </row>
    <row r="586" spans="10:10" s="675" customFormat="1" ht="12.75" x14ac:dyDescent="0.2">
      <c r="J586" s="681"/>
    </row>
    <row r="587" spans="10:10" s="675" customFormat="1" ht="12.75" x14ac:dyDescent="0.2">
      <c r="J587" s="681"/>
    </row>
    <row r="588" spans="10:10" s="675" customFormat="1" ht="12.75" x14ac:dyDescent="0.2">
      <c r="J588" s="681"/>
    </row>
    <row r="589" spans="10:10" s="675" customFormat="1" ht="12.75" x14ac:dyDescent="0.2">
      <c r="J589" s="681"/>
    </row>
    <row r="590" spans="10:10" s="675" customFormat="1" ht="12.75" x14ac:dyDescent="0.2">
      <c r="J590" s="681"/>
    </row>
    <row r="591" spans="10:10" s="675" customFormat="1" ht="12.75" x14ac:dyDescent="0.2">
      <c r="J591" s="681"/>
    </row>
    <row r="592" spans="10:10" s="675" customFormat="1" ht="12.75" x14ac:dyDescent="0.2">
      <c r="J592" s="681"/>
    </row>
    <row r="593" spans="10:10" s="675" customFormat="1" ht="12.75" x14ac:dyDescent="0.2">
      <c r="J593" s="681"/>
    </row>
    <row r="594" spans="10:10" s="675" customFormat="1" ht="12.75" x14ac:dyDescent="0.2">
      <c r="J594" s="681"/>
    </row>
    <row r="595" spans="10:10" s="675" customFormat="1" ht="12.75" x14ac:dyDescent="0.2">
      <c r="J595" s="681"/>
    </row>
    <row r="596" spans="10:10" s="675" customFormat="1" ht="12.75" x14ac:dyDescent="0.2">
      <c r="J596" s="681"/>
    </row>
    <row r="597" spans="10:10" s="675" customFormat="1" ht="12.75" x14ac:dyDescent="0.2">
      <c r="J597" s="681"/>
    </row>
    <row r="598" spans="10:10" s="675" customFormat="1" ht="12.75" x14ac:dyDescent="0.2">
      <c r="J598" s="681"/>
    </row>
    <row r="599" spans="10:10" s="675" customFormat="1" ht="12.75" x14ac:dyDescent="0.2">
      <c r="J599" s="681"/>
    </row>
    <row r="600" spans="10:10" s="675" customFormat="1" ht="12.75" x14ac:dyDescent="0.2">
      <c r="J600" s="681"/>
    </row>
    <row r="601" spans="10:10" s="675" customFormat="1" ht="12.75" x14ac:dyDescent="0.2">
      <c r="J601" s="681"/>
    </row>
    <row r="602" spans="10:10" s="675" customFormat="1" ht="12.75" x14ac:dyDescent="0.2">
      <c r="J602" s="681"/>
    </row>
    <row r="603" spans="10:10" s="675" customFormat="1" ht="12.75" x14ac:dyDescent="0.2">
      <c r="J603" s="681"/>
    </row>
    <row r="604" spans="10:10" s="675" customFormat="1" ht="12.75" x14ac:dyDescent="0.2">
      <c r="J604" s="681"/>
    </row>
    <row r="605" spans="10:10" s="675" customFormat="1" ht="12.75" x14ac:dyDescent="0.2">
      <c r="J605" s="681"/>
    </row>
    <row r="606" spans="10:10" s="675" customFormat="1" ht="12.75" x14ac:dyDescent="0.2">
      <c r="J606" s="681"/>
    </row>
    <row r="607" spans="10:10" s="675" customFormat="1" ht="12.75" x14ac:dyDescent="0.2">
      <c r="J607" s="681"/>
    </row>
    <row r="608" spans="10:10" s="675" customFormat="1" ht="12.75" x14ac:dyDescent="0.2">
      <c r="J608" s="681"/>
    </row>
    <row r="609" spans="10:10" s="675" customFormat="1" ht="12.75" x14ac:dyDescent="0.2">
      <c r="J609" s="681"/>
    </row>
    <row r="610" spans="10:10" s="675" customFormat="1" ht="12.75" x14ac:dyDescent="0.2">
      <c r="J610" s="681"/>
    </row>
    <row r="611" spans="10:10" s="675" customFormat="1" ht="12.75" x14ac:dyDescent="0.2">
      <c r="J611" s="681"/>
    </row>
    <row r="612" spans="10:10" s="675" customFormat="1" ht="12.75" x14ac:dyDescent="0.2">
      <c r="J612" s="681"/>
    </row>
    <row r="613" spans="10:10" s="675" customFormat="1" ht="12.75" x14ac:dyDescent="0.2">
      <c r="J613" s="681"/>
    </row>
    <row r="614" spans="10:10" s="675" customFormat="1" ht="12.75" x14ac:dyDescent="0.2">
      <c r="J614" s="681"/>
    </row>
    <row r="615" spans="10:10" s="675" customFormat="1" ht="12.75" x14ac:dyDescent="0.2">
      <c r="J615" s="681"/>
    </row>
    <row r="616" spans="10:10" s="675" customFormat="1" ht="12.75" x14ac:dyDescent="0.2">
      <c r="J616" s="681"/>
    </row>
    <row r="617" spans="10:10" s="675" customFormat="1" ht="12.75" x14ac:dyDescent="0.2">
      <c r="J617" s="681"/>
    </row>
    <row r="618" spans="10:10" s="675" customFormat="1" ht="12.75" x14ac:dyDescent="0.2">
      <c r="J618" s="681"/>
    </row>
    <row r="619" spans="10:10" s="675" customFormat="1" ht="12.75" x14ac:dyDescent="0.2">
      <c r="J619" s="681"/>
    </row>
    <row r="620" spans="10:10" s="675" customFormat="1" ht="12.75" x14ac:dyDescent="0.2">
      <c r="J620" s="681"/>
    </row>
    <row r="621" spans="10:10" s="675" customFormat="1" ht="12.75" x14ac:dyDescent="0.2">
      <c r="J621" s="681"/>
    </row>
    <row r="622" spans="10:10" s="675" customFormat="1" ht="12.75" x14ac:dyDescent="0.2">
      <c r="J622" s="681"/>
    </row>
    <row r="623" spans="10:10" s="675" customFormat="1" ht="12.75" x14ac:dyDescent="0.2">
      <c r="J623" s="681"/>
    </row>
    <row r="624" spans="10:10" s="675" customFormat="1" ht="12.75" x14ac:dyDescent="0.2">
      <c r="J624" s="681"/>
    </row>
    <row r="625" spans="10:10" s="675" customFormat="1" ht="12.75" x14ac:dyDescent="0.2">
      <c r="J625" s="681"/>
    </row>
    <row r="626" spans="10:10" s="675" customFormat="1" ht="12.75" x14ac:dyDescent="0.2">
      <c r="J626" s="681"/>
    </row>
    <row r="627" spans="10:10" s="675" customFormat="1" ht="12.75" x14ac:dyDescent="0.2">
      <c r="J627" s="681"/>
    </row>
    <row r="628" spans="10:10" s="675" customFormat="1" ht="12.75" x14ac:dyDescent="0.2">
      <c r="J628" s="681"/>
    </row>
    <row r="629" spans="10:10" s="675" customFormat="1" ht="12.75" x14ac:dyDescent="0.2">
      <c r="J629" s="681"/>
    </row>
    <row r="630" spans="10:10" s="675" customFormat="1" ht="12.75" x14ac:dyDescent="0.2">
      <c r="J630" s="681"/>
    </row>
    <row r="631" spans="10:10" s="675" customFormat="1" ht="12.75" x14ac:dyDescent="0.2">
      <c r="J631" s="681"/>
    </row>
    <row r="632" spans="10:10" s="675" customFormat="1" ht="12.75" x14ac:dyDescent="0.2">
      <c r="J632" s="681"/>
    </row>
    <row r="633" spans="10:10" s="675" customFormat="1" ht="12.75" x14ac:dyDescent="0.2">
      <c r="J633" s="681"/>
    </row>
    <row r="634" spans="10:10" s="675" customFormat="1" ht="12.75" x14ac:dyDescent="0.2">
      <c r="J634" s="681"/>
    </row>
    <row r="635" spans="10:10" s="675" customFormat="1" ht="12.75" x14ac:dyDescent="0.2">
      <c r="J635" s="681"/>
    </row>
    <row r="636" spans="10:10" s="675" customFormat="1" ht="12.75" x14ac:dyDescent="0.2">
      <c r="J636" s="681"/>
    </row>
    <row r="637" spans="10:10" s="675" customFormat="1" ht="12.75" x14ac:dyDescent="0.2">
      <c r="J637" s="681"/>
    </row>
    <row r="638" spans="10:10" s="675" customFormat="1" ht="12.75" x14ac:dyDescent="0.2">
      <c r="J638" s="681"/>
    </row>
    <row r="639" spans="10:10" s="675" customFormat="1" ht="12.75" x14ac:dyDescent="0.2">
      <c r="J639" s="681"/>
    </row>
    <row r="640" spans="10:10" s="675" customFormat="1" ht="12.75" x14ac:dyDescent="0.2">
      <c r="J640" s="681"/>
    </row>
    <row r="641" spans="10:10" s="675" customFormat="1" ht="12.75" x14ac:dyDescent="0.2">
      <c r="J641" s="681"/>
    </row>
    <row r="642" spans="10:10" s="675" customFormat="1" ht="12.75" x14ac:dyDescent="0.2">
      <c r="J642" s="681"/>
    </row>
    <row r="643" spans="10:10" s="675" customFormat="1" ht="12.75" x14ac:dyDescent="0.2">
      <c r="J643" s="681"/>
    </row>
    <row r="644" spans="10:10" s="675" customFormat="1" ht="12.75" x14ac:dyDescent="0.2">
      <c r="J644" s="681"/>
    </row>
    <row r="645" spans="10:10" s="675" customFormat="1" ht="12.75" x14ac:dyDescent="0.2">
      <c r="J645" s="681"/>
    </row>
    <row r="646" spans="10:10" s="675" customFormat="1" ht="12.75" x14ac:dyDescent="0.2">
      <c r="J646" s="681"/>
    </row>
    <row r="647" spans="10:10" s="675" customFormat="1" ht="12.75" x14ac:dyDescent="0.2">
      <c r="J647" s="681"/>
    </row>
    <row r="648" spans="10:10" s="675" customFormat="1" ht="12.75" x14ac:dyDescent="0.2">
      <c r="J648" s="681"/>
    </row>
    <row r="649" spans="10:10" s="675" customFormat="1" ht="12.75" x14ac:dyDescent="0.2">
      <c r="J649" s="681"/>
    </row>
    <row r="650" spans="10:10" s="675" customFormat="1" ht="12.75" x14ac:dyDescent="0.2">
      <c r="J650" s="681"/>
    </row>
    <row r="651" spans="10:10" s="675" customFormat="1" ht="12.75" x14ac:dyDescent="0.2">
      <c r="J651" s="681"/>
    </row>
    <row r="652" spans="10:10" s="675" customFormat="1" ht="12.75" x14ac:dyDescent="0.2">
      <c r="J652" s="681"/>
    </row>
    <row r="653" spans="10:10" s="675" customFormat="1" ht="12.75" x14ac:dyDescent="0.2">
      <c r="J653" s="681"/>
    </row>
    <row r="654" spans="10:10" s="675" customFormat="1" ht="12.75" x14ac:dyDescent="0.2">
      <c r="J654" s="681"/>
    </row>
    <row r="655" spans="10:10" s="675" customFormat="1" ht="12.75" x14ac:dyDescent="0.2">
      <c r="J655" s="681"/>
    </row>
    <row r="656" spans="10:10" s="675" customFormat="1" ht="12.75" x14ac:dyDescent="0.2">
      <c r="J656" s="681"/>
    </row>
    <row r="657" spans="10:10" s="675" customFormat="1" ht="12.75" x14ac:dyDescent="0.2">
      <c r="J657" s="681"/>
    </row>
    <row r="658" spans="10:10" s="675" customFormat="1" ht="12.75" x14ac:dyDescent="0.2">
      <c r="J658" s="681"/>
    </row>
    <row r="659" spans="10:10" s="675" customFormat="1" ht="12.75" x14ac:dyDescent="0.2">
      <c r="J659" s="681"/>
    </row>
    <row r="660" spans="10:10" s="675" customFormat="1" ht="12.75" x14ac:dyDescent="0.2">
      <c r="J660" s="681"/>
    </row>
    <row r="661" spans="10:10" s="675" customFormat="1" ht="12.75" x14ac:dyDescent="0.2">
      <c r="J661" s="681"/>
    </row>
    <row r="662" spans="10:10" s="675" customFormat="1" ht="12.75" x14ac:dyDescent="0.2">
      <c r="J662" s="681"/>
    </row>
    <row r="663" spans="10:10" s="675" customFormat="1" ht="12.75" x14ac:dyDescent="0.2">
      <c r="J663" s="681"/>
    </row>
    <row r="664" spans="10:10" s="675" customFormat="1" ht="12.75" x14ac:dyDescent="0.2">
      <c r="J664" s="681"/>
    </row>
    <row r="665" spans="10:10" s="675" customFormat="1" ht="12.75" x14ac:dyDescent="0.2">
      <c r="J665" s="681"/>
    </row>
    <row r="666" spans="10:10" s="675" customFormat="1" ht="12.75" x14ac:dyDescent="0.2">
      <c r="J666" s="681"/>
    </row>
    <row r="667" spans="10:10" s="675" customFormat="1" ht="12.75" x14ac:dyDescent="0.2">
      <c r="J667" s="681"/>
    </row>
    <row r="668" spans="10:10" s="675" customFormat="1" ht="12.75" x14ac:dyDescent="0.2">
      <c r="J668" s="681"/>
    </row>
    <row r="669" spans="10:10" s="675" customFormat="1" ht="12.75" x14ac:dyDescent="0.2">
      <c r="J669" s="681"/>
    </row>
    <row r="670" spans="10:10" s="675" customFormat="1" ht="12.75" x14ac:dyDescent="0.2">
      <c r="J670" s="681"/>
    </row>
    <row r="671" spans="10:10" s="675" customFormat="1" ht="12.75" x14ac:dyDescent="0.2">
      <c r="J671" s="681"/>
    </row>
    <row r="672" spans="10:10" s="675" customFormat="1" ht="12.75" x14ac:dyDescent="0.2">
      <c r="J672" s="681"/>
    </row>
    <row r="673" spans="10:10" s="675" customFormat="1" ht="12.75" x14ac:dyDescent="0.2">
      <c r="J673" s="681"/>
    </row>
    <row r="674" spans="10:10" s="675" customFormat="1" ht="12.75" x14ac:dyDescent="0.2">
      <c r="J674" s="681"/>
    </row>
    <row r="675" spans="10:10" s="675" customFormat="1" ht="12.75" x14ac:dyDescent="0.2">
      <c r="J675" s="681"/>
    </row>
    <row r="676" spans="10:10" s="675" customFormat="1" ht="12.75" x14ac:dyDescent="0.2">
      <c r="J676" s="681"/>
    </row>
    <row r="677" spans="10:10" s="675" customFormat="1" ht="12.75" x14ac:dyDescent="0.2">
      <c r="J677" s="681"/>
    </row>
    <row r="678" spans="10:10" s="675" customFormat="1" ht="12.75" x14ac:dyDescent="0.2">
      <c r="J678" s="681"/>
    </row>
    <row r="679" spans="10:10" s="675" customFormat="1" ht="12.75" x14ac:dyDescent="0.2">
      <c r="J679" s="681"/>
    </row>
    <row r="680" spans="10:10" s="675" customFormat="1" ht="12.75" x14ac:dyDescent="0.2">
      <c r="J680" s="681"/>
    </row>
    <row r="681" spans="10:10" s="675" customFormat="1" ht="12.75" x14ac:dyDescent="0.2">
      <c r="J681" s="681"/>
    </row>
    <row r="682" spans="10:10" s="675" customFormat="1" ht="12.75" x14ac:dyDescent="0.2">
      <c r="J682" s="681"/>
    </row>
    <row r="683" spans="10:10" s="675" customFormat="1" ht="12.75" x14ac:dyDescent="0.2">
      <c r="J683" s="681"/>
    </row>
    <row r="684" spans="10:10" s="675" customFormat="1" ht="12.75" x14ac:dyDescent="0.2">
      <c r="J684" s="681"/>
    </row>
    <row r="685" spans="10:10" s="675" customFormat="1" ht="12.75" x14ac:dyDescent="0.2">
      <c r="J685" s="681"/>
    </row>
    <row r="686" spans="10:10" s="675" customFormat="1" ht="12.75" x14ac:dyDescent="0.2">
      <c r="J686" s="681"/>
    </row>
    <row r="687" spans="10:10" s="675" customFormat="1" ht="12.75" x14ac:dyDescent="0.2">
      <c r="J687" s="681"/>
    </row>
    <row r="688" spans="10:10" s="675" customFormat="1" ht="12.75" x14ac:dyDescent="0.2">
      <c r="J688" s="681"/>
    </row>
    <row r="689" spans="10:10" s="675" customFormat="1" ht="12.75" x14ac:dyDescent="0.2">
      <c r="J689" s="681"/>
    </row>
    <row r="690" spans="10:10" s="675" customFormat="1" ht="12.75" x14ac:dyDescent="0.2">
      <c r="J690" s="681"/>
    </row>
    <row r="691" spans="10:10" s="675" customFormat="1" ht="12.75" x14ac:dyDescent="0.2">
      <c r="J691" s="681"/>
    </row>
    <row r="692" spans="10:10" s="675" customFormat="1" ht="12.75" x14ac:dyDescent="0.2">
      <c r="J692" s="681"/>
    </row>
    <row r="693" spans="10:10" s="675" customFormat="1" ht="12.75" x14ac:dyDescent="0.2">
      <c r="J693" s="681"/>
    </row>
    <row r="694" spans="10:10" s="675" customFormat="1" ht="12.75" x14ac:dyDescent="0.2">
      <c r="J694" s="681"/>
    </row>
    <row r="695" spans="10:10" s="675" customFormat="1" ht="12.75" x14ac:dyDescent="0.2">
      <c r="J695" s="681"/>
    </row>
    <row r="696" spans="10:10" s="675" customFormat="1" ht="12.75" x14ac:dyDescent="0.2">
      <c r="J696" s="681"/>
    </row>
    <row r="697" spans="10:10" s="675" customFormat="1" ht="12.75" x14ac:dyDescent="0.2">
      <c r="J697" s="681"/>
    </row>
    <row r="698" spans="10:10" s="675" customFormat="1" ht="12.75" x14ac:dyDescent="0.2">
      <c r="J698" s="681"/>
    </row>
    <row r="699" spans="10:10" s="675" customFormat="1" ht="12.75" x14ac:dyDescent="0.2">
      <c r="J699" s="681"/>
    </row>
    <row r="700" spans="10:10" s="675" customFormat="1" ht="12.75" x14ac:dyDescent="0.2">
      <c r="J700" s="681"/>
    </row>
    <row r="701" spans="10:10" s="675" customFormat="1" ht="12.75" x14ac:dyDescent="0.2">
      <c r="J701" s="681"/>
    </row>
    <row r="702" spans="10:10" s="675" customFormat="1" ht="12.75" x14ac:dyDescent="0.2">
      <c r="J702" s="681"/>
    </row>
    <row r="703" spans="10:10" s="675" customFormat="1" ht="12.75" x14ac:dyDescent="0.2">
      <c r="J703" s="681"/>
    </row>
    <row r="704" spans="10:10" s="675" customFormat="1" ht="12.75" x14ac:dyDescent="0.2">
      <c r="J704" s="681"/>
    </row>
    <row r="705" spans="10:10" s="675" customFormat="1" ht="12.75" x14ac:dyDescent="0.2">
      <c r="J705" s="681"/>
    </row>
    <row r="706" spans="10:10" s="675" customFormat="1" ht="12.75" x14ac:dyDescent="0.2">
      <c r="J706" s="681"/>
    </row>
    <row r="707" spans="10:10" s="675" customFormat="1" ht="12.75" x14ac:dyDescent="0.2">
      <c r="J707" s="681"/>
    </row>
    <row r="708" spans="10:10" s="675" customFormat="1" ht="12.75" x14ac:dyDescent="0.2">
      <c r="J708" s="681"/>
    </row>
    <row r="709" spans="10:10" s="675" customFormat="1" ht="12.75" x14ac:dyDescent="0.2">
      <c r="J709" s="681"/>
    </row>
    <row r="710" spans="10:10" s="675" customFormat="1" ht="12.75" x14ac:dyDescent="0.2">
      <c r="J710" s="681"/>
    </row>
    <row r="711" spans="10:10" s="675" customFormat="1" ht="12.75" x14ac:dyDescent="0.2">
      <c r="J711" s="681"/>
    </row>
    <row r="712" spans="10:10" s="675" customFormat="1" ht="12.75" x14ac:dyDescent="0.2">
      <c r="J712" s="681"/>
    </row>
    <row r="713" spans="10:10" s="675" customFormat="1" ht="12.75" x14ac:dyDescent="0.2">
      <c r="J713" s="681"/>
    </row>
    <row r="714" spans="10:10" s="675" customFormat="1" ht="12.75" x14ac:dyDescent="0.2">
      <c r="J714" s="681"/>
    </row>
    <row r="715" spans="10:10" s="675" customFormat="1" ht="12.75" x14ac:dyDescent="0.2">
      <c r="J715" s="681"/>
    </row>
    <row r="716" spans="10:10" s="675" customFormat="1" ht="12.75" x14ac:dyDescent="0.2">
      <c r="J716" s="681"/>
    </row>
    <row r="717" spans="10:10" s="675" customFormat="1" ht="12.75" x14ac:dyDescent="0.2">
      <c r="J717" s="681"/>
    </row>
    <row r="718" spans="10:10" s="675" customFormat="1" ht="12.75" x14ac:dyDescent="0.2">
      <c r="J718" s="681"/>
    </row>
    <row r="719" spans="10:10" s="675" customFormat="1" ht="12.75" x14ac:dyDescent="0.2">
      <c r="J719" s="681"/>
    </row>
    <row r="720" spans="10:10" s="675" customFormat="1" ht="12.75" x14ac:dyDescent="0.2">
      <c r="J720" s="681"/>
    </row>
    <row r="721" spans="10:10" s="675" customFormat="1" ht="12.75" x14ac:dyDescent="0.2">
      <c r="J721" s="681"/>
    </row>
    <row r="722" spans="10:10" s="675" customFormat="1" ht="12.75" x14ac:dyDescent="0.2">
      <c r="J722" s="681"/>
    </row>
    <row r="723" spans="10:10" s="675" customFormat="1" ht="12.75" x14ac:dyDescent="0.2">
      <c r="J723" s="681"/>
    </row>
    <row r="724" spans="10:10" s="675" customFormat="1" ht="12.75" x14ac:dyDescent="0.2">
      <c r="J724" s="681"/>
    </row>
    <row r="725" spans="10:10" s="675" customFormat="1" ht="12.75" x14ac:dyDescent="0.2">
      <c r="J725" s="681"/>
    </row>
    <row r="726" spans="10:10" s="675" customFormat="1" ht="12.75" x14ac:dyDescent="0.2">
      <c r="J726" s="681"/>
    </row>
    <row r="727" spans="10:10" s="675" customFormat="1" ht="12.75" x14ac:dyDescent="0.2">
      <c r="J727" s="681"/>
    </row>
    <row r="728" spans="10:10" s="675" customFormat="1" ht="12.75" x14ac:dyDescent="0.2">
      <c r="J728" s="681"/>
    </row>
    <row r="729" spans="10:10" s="675" customFormat="1" ht="12.75" x14ac:dyDescent="0.2">
      <c r="J729" s="681"/>
    </row>
    <row r="730" spans="10:10" s="675" customFormat="1" ht="12.75" x14ac:dyDescent="0.2">
      <c r="J730" s="681"/>
    </row>
    <row r="731" spans="10:10" s="675" customFormat="1" ht="12.75" x14ac:dyDescent="0.2">
      <c r="J731" s="681"/>
    </row>
    <row r="732" spans="10:10" s="675" customFormat="1" ht="12.75" x14ac:dyDescent="0.2">
      <c r="J732" s="681"/>
    </row>
    <row r="733" spans="10:10" s="675" customFormat="1" ht="12.75" x14ac:dyDescent="0.2">
      <c r="J733" s="681"/>
    </row>
    <row r="734" spans="10:10" s="675" customFormat="1" ht="12.75" x14ac:dyDescent="0.2">
      <c r="J734" s="681"/>
    </row>
    <row r="735" spans="10:10" s="675" customFormat="1" ht="12.75" x14ac:dyDescent="0.2">
      <c r="J735" s="681"/>
    </row>
    <row r="736" spans="10:10" s="675" customFormat="1" ht="12.75" x14ac:dyDescent="0.2">
      <c r="J736" s="681"/>
    </row>
    <row r="737" spans="10:10" s="675" customFormat="1" ht="12.75" x14ac:dyDescent="0.2">
      <c r="J737" s="681"/>
    </row>
    <row r="738" spans="10:10" s="675" customFormat="1" ht="12.75" x14ac:dyDescent="0.2">
      <c r="J738" s="681"/>
    </row>
    <row r="739" spans="10:10" s="675" customFormat="1" ht="12.75" x14ac:dyDescent="0.2">
      <c r="J739" s="681"/>
    </row>
    <row r="740" spans="10:10" s="675" customFormat="1" ht="12.75" x14ac:dyDescent="0.2">
      <c r="J740" s="681"/>
    </row>
    <row r="741" spans="10:10" s="675" customFormat="1" ht="12.75" x14ac:dyDescent="0.2">
      <c r="J741" s="681"/>
    </row>
    <row r="742" spans="10:10" s="675" customFormat="1" ht="12.75" x14ac:dyDescent="0.2">
      <c r="J742" s="681"/>
    </row>
    <row r="743" spans="10:10" s="675" customFormat="1" ht="12.75" x14ac:dyDescent="0.2">
      <c r="J743" s="681"/>
    </row>
    <row r="744" spans="10:10" s="675" customFormat="1" ht="12.75" x14ac:dyDescent="0.2">
      <c r="J744" s="681"/>
    </row>
  </sheetData>
  <mergeCells count="3">
    <mergeCell ref="A4:J4"/>
    <mergeCell ref="A5:J5"/>
    <mergeCell ref="B6:D6"/>
  </mergeCells>
  <printOptions horizontalCentered="1"/>
  <pageMargins left="0" right="0" top="1.3775590551181103" bottom="0.59015748031496074" header="0.98385826771653528" footer="0.19645669291338586"/>
  <pageSetup paperSize="0" scale="90" fitToWidth="0" fitToHeight="0" orientation="landscape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103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12</vt:i4>
      </vt:variant>
    </vt:vector>
  </HeadingPairs>
  <TitlesOfParts>
    <vt:vector size="40" baseType="lpstr">
      <vt:lpstr>COEFIC 2020 </vt:lpstr>
      <vt:lpstr>COMPARATIVOS VARIABLES</vt:lpstr>
      <vt:lpstr>COEFIC 2023</vt:lpstr>
      <vt:lpstr>COEFIC 2021 (2)</vt:lpstr>
      <vt:lpstr>FONDOS PART  2022</vt:lpstr>
      <vt:lpstr>FONDOS PART 2024</vt:lpstr>
      <vt:lpstr>FPART</vt:lpstr>
      <vt:lpstr>FG1</vt:lpstr>
      <vt:lpstr>FFM</vt:lpstr>
      <vt:lpstr>IEPS</vt:lpstr>
      <vt:lpstr>FOFIR</vt:lpstr>
      <vt:lpstr>FCISAN</vt:lpstr>
      <vt:lpstr>ISR</vt:lpstr>
      <vt:lpstr>ISAN</vt:lpstr>
      <vt:lpstr>LOT</vt:lpstr>
      <vt:lpstr>ENAJENAC DE INMUE</vt:lpstr>
      <vt:lpstr>IMP BEBIDAS AL</vt:lpstr>
      <vt:lpstr>FOND GASO Y D</vt:lpstr>
      <vt:lpstr>RESUMEN</vt:lpstr>
      <vt:lpstr>POR MPIO</vt:lpstr>
      <vt:lpstr>Consolidado</vt:lpstr>
      <vt:lpstr>Calendario</vt:lpstr>
      <vt:lpstr>FONDO III 2022  (2)</vt:lpstr>
      <vt:lpstr>FONDO III 2022</vt:lpstr>
      <vt:lpstr>FONDO IV 2022</vt:lpstr>
      <vt:lpstr>FAEISPUM 2023</vt:lpstr>
      <vt:lpstr>Hoja5</vt:lpstr>
      <vt:lpstr>Hoja6</vt:lpstr>
      <vt:lpstr>'POR MPIO'!_FilterDatabase</vt:lpstr>
      <vt:lpstr>'ENAJENAC DE INMUE'!Área_de_impresión</vt:lpstr>
      <vt:lpstr>FCISAN!Área_de_impresión</vt:lpstr>
      <vt:lpstr>FFM!Área_de_impresión</vt:lpstr>
      <vt:lpstr>'FG1'!Área_de_impresión</vt:lpstr>
      <vt:lpstr>FOFIR!Área_de_impresión</vt:lpstr>
      <vt:lpstr>'FOND GASO Y D'!Área_de_impresión</vt:lpstr>
      <vt:lpstr>FPART!Área_de_impresión</vt:lpstr>
      <vt:lpstr>IEPS!Área_de_impresión</vt:lpstr>
      <vt:lpstr>'IMP BEBIDAS AL'!Área_de_impresión</vt:lpstr>
      <vt:lpstr>ISAN!Área_de_impresión</vt:lpstr>
      <vt:lpstr>LOT!Área_de_impresión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equipo1</dc:creator>
  <cp:lastModifiedBy>Pablo</cp:lastModifiedBy>
  <cp:revision>11</cp:revision>
  <cp:lastPrinted>2024-05-09T07:08:15Z</cp:lastPrinted>
  <dcterms:created xsi:type="dcterms:W3CDTF">2023-01-14T01:45:14Z</dcterms:created>
  <dcterms:modified xsi:type="dcterms:W3CDTF">2024-05-09T07:08:26Z</dcterms:modified>
</cp:coreProperties>
</file>